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drawings/drawing2.xml" ContentType="application/vnd.openxmlformats-officedocument.drawing+xml"/>
  <Override PartName="/xl/tables/table1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3.xml" ContentType="application/vnd.openxmlformats-officedocument.drawing+xml"/>
  <Override PartName="/xl/tables/table12.xml" ContentType="application/vnd.openxmlformats-officedocument.spreadsheetml.tab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4.xml" ContentType="application/vnd.openxmlformats-officedocument.drawing+xml"/>
  <Override PartName="/xl/tables/table13.xml" ContentType="application/vnd.openxmlformats-officedocument.spreadsheetml.tab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5.xml" ContentType="application/vnd.openxmlformats-officedocument.drawing+xml"/>
  <Override PartName="/xl/tables/table14.xml" ContentType="application/vnd.openxmlformats-officedocument.spreadsheetml.tab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6.xml" ContentType="application/vnd.openxmlformats-officedocument.drawing+xml"/>
  <Override PartName="/xl/tables/table15.xml" ContentType="application/vnd.openxmlformats-officedocument.spreadsheetml.tab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drawings/drawing7.xml" ContentType="application/vnd.openxmlformats-officedocument.drawing+xml"/>
  <Override PartName="/xl/tables/table16.xml" ContentType="application/vnd.openxmlformats-officedocument.spreadsheetml.tab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drawings/drawing8.xml" ContentType="application/vnd.openxmlformats-officedocument.drawing+xml"/>
  <Override PartName="/xl/tables/table17.xml" ContentType="application/vnd.openxmlformats-officedocument.spreadsheetml.table+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charts/chart63.xml" ContentType="application/vnd.openxmlformats-officedocument.drawingml.chart+xml"/>
  <Override PartName="/xl/charts/style63.xml" ContentType="application/vnd.ms-office.chartstyle+xml"/>
  <Override PartName="/xl/charts/colors63.xml" ContentType="application/vnd.ms-office.chartcolorstyle+xml"/>
  <Override PartName="/xl/charts/chart64.xml" ContentType="application/vnd.openxmlformats-officedocument.drawingml.chart+xml"/>
  <Override PartName="/xl/charts/style64.xml" ContentType="application/vnd.ms-office.chartstyle+xml"/>
  <Override PartName="/xl/charts/colors64.xml" ContentType="application/vnd.ms-office.chartcolorstyle+xml"/>
  <Override PartName="/xl/charts/chart65.xml" ContentType="application/vnd.openxmlformats-officedocument.drawingml.chart+xml"/>
  <Override PartName="/xl/charts/style65.xml" ContentType="application/vnd.ms-office.chartstyle+xml"/>
  <Override PartName="/xl/charts/colors65.xml" ContentType="application/vnd.ms-office.chartcolorstyle+xml"/>
  <Override PartName="/xl/charts/chart66.xml" ContentType="application/vnd.openxmlformats-officedocument.drawingml.chart+xml"/>
  <Override PartName="/xl/charts/style66.xml" ContentType="application/vnd.ms-office.chartstyle+xml"/>
  <Override PartName="/xl/charts/colors66.xml" ContentType="application/vnd.ms-office.chartcolorstyle+xml"/>
  <Override PartName="/xl/charts/chart67.xml" ContentType="application/vnd.openxmlformats-officedocument.drawingml.chart+xml"/>
  <Override PartName="/xl/charts/style67.xml" ContentType="application/vnd.ms-office.chartstyle+xml"/>
  <Override PartName="/xl/charts/colors67.xml" ContentType="application/vnd.ms-office.chartcolorstyle+xml"/>
  <Override PartName="/xl/charts/chart68.xml" ContentType="application/vnd.openxmlformats-officedocument.drawingml.chart+xml"/>
  <Override PartName="/xl/charts/style68.xml" ContentType="application/vnd.ms-office.chartstyle+xml"/>
  <Override PartName="/xl/charts/colors68.xml" ContentType="application/vnd.ms-office.chartcolorstyle+xml"/>
  <Override PartName="/xl/charts/chart69.xml" ContentType="application/vnd.openxmlformats-officedocument.drawingml.chart+xml"/>
  <Override PartName="/xl/charts/style69.xml" ContentType="application/vnd.ms-office.chartstyle+xml"/>
  <Override PartName="/xl/charts/colors69.xml" ContentType="application/vnd.ms-office.chartcolorstyle+xml"/>
  <Override PartName="/xl/charts/chart70.xml" ContentType="application/vnd.openxmlformats-officedocument.drawingml.chart+xml"/>
  <Override PartName="/xl/charts/style70.xml" ContentType="application/vnd.ms-office.chartstyle+xml"/>
  <Override PartName="/xl/charts/colors70.xml" ContentType="application/vnd.ms-office.chartcolorstyle+xml"/>
  <Override PartName="/xl/drawings/drawing9.xml" ContentType="application/vnd.openxmlformats-officedocument.drawing+xml"/>
  <Override PartName="/xl/tables/table18.xml" ContentType="application/vnd.openxmlformats-officedocument.spreadsheetml.table+xml"/>
  <Override PartName="/xl/charts/chart71.xml" ContentType="application/vnd.openxmlformats-officedocument.drawingml.chart+xml"/>
  <Override PartName="/xl/charts/style71.xml" ContentType="application/vnd.ms-office.chartstyle+xml"/>
  <Override PartName="/xl/charts/colors71.xml" ContentType="application/vnd.ms-office.chartcolorstyle+xml"/>
  <Override PartName="/xl/charts/chart72.xml" ContentType="application/vnd.openxmlformats-officedocument.drawingml.chart+xml"/>
  <Override PartName="/xl/charts/style72.xml" ContentType="application/vnd.ms-office.chartstyle+xml"/>
  <Override PartName="/xl/charts/colors72.xml" ContentType="application/vnd.ms-office.chartcolorstyle+xml"/>
  <Override PartName="/xl/charts/chart73.xml" ContentType="application/vnd.openxmlformats-officedocument.drawingml.chart+xml"/>
  <Override PartName="/xl/charts/style73.xml" ContentType="application/vnd.ms-office.chartstyle+xml"/>
  <Override PartName="/xl/charts/colors73.xml" ContentType="application/vnd.ms-office.chartcolorstyle+xml"/>
  <Override PartName="/xl/charts/chart74.xml" ContentType="application/vnd.openxmlformats-officedocument.drawingml.chart+xml"/>
  <Override PartName="/xl/charts/style74.xml" ContentType="application/vnd.ms-office.chartstyle+xml"/>
  <Override PartName="/xl/charts/colors74.xml" ContentType="application/vnd.ms-office.chartcolorstyle+xml"/>
  <Override PartName="/xl/charts/chart75.xml" ContentType="application/vnd.openxmlformats-officedocument.drawingml.chart+xml"/>
  <Override PartName="/xl/charts/style75.xml" ContentType="application/vnd.ms-office.chartstyle+xml"/>
  <Override PartName="/xl/charts/colors75.xml" ContentType="application/vnd.ms-office.chartcolorstyle+xml"/>
  <Override PartName="/xl/charts/chart76.xml" ContentType="application/vnd.openxmlformats-officedocument.drawingml.chart+xml"/>
  <Override PartName="/xl/charts/style76.xml" ContentType="application/vnd.ms-office.chartstyle+xml"/>
  <Override PartName="/xl/charts/colors76.xml" ContentType="application/vnd.ms-office.chartcolorstyle+xml"/>
  <Override PartName="/xl/charts/chart77.xml" ContentType="application/vnd.openxmlformats-officedocument.drawingml.chart+xml"/>
  <Override PartName="/xl/charts/style77.xml" ContentType="application/vnd.ms-office.chartstyle+xml"/>
  <Override PartName="/xl/charts/colors77.xml" ContentType="application/vnd.ms-office.chartcolorstyle+xml"/>
  <Override PartName="/xl/charts/chart78.xml" ContentType="application/vnd.openxmlformats-officedocument.drawingml.chart+xml"/>
  <Override PartName="/xl/charts/style78.xml" ContentType="application/vnd.ms-office.chartstyle+xml"/>
  <Override PartName="/xl/charts/colors78.xml" ContentType="application/vnd.ms-office.chartcolorstyle+xml"/>
  <Override PartName="/xl/charts/chart79.xml" ContentType="application/vnd.openxmlformats-officedocument.drawingml.chart+xml"/>
  <Override PartName="/xl/charts/style79.xml" ContentType="application/vnd.ms-office.chartstyle+xml"/>
  <Override PartName="/xl/charts/colors79.xml" ContentType="application/vnd.ms-office.chartcolorstyle+xml"/>
  <Override PartName="/xl/charts/chart80.xml" ContentType="application/vnd.openxmlformats-officedocument.drawingml.chart+xml"/>
  <Override PartName="/xl/charts/style80.xml" ContentType="application/vnd.ms-office.chartstyle+xml"/>
  <Override PartName="/xl/charts/colors80.xml" ContentType="application/vnd.ms-office.chartcolorstyle+xml"/>
  <Override PartName="/xl/drawings/drawing10.xml" ContentType="application/vnd.openxmlformats-officedocument.drawing+xml"/>
  <Override PartName="/xl/tables/table19.xml" ContentType="application/vnd.openxmlformats-officedocument.spreadsheetml.table+xml"/>
  <Override PartName="/xl/charts/chart81.xml" ContentType="application/vnd.openxmlformats-officedocument.drawingml.chart+xml"/>
  <Override PartName="/xl/charts/style81.xml" ContentType="application/vnd.ms-office.chartstyle+xml"/>
  <Override PartName="/xl/charts/colors81.xml" ContentType="application/vnd.ms-office.chartcolorstyle+xml"/>
  <Override PartName="/xl/charts/chart82.xml" ContentType="application/vnd.openxmlformats-officedocument.drawingml.chart+xml"/>
  <Override PartName="/xl/charts/style82.xml" ContentType="application/vnd.ms-office.chartstyle+xml"/>
  <Override PartName="/xl/charts/colors82.xml" ContentType="application/vnd.ms-office.chartcolorstyle+xml"/>
  <Override PartName="/xl/charts/chart83.xml" ContentType="application/vnd.openxmlformats-officedocument.drawingml.chart+xml"/>
  <Override PartName="/xl/charts/style83.xml" ContentType="application/vnd.ms-office.chartstyle+xml"/>
  <Override PartName="/xl/charts/colors83.xml" ContentType="application/vnd.ms-office.chartcolorstyle+xml"/>
  <Override PartName="/xl/charts/chart84.xml" ContentType="application/vnd.openxmlformats-officedocument.drawingml.chart+xml"/>
  <Override PartName="/xl/charts/style84.xml" ContentType="application/vnd.ms-office.chartstyle+xml"/>
  <Override PartName="/xl/charts/colors84.xml" ContentType="application/vnd.ms-office.chartcolorstyle+xml"/>
  <Override PartName="/xl/charts/chart85.xml" ContentType="application/vnd.openxmlformats-officedocument.drawingml.chart+xml"/>
  <Override PartName="/xl/charts/style85.xml" ContentType="application/vnd.ms-office.chartstyle+xml"/>
  <Override PartName="/xl/charts/colors85.xml" ContentType="application/vnd.ms-office.chartcolorstyle+xml"/>
  <Override PartName="/xl/charts/chart86.xml" ContentType="application/vnd.openxmlformats-officedocument.drawingml.chart+xml"/>
  <Override PartName="/xl/charts/style86.xml" ContentType="application/vnd.ms-office.chartstyle+xml"/>
  <Override PartName="/xl/charts/colors86.xml" ContentType="application/vnd.ms-office.chartcolorstyle+xml"/>
  <Override PartName="/xl/charts/chart87.xml" ContentType="application/vnd.openxmlformats-officedocument.drawingml.chart+xml"/>
  <Override PartName="/xl/charts/style87.xml" ContentType="application/vnd.ms-office.chartstyle+xml"/>
  <Override PartName="/xl/charts/colors87.xml" ContentType="application/vnd.ms-office.chartcolorstyle+xml"/>
  <Override PartName="/xl/charts/chart88.xml" ContentType="application/vnd.openxmlformats-officedocument.drawingml.chart+xml"/>
  <Override PartName="/xl/charts/style88.xml" ContentType="application/vnd.ms-office.chartstyle+xml"/>
  <Override PartName="/xl/charts/colors88.xml" ContentType="application/vnd.ms-office.chartcolorstyle+xml"/>
  <Override PartName="/xl/charts/chart89.xml" ContentType="application/vnd.openxmlformats-officedocument.drawingml.chart+xml"/>
  <Override PartName="/xl/charts/style89.xml" ContentType="application/vnd.ms-office.chartstyle+xml"/>
  <Override PartName="/xl/charts/colors89.xml" ContentType="application/vnd.ms-office.chartcolorstyle+xml"/>
  <Override PartName="/xl/charts/chart90.xml" ContentType="application/vnd.openxmlformats-officedocument.drawingml.chart+xml"/>
  <Override PartName="/xl/charts/style90.xml" ContentType="application/vnd.ms-office.chartstyle+xml"/>
  <Override PartName="/xl/charts/colors90.xml" ContentType="application/vnd.ms-office.chartcolorstyle+xml"/>
  <Override PartName="/xl/drawings/drawing11.xml" ContentType="application/vnd.openxmlformats-officedocument.drawing+xml"/>
  <Override PartName="/xl/tables/table20.xml" ContentType="application/vnd.openxmlformats-officedocument.spreadsheetml.table+xml"/>
  <Override PartName="/xl/charts/chart91.xml" ContentType="application/vnd.openxmlformats-officedocument.drawingml.chart+xml"/>
  <Override PartName="/xl/charts/style91.xml" ContentType="application/vnd.ms-office.chartstyle+xml"/>
  <Override PartName="/xl/charts/colors91.xml" ContentType="application/vnd.ms-office.chartcolorstyle+xml"/>
  <Override PartName="/xl/charts/chart92.xml" ContentType="application/vnd.openxmlformats-officedocument.drawingml.chart+xml"/>
  <Override PartName="/xl/charts/style92.xml" ContentType="application/vnd.ms-office.chartstyle+xml"/>
  <Override PartName="/xl/charts/colors92.xml" ContentType="application/vnd.ms-office.chartcolorstyle+xml"/>
  <Override PartName="/xl/charts/chart93.xml" ContentType="application/vnd.openxmlformats-officedocument.drawingml.chart+xml"/>
  <Override PartName="/xl/charts/style93.xml" ContentType="application/vnd.ms-office.chartstyle+xml"/>
  <Override PartName="/xl/charts/colors93.xml" ContentType="application/vnd.ms-office.chartcolorstyle+xml"/>
  <Override PartName="/xl/charts/chart94.xml" ContentType="application/vnd.openxmlformats-officedocument.drawingml.chart+xml"/>
  <Override PartName="/xl/charts/style94.xml" ContentType="application/vnd.ms-office.chartstyle+xml"/>
  <Override PartName="/xl/charts/colors94.xml" ContentType="application/vnd.ms-office.chartcolorstyle+xml"/>
  <Override PartName="/xl/charts/chart95.xml" ContentType="application/vnd.openxmlformats-officedocument.drawingml.chart+xml"/>
  <Override PartName="/xl/charts/style95.xml" ContentType="application/vnd.ms-office.chartstyle+xml"/>
  <Override PartName="/xl/charts/colors95.xml" ContentType="application/vnd.ms-office.chartcolorstyle+xml"/>
  <Override PartName="/xl/charts/chart96.xml" ContentType="application/vnd.openxmlformats-officedocument.drawingml.chart+xml"/>
  <Override PartName="/xl/charts/style96.xml" ContentType="application/vnd.ms-office.chartstyle+xml"/>
  <Override PartName="/xl/charts/colors96.xml" ContentType="application/vnd.ms-office.chartcolorstyle+xml"/>
  <Override PartName="/xl/charts/chart97.xml" ContentType="application/vnd.openxmlformats-officedocument.drawingml.chart+xml"/>
  <Override PartName="/xl/charts/style97.xml" ContentType="application/vnd.ms-office.chartstyle+xml"/>
  <Override PartName="/xl/charts/colors97.xml" ContentType="application/vnd.ms-office.chartcolorstyle+xml"/>
  <Override PartName="/xl/charts/chart98.xml" ContentType="application/vnd.openxmlformats-officedocument.drawingml.chart+xml"/>
  <Override PartName="/xl/charts/style98.xml" ContentType="application/vnd.ms-office.chartstyle+xml"/>
  <Override PartName="/xl/charts/colors98.xml" ContentType="application/vnd.ms-office.chartcolorstyle+xml"/>
  <Override PartName="/xl/charts/chart99.xml" ContentType="application/vnd.openxmlformats-officedocument.drawingml.chart+xml"/>
  <Override PartName="/xl/charts/style99.xml" ContentType="application/vnd.ms-office.chartstyle+xml"/>
  <Override PartName="/xl/charts/colors99.xml" ContentType="application/vnd.ms-office.chartcolorstyle+xml"/>
  <Override PartName="/xl/charts/chart100.xml" ContentType="application/vnd.openxmlformats-officedocument.drawingml.chart+xml"/>
  <Override PartName="/xl/charts/style100.xml" ContentType="application/vnd.ms-office.chartstyle+xml"/>
  <Override PartName="/xl/charts/colors100.xml" ContentType="application/vnd.ms-office.chartcolorstyle+xml"/>
  <Override PartName="/xl/drawings/drawing12.xml" ContentType="application/vnd.openxmlformats-officedocument.drawing+xml"/>
  <Override PartName="/xl/tables/table21.xml" ContentType="application/vnd.openxmlformats-officedocument.spreadsheetml.table+xml"/>
  <Override PartName="/xl/charts/chart101.xml" ContentType="application/vnd.openxmlformats-officedocument.drawingml.chart+xml"/>
  <Override PartName="/xl/charts/style101.xml" ContentType="application/vnd.ms-office.chartstyle+xml"/>
  <Override PartName="/xl/charts/colors101.xml" ContentType="application/vnd.ms-office.chartcolorstyle+xml"/>
  <Override PartName="/xl/charts/chart102.xml" ContentType="application/vnd.openxmlformats-officedocument.drawingml.chart+xml"/>
  <Override PartName="/xl/charts/style102.xml" ContentType="application/vnd.ms-office.chartstyle+xml"/>
  <Override PartName="/xl/charts/colors102.xml" ContentType="application/vnd.ms-office.chartcolorstyle+xml"/>
  <Override PartName="/xl/charts/chart103.xml" ContentType="application/vnd.openxmlformats-officedocument.drawingml.chart+xml"/>
  <Override PartName="/xl/charts/style103.xml" ContentType="application/vnd.ms-office.chartstyle+xml"/>
  <Override PartName="/xl/charts/colors103.xml" ContentType="application/vnd.ms-office.chartcolorstyle+xml"/>
  <Override PartName="/xl/charts/chart104.xml" ContentType="application/vnd.openxmlformats-officedocument.drawingml.chart+xml"/>
  <Override PartName="/xl/charts/style104.xml" ContentType="application/vnd.ms-office.chartstyle+xml"/>
  <Override PartName="/xl/charts/colors104.xml" ContentType="application/vnd.ms-office.chartcolorstyle+xml"/>
  <Override PartName="/xl/charts/chart105.xml" ContentType="application/vnd.openxmlformats-officedocument.drawingml.chart+xml"/>
  <Override PartName="/xl/charts/style105.xml" ContentType="application/vnd.ms-office.chartstyle+xml"/>
  <Override PartName="/xl/charts/colors105.xml" ContentType="application/vnd.ms-office.chartcolorstyle+xml"/>
  <Override PartName="/xl/charts/chart106.xml" ContentType="application/vnd.openxmlformats-officedocument.drawingml.chart+xml"/>
  <Override PartName="/xl/charts/style106.xml" ContentType="application/vnd.ms-office.chartstyle+xml"/>
  <Override PartName="/xl/charts/colors106.xml" ContentType="application/vnd.ms-office.chartcolorstyle+xml"/>
  <Override PartName="/xl/charts/chart107.xml" ContentType="application/vnd.openxmlformats-officedocument.drawingml.chart+xml"/>
  <Override PartName="/xl/charts/style107.xml" ContentType="application/vnd.ms-office.chartstyle+xml"/>
  <Override PartName="/xl/charts/colors107.xml" ContentType="application/vnd.ms-office.chartcolorstyle+xml"/>
  <Override PartName="/xl/charts/chart108.xml" ContentType="application/vnd.openxmlformats-officedocument.drawingml.chart+xml"/>
  <Override PartName="/xl/charts/style108.xml" ContentType="application/vnd.ms-office.chartstyle+xml"/>
  <Override PartName="/xl/charts/colors108.xml" ContentType="application/vnd.ms-office.chartcolorstyle+xml"/>
  <Override PartName="/xl/charts/chart109.xml" ContentType="application/vnd.openxmlformats-officedocument.drawingml.chart+xml"/>
  <Override PartName="/xl/charts/style109.xml" ContentType="application/vnd.ms-office.chartstyle+xml"/>
  <Override PartName="/xl/charts/colors109.xml" ContentType="application/vnd.ms-office.chartcolorstyle+xml"/>
  <Override PartName="/xl/charts/chart110.xml" ContentType="application/vnd.openxmlformats-officedocument.drawingml.chart+xml"/>
  <Override PartName="/xl/charts/style110.xml" ContentType="application/vnd.ms-office.chartstyle+xml"/>
  <Override PartName="/xl/charts/colors110.xml" ContentType="application/vnd.ms-office.chartcolorstyle+xml"/>
  <Override PartName="/xl/drawings/drawing13.xml" ContentType="application/vnd.openxmlformats-officedocument.drawing+xml"/>
  <Override PartName="/xl/tables/table22.xml" ContentType="application/vnd.openxmlformats-officedocument.spreadsheetml.table+xml"/>
  <Override PartName="/xl/charts/chart111.xml" ContentType="application/vnd.openxmlformats-officedocument.drawingml.chart+xml"/>
  <Override PartName="/xl/charts/style111.xml" ContentType="application/vnd.ms-office.chartstyle+xml"/>
  <Override PartName="/xl/charts/colors111.xml" ContentType="application/vnd.ms-office.chartcolorstyle+xml"/>
  <Override PartName="/xl/charts/chart112.xml" ContentType="application/vnd.openxmlformats-officedocument.drawingml.chart+xml"/>
  <Override PartName="/xl/charts/style112.xml" ContentType="application/vnd.ms-office.chartstyle+xml"/>
  <Override PartName="/xl/charts/colors112.xml" ContentType="application/vnd.ms-office.chartcolorstyle+xml"/>
  <Override PartName="/xl/charts/chart113.xml" ContentType="application/vnd.openxmlformats-officedocument.drawingml.chart+xml"/>
  <Override PartName="/xl/charts/style113.xml" ContentType="application/vnd.ms-office.chartstyle+xml"/>
  <Override PartName="/xl/charts/colors113.xml" ContentType="application/vnd.ms-office.chartcolorstyle+xml"/>
  <Override PartName="/xl/charts/chart114.xml" ContentType="application/vnd.openxmlformats-officedocument.drawingml.chart+xml"/>
  <Override PartName="/xl/charts/style114.xml" ContentType="application/vnd.ms-office.chartstyle+xml"/>
  <Override PartName="/xl/charts/colors114.xml" ContentType="application/vnd.ms-office.chartcolorstyle+xml"/>
  <Override PartName="/xl/charts/chart115.xml" ContentType="application/vnd.openxmlformats-officedocument.drawingml.chart+xml"/>
  <Override PartName="/xl/charts/style115.xml" ContentType="application/vnd.ms-office.chartstyle+xml"/>
  <Override PartName="/xl/charts/colors115.xml" ContentType="application/vnd.ms-office.chartcolorstyle+xml"/>
  <Override PartName="/xl/charts/chart116.xml" ContentType="application/vnd.openxmlformats-officedocument.drawingml.chart+xml"/>
  <Override PartName="/xl/charts/style116.xml" ContentType="application/vnd.ms-office.chartstyle+xml"/>
  <Override PartName="/xl/charts/colors116.xml" ContentType="application/vnd.ms-office.chartcolorstyle+xml"/>
  <Override PartName="/xl/charts/chart117.xml" ContentType="application/vnd.openxmlformats-officedocument.drawingml.chart+xml"/>
  <Override PartName="/xl/charts/style117.xml" ContentType="application/vnd.ms-office.chartstyle+xml"/>
  <Override PartName="/xl/charts/colors117.xml" ContentType="application/vnd.ms-office.chartcolorstyle+xml"/>
  <Override PartName="/xl/charts/chart118.xml" ContentType="application/vnd.openxmlformats-officedocument.drawingml.chart+xml"/>
  <Override PartName="/xl/charts/style118.xml" ContentType="application/vnd.ms-office.chartstyle+xml"/>
  <Override PartName="/xl/charts/colors118.xml" ContentType="application/vnd.ms-office.chartcolorstyle+xml"/>
  <Override PartName="/xl/charts/chart119.xml" ContentType="application/vnd.openxmlformats-officedocument.drawingml.chart+xml"/>
  <Override PartName="/xl/charts/style119.xml" ContentType="application/vnd.ms-office.chartstyle+xml"/>
  <Override PartName="/xl/charts/colors119.xml" ContentType="application/vnd.ms-office.chartcolorstyle+xml"/>
  <Override PartName="/xl/charts/chart120.xml" ContentType="application/vnd.openxmlformats-officedocument.drawingml.chart+xml"/>
  <Override PartName="/xl/charts/style120.xml" ContentType="application/vnd.ms-office.chartstyle+xml"/>
  <Override PartName="/xl/charts/colors120.xml" ContentType="application/vnd.ms-office.chartcolorstyle+xml"/>
  <Override PartName="/xl/drawings/drawing14.xml" ContentType="application/vnd.openxmlformats-officedocument.drawing+xml"/>
  <Override PartName="/xl/charts/chart121.xml" ContentType="application/vnd.openxmlformats-officedocument.drawingml.chart+xml"/>
  <Override PartName="/xl/charts/style121.xml" ContentType="application/vnd.ms-office.chartstyle+xml"/>
  <Override PartName="/xl/charts/colors121.xml" ContentType="application/vnd.ms-office.chartcolorstyle+xml"/>
  <Override PartName="/xl/charts/chart122.xml" ContentType="application/vnd.openxmlformats-officedocument.drawingml.chart+xml"/>
  <Override PartName="/xl/charts/style122.xml" ContentType="application/vnd.ms-office.chartstyle+xml"/>
  <Override PartName="/xl/charts/colors122.xml" ContentType="application/vnd.ms-office.chartcolorstyle+xml"/>
  <Override PartName="/xl/charts/chart123.xml" ContentType="application/vnd.openxmlformats-officedocument.drawingml.chart+xml"/>
  <Override PartName="/xl/charts/style123.xml" ContentType="application/vnd.ms-office.chartstyle+xml"/>
  <Override PartName="/xl/charts/colors123.xml" ContentType="application/vnd.ms-office.chartcolorstyle+xml"/>
  <Override PartName="/xl/drawings/drawing15.xml" ContentType="application/vnd.openxmlformats-officedocument.drawing+xml"/>
  <Override PartName="/xl/charts/chart124.xml" ContentType="application/vnd.openxmlformats-officedocument.drawingml.chart+xml"/>
  <Override PartName="/xl/charts/style124.xml" ContentType="application/vnd.ms-office.chartstyle+xml"/>
  <Override PartName="/xl/charts/colors124.xml" ContentType="application/vnd.ms-office.chartcolorstyle+xml"/>
  <Override PartName="/xl/charts/chart125.xml" ContentType="application/vnd.openxmlformats-officedocument.drawingml.chart+xml"/>
  <Override PartName="/xl/charts/style125.xml" ContentType="application/vnd.ms-office.chartstyle+xml"/>
  <Override PartName="/xl/charts/colors125.xml" ContentType="application/vnd.ms-office.chartcolorstyle+xml"/>
  <Override PartName="/xl/charts/chart126.xml" ContentType="application/vnd.openxmlformats-officedocument.drawingml.chart+xml"/>
  <Override PartName="/xl/charts/style126.xml" ContentType="application/vnd.ms-office.chartstyle+xml"/>
  <Override PartName="/xl/charts/colors126.xml" ContentType="application/vnd.ms-office.chartcolorstyle+xml"/>
  <Override PartName="/xl/charts/chart127.xml" ContentType="application/vnd.openxmlformats-officedocument.drawingml.chart+xml"/>
  <Override PartName="/xl/charts/style127.xml" ContentType="application/vnd.ms-office.chartstyle+xml"/>
  <Override PartName="/xl/charts/colors127.xml" ContentType="application/vnd.ms-office.chartcolorstyle+xml"/>
  <Override PartName="/xl/charts/chart128.xml" ContentType="application/vnd.openxmlformats-officedocument.drawingml.chart+xml"/>
  <Override PartName="/xl/charts/style128.xml" ContentType="application/vnd.ms-office.chartstyle+xml"/>
  <Override PartName="/xl/charts/colors128.xml" ContentType="application/vnd.ms-office.chartcolorstyle+xml"/>
  <Override PartName="/xl/drawings/drawing16.xml" ContentType="application/vnd.openxmlformats-officedocument.drawing+xml"/>
  <Override PartName="/xl/charts/chart129.xml" ContentType="application/vnd.openxmlformats-officedocument.drawingml.chart+xml"/>
  <Override PartName="/xl/charts/style129.xml" ContentType="application/vnd.ms-office.chartstyle+xml"/>
  <Override PartName="/xl/charts/colors129.xml" ContentType="application/vnd.ms-office.chartcolorstyle+xml"/>
  <Override PartName="/xl/charts/chart130.xml" ContentType="application/vnd.openxmlformats-officedocument.drawingml.chart+xml"/>
  <Override PartName="/xl/charts/style130.xml" ContentType="application/vnd.ms-office.chartstyle+xml"/>
  <Override PartName="/xl/charts/colors130.xml" ContentType="application/vnd.ms-office.chartcolorstyle+xml"/>
  <Override PartName="/xl/charts/chart131.xml" ContentType="application/vnd.openxmlformats-officedocument.drawingml.chart+xml"/>
  <Override PartName="/xl/charts/style131.xml" ContentType="application/vnd.ms-office.chartstyle+xml"/>
  <Override PartName="/xl/charts/colors131.xml" ContentType="application/vnd.ms-office.chartcolorstyle+xml"/>
  <Override PartName="/xl/charts/chart132.xml" ContentType="application/vnd.openxmlformats-officedocument.drawingml.chart+xml"/>
  <Override PartName="/xl/charts/style132.xml" ContentType="application/vnd.ms-office.chartstyle+xml"/>
  <Override PartName="/xl/charts/colors132.xml" ContentType="application/vnd.ms-office.chartcolorstyle+xml"/>
  <Override PartName="/xl/charts/chart133.xml" ContentType="application/vnd.openxmlformats-officedocument.drawingml.chart+xml"/>
  <Override PartName="/xl/charts/style133.xml" ContentType="application/vnd.ms-office.chartstyle+xml"/>
  <Override PartName="/xl/charts/colors133.xml" ContentType="application/vnd.ms-office.chartcolorsty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drawings/drawing17.xml" ContentType="application/vnd.openxmlformats-officedocument.drawing+xml"/>
  <Override PartName="/xl/tables/table35.xml" ContentType="application/vnd.openxmlformats-officedocument.spreadsheetml.table+xml"/>
  <Override PartName="/xl/tables/table3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hidePivotFieldList="1"/>
  <mc:AlternateContent xmlns:mc="http://schemas.openxmlformats.org/markup-compatibility/2006">
    <mc:Choice Requires="x15">
      <x15ac:absPath xmlns:x15ac="http://schemas.microsoft.com/office/spreadsheetml/2010/11/ac" url="B:\QIO\_Common\13 SOW - Nursing Homes\Fall Tracker\"/>
    </mc:Choice>
  </mc:AlternateContent>
  <xr:revisionPtr revIDLastSave="0" documentId="8_{81E66601-1A9B-4207-8C89-A4233104A13C}" xr6:coauthVersionLast="47" xr6:coauthVersionMax="47" xr10:uidLastSave="{00000000-0000-0000-0000-000000000000}"/>
  <bookViews>
    <workbookView xWindow="-120" yWindow="-120" windowWidth="29040" windowHeight="15720" tabRatio="883" xr2:uid="{00000000-000D-0000-FFFF-FFFF00000000}"/>
  </bookViews>
  <sheets>
    <sheet name="Tracker Description" sheetId="57" r:id="rId1"/>
    <sheet name="Data Validation" sheetId="56" r:id="rId2"/>
    <sheet name="Jan" sheetId="41" r:id="rId3"/>
    <sheet name="Feb" sheetId="64" r:id="rId4"/>
    <sheet name="Mar" sheetId="65" r:id="rId5"/>
    <sheet name="Apr" sheetId="66" r:id="rId6"/>
    <sheet name="May" sheetId="67" r:id="rId7"/>
    <sheet name="June" sheetId="68" r:id="rId8"/>
    <sheet name="July" sheetId="69" r:id="rId9"/>
    <sheet name="Aug" sheetId="70" r:id="rId10"/>
    <sheet name="Sept" sheetId="71" r:id="rId11"/>
    <sheet name="Oct" sheetId="72" r:id="rId12"/>
    <sheet name="Nov" sheetId="73" r:id="rId13"/>
    <sheet name="Dec" sheetId="74" r:id="rId14"/>
    <sheet name="Falls" sheetId="54" r:id="rId15"/>
    <sheet name="BIMS RCA" sheetId="58" r:id="rId16"/>
    <sheet name="Loc Hr" sheetId="61" r:id="rId17"/>
    <sheet name="Resident" sheetId="62" r:id="rId18"/>
    <sheet name="Fall Rate and Census" sheetId="55" r:id="rId19"/>
    <sheet name="Example" sheetId="75" r:id="rId20"/>
  </sheets>
  <definedNames>
    <definedName name="DV_BIMSScore" localSheetId="5">BIMS[BIMS Score]</definedName>
    <definedName name="DV_BIMSScore" localSheetId="9">BIMS[BIMS Score]</definedName>
    <definedName name="DV_BIMSScore" localSheetId="15">BIMS[BIMS Score]</definedName>
    <definedName name="DV_BIMSScore" localSheetId="1">BIMS[BIMS Score]</definedName>
    <definedName name="DV_BIMSScore" localSheetId="13">BIMS[BIMS Score]</definedName>
    <definedName name="DV_BIMSScore" localSheetId="19">#REF!</definedName>
    <definedName name="DV_BIMSScore" localSheetId="14">BIMS[BIMS Score]</definedName>
    <definedName name="DV_BIMSScore" localSheetId="3">BIMS[BIMS Score]</definedName>
    <definedName name="DV_BIMSScore" localSheetId="8">BIMS[BIMS Score]</definedName>
    <definedName name="DV_BIMSScore" localSheetId="7">BIMS[BIMS Score]</definedName>
    <definedName name="DV_BIMSScore" localSheetId="16">BIMS[BIMS Score]</definedName>
    <definedName name="DV_BIMSScore" localSheetId="4">BIMS[BIMS Score]</definedName>
    <definedName name="DV_BIMSScore" localSheetId="6">BIMS[BIMS Score]</definedName>
    <definedName name="DV_BIMSScore" localSheetId="12">BIMS[BIMS Score]</definedName>
    <definedName name="DV_BIMSScore" localSheetId="11">BIMS[BIMS Score]</definedName>
    <definedName name="DV_BIMSScore" localSheetId="17">BIMS[BIMS Score]</definedName>
    <definedName name="DV_BIMSScore" localSheetId="10">BIMS[BIMS Score]</definedName>
    <definedName name="DV_BIMSScore">BIMS[BIMS Score]</definedName>
    <definedName name="DV_FallCircumstances" localSheetId="5">FC[Fall Circumstances]</definedName>
    <definedName name="DV_FallCircumstances" localSheetId="9">FC[Fall Circumstances]</definedName>
    <definedName name="DV_FallCircumstances" localSheetId="13">FC[Fall Circumstances]</definedName>
    <definedName name="DV_FallCircumstances" localSheetId="19">#REF!</definedName>
    <definedName name="DV_FallCircumstances" localSheetId="3">FC[Fall Circumstances]</definedName>
    <definedName name="DV_FallCircumstances" localSheetId="8">FC[Fall Circumstances]</definedName>
    <definedName name="DV_FallCircumstances" localSheetId="7">FC[Fall Circumstances]</definedName>
    <definedName name="DV_FallCircumstances" localSheetId="4">FC[Fall Circumstances]</definedName>
    <definedName name="DV_FallCircumstances" localSheetId="6">FC[Fall Circumstances]</definedName>
    <definedName name="DV_FallCircumstances" localSheetId="12">FC[Fall Circumstances]</definedName>
    <definedName name="DV_FallCircumstances" localSheetId="11">FC[Fall Circumstances]</definedName>
    <definedName name="DV_FallCircumstances" localSheetId="10">FC[Fall Circumstances]</definedName>
    <definedName name="DV_FallCircumstances">FC[Fall Circumstances]</definedName>
    <definedName name="DV_FallType" localSheetId="5">FallType[Fall Type]</definedName>
    <definedName name="DV_FallType" localSheetId="9">FallType[Fall Type]</definedName>
    <definedName name="DV_FallType" localSheetId="15">FallType[Fall Type]</definedName>
    <definedName name="DV_FallType" localSheetId="1">FallType[Fall Type]</definedName>
    <definedName name="DV_FallType" localSheetId="13">FallType[Fall Type]</definedName>
    <definedName name="DV_FallType" localSheetId="19">#REF!</definedName>
    <definedName name="DV_FallType" localSheetId="14">FallType[Fall Type]</definedName>
    <definedName name="DV_FallType" localSheetId="3">FallType[Fall Type]</definedName>
    <definedName name="DV_FallType" localSheetId="8">FallType[Fall Type]</definedName>
    <definedName name="DV_FallType" localSheetId="7">FallType[Fall Type]</definedName>
    <definedName name="DV_FallType" localSheetId="16">FallType[Fall Type]</definedName>
    <definedName name="DV_FallType" localSheetId="4">FallType[Fall Type]</definedName>
    <definedName name="DV_FallType" localSheetId="6">FallType[Fall Type]</definedName>
    <definedName name="DV_FallType" localSheetId="12">FallType[Fall Type]</definedName>
    <definedName name="DV_FallType" localSheetId="11">FallType[Fall Type]</definedName>
    <definedName name="DV_FallType" localSheetId="17">FallType[Fall Type]</definedName>
    <definedName name="DV_FallType" localSheetId="10">FallType[Fall Type]</definedName>
    <definedName name="DV_FallType">FallType[Fall Type]</definedName>
    <definedName name="DV_Location" localSheetId="5">Location[Location]</definedName>
    <definedName name="DV_Location" localSheetId="9">Location[Location]</definedName>
    <definedName name="DV_Location" localSheetId="15">Location[Location]</definedName>
    <definedName name="DV_Location" localSheetId="1">Location[Location]</definedName>
    <definedName name="DV_Location" localSheetId="13">Location[Location]</definedName>
    <definedName name="DV_Location" localSheetId="19">#REF!</definedName>
    <definedName name="DV_Location" localSheetId="14">Location[Location]</definedName>
    <definedName name="DV_Location" localSheetId="3">Location[Location]</definedName>
    <definedName name="DV_Location" localSheetId="8">Location[Location]</definedName>
    <definedName name="DV_Location" localSheetId="7">Location[Location]</definedName>
    <definedName name="DV_Location" localSheetId="16">Location[Location]</definedName>
    <definedName name="DV_Location" localSheetId="4">Location[Location]</definedName>
    <definedName name="DV_Location" localSheetId="6">Location[Location]</definedName>
    <definedName name="DV_Location" localSheetId="12">Location[Location]</definedName>
    <definedName name="DV_Location" localSheetId="11">Location[Location]</definedName>
    <definedName name="DV_Location" localSheetId="17">Location[Location]</definedName>
    <definedName name="DV_Location" localSheetId="10">Location[Location]</definedName>
    <definedName name="DV_Location">Location[Location]</definedName>
    <definedName name="DV_PriortoFall" localSheetId="5">PriortoFall[What was the resident doing prior to fall?]</definedName>
    <definedName name="DV_PriortoFall" localSheetId="9">PriortoFall[What was the resident doing prior to fall?]</definedName>
    <definedName name="DV_PriortoFall" localSheetId="15">PriortoFall[What was the resident doing prior to fall?]</definedName>
    <definedName name="DV_PriortoFall" localSheetId="13">PriortoFall[What was the resident doing prior to fall?]</definedName>
    <definedName name="DV_PriortoFall" localSheetId="19">#REF!</definedName>
    <definedName name="DV_PriortoFall" localSheetId="3">PriortoFall[What was the resident doing prior to fall?]</definedName>
    <definedName name="DV_PriortoFall" localSheetId="8">PriortoFall[What was the resident doing prior to fall?]</definedName>
    <definedName name="DV_PriortoFall" localSheetId="7">PriortoFall[What was the resident doing prior to fall?]</definedName>
    <definedName name="DV_PriortoFall" localSheetId="16">PriortoFall[What was the resident doing prior to fall?]</definedName>
    <definedName name="DV_PriortoFall" localSheetId="4">PriortoFall[What was the resident doing prior to fall?]</definedName>
    <definedName name="DV_PriortoFall" localSheetId="6">PriortoFall[What was the resident doing prior to fall?]</definedName>
    <definedName name="DV_PriortoFall" localSheetId="12">PriortoFall[What was the resident doing prior to fall?]</definedName>
    <definedName name="DV_PriortoFall" localSheetId="11">PriortoFall[What was the resident doing prior to fall?]</definedName>
    <definedName name="DV_PriortoFall" localSheetId="17">PriortoFall[What was the resident doing prior to fall?]</definedName>
    <definedName name="DV_PriortoFall" localSheetId="10">PriortoFall[What was the resident doing prior to fall?]</definedName>
    <definedName name="DV_PriortoFall">PriortoFall[What was the resident doing prior to fall?]</definedName>
    <definedName name="DV_RCA" localSheetId="5">CF[Contributing Factors]</definedName>
    <definedName name="DV_RCA" localSheetId="9">CF[Contributing Factors]</definedName>
    <definedName name="DV_RCA" localSheetId="15">CF[Contributing Factors]</definedName>
    <definedName name="DV_RCA" localSheetId="13">CF[Contributing Factors]</definedName>
    <definedName name="DV_RCA" localSheetId="19">#REF!</definedName>
    <definedName name="DV_RCA" localSheetId="3">CF[Contributing Factors]</definedName>
    <definedName name="DV_RCA" localSheetId="8">CF[Contributing Factors]</definedName>
    <definedName name="DV_RCA" localSheetId="7">CF[Contributing Factors]</definedName>
    <definedName name="DV_RCA" localSheetId="16">CF[Contributing Factors]</definedName>
    <definedName name="DV_RCA" localSheetId="4">CF[Contributing Factors]</definedName>
    <definedName name="DV_RCA" localSheetId="6">CF[Contributing Factors]</definedName>
    <definedName name="DV_RCA" localSheetId="12">CF[Contributing Factors]</definedName>
    <definedName name="DV_RCA" localSheetId="11">CF[Contributing Factors]</definedName>
    <definedName name="DV_RCA" localSheetId="17">CF[Contributing Factors]</definedName>
    <definedName name="DV_RCA" localSheetId="10">CF[Contributing Factors]</definedName>
    <definedName name="DV_RCA">CF[Contributing Factors]</definedName>
    <definedName name="DV_RCAComp" localSheetId="5">RCA[RCA Completed]</definedName>
    <definedName name="DV_RCAComp" localSheetId="9">RCA[RCA Completed]</definedName>
    <definedName name="DV_RCAComp" localSheetId="15">RCA[RCA Completed]</definedName>
    <definedName name="DV_RCAComp" localSheetId="13">RCA[RCA Completed]</definedName>
    <definedName name="DV_RCAComp" localSheetId="19">#REF!</definedName>
    <definedName name="DV_RCAComp" localSheetId="3">RCA[RCA Completed]</definedName>
    <definedName name="DV_RCAComp" localSheetId="8">RCA[RCA Completed]</definedName>
    <definedName name="DV_RCAComp" localSheetId="7">RCA[RCA Completed]</definedName>
    <definedName name="DV_RCAComp" localSheetId="16">RCA[RCA Completed]</definedName>
    <definedName name="DV_RCAComp" localSheetId="4">RCA[RCA Completed]</definedName>
    <definedName name="DV_RCAComp" localSheetId="6">RCA[RCA Completed]</definedName>
    <definedName name="DV_RCAComp" localSheetId="12">RCA[RCA Completed]</definedName>
    <definedName name="DV_RCAComp" localSheetId="11">RCA[RCA Completed]</definedName>
    <definedName name="DV_RCAComp" localSheetId="17">RCA[RCA Completed]</definedName>
    <definedName name="DV_RCAComp" localSheetId="10">RCA[RCA Completed]</definedName>
    <definedName name="DV_RCAComp">RCA[RCA Completed]</definedName>
    <definedName name="DV_RiskResult" localSheetId="5">FC[Fall Circumstances]</definedName>
    <definedName name="DV_RiskResult" localSheetId="9">FC[Fall Circumstances]</definedName>
    <definedName name="DV_RiskResult" localSheetId="15">FC[Fall Circumstances]</definedName>
    <definedName name="DV_RiskResult" localSheetId="13">FC[Fall Circumstances]</definedName>
    <definedName name="DV_RiskResult" localSheetId="19">#REF!</definedName>
    <definedName name="DV_RiskResult" localSheetId="3">FC[Fall Circumstances]</definedName>
    <definedName name="DV_RiskResult" localSheetId="8">FC[Fall Circumstances]</definedName>
    <definedName name="DV_RiskResult" localSheetId="7">FC[Fall Circumstances]</definedName>
    <definedName name="DV_RiskResult" localSheetId="16">FC[Fall Circumstances]</definedName>
    <definedName name="DV_RiskResult" localSheetId="4">FC[Fall Circumstances]</definedName>
    <definedName name="DV_RiskResult" localSheetId="6">FC[Fall Circumstances]</definedName>
    <definedName name="DV_RiskResult" localSheetId="12">FC[Fall Circumstances]</definedName>
    <definedName name="DV_RiskResult" localSheetId="11">FC[Fall Circumstances]</definedName>
    <definedName name="DV_RiskResult" localSheetId="17">FC[Fall Circumstances]</definedName>
    <definedName name="DV_RiskResult" localSheetId="10">FC[Fall Circumstances]</definedName>
    <definedName name="DV_RiskResult">FC[Fall Circumstances]</definedName>
    <definedName name="DV_Shifts" localSheetId="5">Shifts[Hour]</definedName>
    <definedName name="DV_Shifts" localSheetId="9">Shifts[Hour]</definedName>
    <definedName name="DV_Shifts" localSheetId="15">Shifts[Hour]</definedName>
    <definedName name="DV_Shifts" localSheetId="1">Shifts[Hour]</definedName>
    <definedName name="DV_Shifts" localSheetId="13">Shifts[Hour]</definedName>
    <definedName name="DV_Shifts" localSheetId="19">#REF!</definedName>
    <definedName name="DV_Shifts" localSheetId="14">Shifts[Hour]</definedName>
    <definedName name="DV_Shifts" localSheetId="3">Shifts[Hour]</definedName>
    <definedName name="DV_Shifts" localSheetId="8">Shifts[Hour]</definedName>
    <definedName name="DV_Shifts" localSheetId="7">Shifts[Hour]</definedName>
    <definedName name="DV_Shifts" localSheetId="16">Shifts[Hour]</definedName>
    <definedName name="DV_Shifts" localSheetId="4">Shifts[Hour]</definedName>
    <definedName name="DV_Shifts" localSheetId="6">Shifts[Hour]</definedName>
    <definedName name="DV_Shifts" localSheetId="12">Shifts[Hour]</definedName>
    <definedName name="DV_Shifts" localSheetId="11">Shifts[Hour]</definedName>
    <definedName name="DV_Shifts" localSheetId="17">Shifts[Hour]</definedName>
    <definedName name="DV_Shifts" localSheetId="10">Shifts[Hour]</definedName>
    <definedName name="DV_Shifts">Shifts[Hour]</definedName>
    <definedName name="DV_Station" localSheetId="5">NS[Nurses Stations]</definedName>
    <definedName name="DV_Station" localSheetId="9">NS[Nurses Stations]</definedName>
    <definedName name="DV_Station" localSheetId="15">NS[Nurses Stations]</definedName>
    <definedName name="DV_Station" localSheetId="1">NS[Nurses Stations]</definedName>
    <definedName name="DV_Station" localSheetId="13">NS[Nurses Stations]</definedName>
    <definedName name="DV_Station" localSheetId="19">#REF!</definedName>
    <definedName name="DV_Station" localSheetId="14">NS[Nurses Stations]</definedName>
    <definedName name="DV_Station" localSheetId="3">NS[Nurses Stations]</definedName>
    <definedName name="DV_Station" localSheetId="8">NS[Nurses Stations]</definedName>
    <definedName name="DV_Station" localSheetId="7">NS[Nurses Stations]</definedName>
    <definedName name="DV_Station" localSheetId="16">NS[Nurses Stations]</definedName>
    <definedName name="DV_Station" localSheetId="4">NS[Nurses Stations]</definedName>
    <definedName name="DV_Station" localSheetId="6">NS[Nurses Stations]</definedName>
    <definedName name="DV_Station" localSheetId="12">NS[Nurses Stations]</definedName>
    <definedName name="DV_Station" localSheetId="11">NS[Nurses Stations]</definedName>
    <definedName name="DV_Station" localSheetId="17">NS[Nurses Stations]</definedName>
    <definedName name="DV_Station" localSheetId="10">NS[Nurses Stations]</definedName>
    <definedName name="DV_Station">NS[Nurses Stations]</definedName>
    <definedName name="DV_Witnessed" localSheetId="5">Witness[Witnessed]</definedName>
    <definedName name="DV_Witnessed" localSheetId="9">Witness[Witnessed]</definedName>
    <definedName name="DV_Witnessed" localSheetId="15">Witness[Witnessed]</definedName>
    <definedName name="DV_Witnessed" localSheetId="1">Witness[Witnessed]</definedName>
    <definedName name="DV_Witnessed" localSheetId="13">Witness[Witnessed]</definedName>
    <definedName name="DV_Witnessed" localSheetId="19">#REF!</definedName>
    <definedName name="DV_Witnessed" localSheetId="3">Witness[Witnessed]</definedName>
    <definedName name="DV_Witnessed" localSheetId="8">Witness[Witnessed]</definedName>
    <definedName name="DV_Witnessed" localSheetId="7">Witness[Witnessed]</definedName>
    <definedName name="DV_Witnessed" localSheetId="16">Witness[Witnessed]</definedName>
    <definedName name="DV_Witnessed" localSheetId="4">Witness[Witnessed]</definedName>
    <definedName name="DV_Witnessed" localSheetId="6">Witness[Witnessed]</definedName>
    <definedName name="DV_Witnessed" localSheetId="12">Witness[Witnessed]</definedName>
    <definedName name="DV_Witnessed" localSheetId="11">Witness[Witnessed]</definedName>
    <definedName name="DV_Witnessed" localSheetId="17">Witness[Witnessed]</definedName>
    <definedName name="DV_Witnessed" localSheetId="10">Witness[Witnessed]</definedName>
    <definedName name="DV_Witnessed">Witness[Witnessed]</definedName>
    <definedName name="new">#REF!</definedName>
    <definedName name="_xlnm.Print_Area" localSheetId="14">Falls!$A$1:$P$44</definedName>
    <definedName name="_xlnm.Print_Area" localSheetId="17">Resident!$B$2:$O$172,Resident!$R$2:$U$172</definedName>
    <definedName name="_xlnm.Print_Titles" localSheetId="5">Apr!$1:$1</definedName>
    <definedName name="_xlnm.Print_Titles" localSheetId="9">Aug!$1:$1</definedName>
    <definedName name="_xlnm.Print_Titles" localSheetId="13">Dec!$1:$1</definedName>
    <definedName name="_xlnm.Print_Titles" localSheetId="3">Feb!$1:$1</definedName>
    <definedName name="_xlnm.Print_Titles" localSheetId="2">Jan!$1:$1</definedName>
    <definedName name="_xlnm.Print_Titles" localSheetId="8">July!$1:$1</definedName>
    <definedName name="_xlnm.Print_Titles" localSheetId="7">June!$1:$1</definedName>
    <definedName name="_xlnm.Print_Titles" localSheetId="4">Mar!$1:$1</definedName>
    <definedName name="_xlnm.Print_Titles" localSheetId="6">May!$1:$1</definedName>
    <definedName name="_xlnm.Print_Titles" localSheetId="12">Nov!$1:$1</definedName>
    <definedName name="_xlnm.Print_Titles" localSheetId="11">Oct!$1:$1</definedName>
    <definedName name="_xlnm.Print_Titles" localSheetId="17">Resident!$2:$4</definedName>
    <definedName name="_xlnm.Print_Titles" localSheetId="10">Sept!$1:$1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81" i="62" l="1" a="1"/>
  <c r="AA81" i="62" s="1"/>
  <c r="AA67" i="62" a="1"/>
  <c r="AA67" i="62" s="1"/>
  <c r="AA30" i="62" a="1"/>
  <c r="AA30" i="62" s="1"/>
  <c r="AA14" i="62" a="1"/>
  <c r="AA14" i="62" s="1"/>
  <c r="AA10" i="62" a="1"/>
  <c r="AA10" i="62" s="1"/>
  <c r="Z5" i="62"/>
  <c r="AA5" i="62" s="1" a="1"/>
  <c r="AA5" i="62" s="1"/>
  <c r="Z6" i="62"/>
  <c r="AA6" i="62" s="1" a="1"/>
  <c r="AA6" i="62" s="1"/>
  <c r="Z7" i="62"/>
  <c r="AA7" i="62" s="1" a="1"/>
  <c r="AA7" i="62" s="1"/>
  <c r="Z8" i="62"/>
  <c r="AA8" i="62" s="1" a="1"/>
  <c r="AA8" i="62" s="1"/>
  <c r="Z9" i="62"/>
  <c r="AA9" i="62" s="1" a="1"/>
  <c r="AA9" i="62" s="1"/>
  <c r="Z10" i="62"/>
  <c r="Z11" i="62"/>
  <c r="AA11" i="62" s="1" a="1"/>
  <c r="AA11" i="62" s="1"/>
  <c r="Z12" i="62"/>
  <c r="AA12" i="62" s="1" a="1"/>
  <c r="AA12" i="62" s="1"/>
  <c r="Z13" i="62"/>
  <c r="AA13" i="62" s="1" a="1"/>
  <c r="AA13" i="62" s="1"/>
  <c r="Z14" i="62"/>
  <c r="Z15" i="62"/>
  <c r="AA15" i="62" s="1" a="1"/>
  <c r="AA15" i="62" s="1"/>
  <c r="Z16" i="62"/>
  <c r="AA16" i="62" s="1" a="1"/>
  <c r="AA16" i="62" s="1"/>
  <c r="Z17" i="62"/>
  <c r="AA17" i="62" s="1" a="1"/>
  <c r="AA17" i="62" s="1"/>
  <c r="Z18" i="62"/>
  <c r="AA18" i="62" s="1" a="1"/>
  <c r="AA18" i="62" s="1"/>
  <c r="Z19" i="62"/>
  <c r="AA19" i="62" s="1" a="1"/>
  <c r="AA19" i="62" s="1"/>
  <c r="Z20" i="62"/>
  <c r="AA20" i="62" s="1" a="1"/>
  <c r="AA20" i="62" s="1"/>
  <c r="Z21" i="62"/>
  <c r="AA21" i="62" s="1" a="1"/>
  <c r="AA21" i="62" s="1"/>
  <c r="Z22" i="62"/>
  <c r="AA22" i="62" s="1" a="1"/>
  <c r="AA22" i="62" s="1"/>
  <c r="Z23" i="62"/>
  <c r="AA23" i="62" s="1" a="1"/>
  <c r="AA23" i="62" s="1"/>
  <c r="Z24" i="62"/>
  <c r="AA24" i="62" s="1" a="1"/>
  <c r="AA24" i="62" s="1"/>
  <c r="Z25" i="62"/>
  <c r="AA25" i="62" s="1" a="1"/>
  <c r="AA25" i="62" s="1"/>
  <c r="Z26" i="62"/>
  <c r="AA26" i="62" s="1" a="1"/>
  <c r="AA26" i="62" s="1"/>
  <c r="Z27" i="62"/>
  <c r="AA27" i="62" s="1" a="1"/>
  <c r="AA27" i="62" s="1"/>
  <c r="Z28" i="62"/>
  <c r="AA28" i="62" s="1" a="1"/>
  <c r="AA28" i="62" s="1"/>
  <c r="Z29" i="62"/>
  <c r="AA29" i="62" s="1" a="1"/>
  <c r="AA29" i="62" s="1"/>
  <c r="Z30" i="62"/>
  <c r="Z31" i="62"/>
  <c r="AA31" i="62" s="1" a="1"/>
  <c r="AA31" i="62" s="1"/>
  <c r="Z32" i="62"/>
  <c r="AA32" i="62" s="1" a="1"/>
  <c r="AA32" i="62" s="1"/>
  <c r="Z33" i="62"/>
  <c r="AA33" i="62" s="1" a="1"/>
  <c r="AA33" i="62" s="1"/>
  <c r="Z34" i="62"/>
  <c r="AA34" i="62" s="1" a="1"/>
  <c r="AA34" i="62" s="1"/>
  <c r="Z35" i="62"/>
  <c r="AA35" i="62" s="1" a="1"/>
  <c r="AA35" i="62" s="1"/>
  <c r="Z36" i="62"/>
  <c r="AA36" i="62" s="1" a="1"/>
  <c r="AA36" i="62" s="1"/>
  <c r="Z37" i="62"/>
  <c r="AA37" i="62" s="1" a="1"/>
  <c r="AA37" i="62" s="1"/>
  <c r="Z38" i="62"/>
  <c r="AA38" i="62" s="1" a="1"/>
  <c r="AA38" i="62" s="1"/>
  <c r="Z39" i="62"/>
  <c r="AA39" i="62" s="1" a="1"/>
  <c r="AA39" i="62" s="1"/>
  <c r="Z40" i="62"/>
  <c r="AA40" i="62" s="1" a="1"/>
  <c r="AA40" i="62" s="1"/>
  <c r="Z41" i="62"/>
  <c r="AA41" i="62" s="1" a="1"/>
  <c r="AA41" i="62" s="1"/>
  <c r="Z42" i="62"/>
  <c r="AA42" i="62" s="1" a="1"/>
  <c r="AA42" i="62" s="1"/>
  <c r="Z43" i="62"/>
  <c r="AA43" i="62" s="1" a="1"/>
  <c r="AA43" i="62" s="1"/>
  <c r="Z44" i="62"/>
  <c r="AA44" i="62" s="1" a="1"/>
  <c r="AA44" i="62" s="1"/>
  <c r="Z45" i="62"/>
  <c r="AA45" i="62" s="1" a="1"/>
  <c r="AA45" i="62" s="1"/>
  <c r="Z46" i="62"/>
  <c r="AA46" i="62" s="1" a="1"/>
  <c r="AA46" i="62" s="1"/>
  <c r="Z47" i="62"/>
  <c r="AA47" i="62" s="1" a="1"/>
  <c r="AA47" i="62" s="1"/>
  <c r="Z48" i="62"/>
  <c r="AA48" i="62" s="1" a="1"/>
  <c r="AA48" i="62" s="1"/>
  <c r="Z49" i="62"/>
  <c r="AA49" i="62" s="1" a="1"/>
  <c r="AA49" i="62" s="1"/>
  <c r="Z50" i="62"/>
  <c r="AA50" i="62" s="1" a="1"/>
  <c r="AA50" i="62" s="1"/>
  <c r="Z51" i="62"/>
  <c r="AA51" i="62" s="1" a="1"/>
  <c r="AA51" i="62" s="1"/>
  <c r="Z52" i="62"/>
  <c r="AA52" i="62" s="1" a="1"/>
  <c r="AA52" i="62" s="1"/>
  <c r="Z53" i="62"/>
  <c r="AA53" i="62" s="1" a="1"/>
  <c r="AA53" i="62" s="1"/>
  <c r="Z54" i="62"/>
  <c r="AA54" i="62" s="1" a="1"/>
  <c r="AA54" i="62" s="1"/>
  <c r="Z55" i="62"/>
  <c r="AA55" i="62" s="1" a="1"/>
  <c r="AA55" i="62" s="1"/>
  <c r="Z56" i="62"/>
  <c r="AA56" i="62" s="1" a="1"/>
  <c r="AA56" i="62" s="1"/>
  <c r="Z57" i="62"/>
  <c r="AA57" i="62" s="1" a="1"/>
  <c r="AA57" i="62" s="1"/>
  <c r="Z58" i="62"/>
  <c r="AA58" i="62" s="1" a="1"/>
  <c r="AA58" i="62" s="1"/>
  <c r="Z59" i="62"/>
  <c r="AA59" i="62" s="1" a="1"/>
  <c r="AA59" i="62" s="1"/>
  <c r="Z60" i="62"/>
  <c r="AA60" i="62" s="1" a="1"/>
  <c r="AA60" i="62" s="1"/>
  <c r="Z61" i="62"/>
  <c r="AA61" i="62" s="1" a="1"/>
  <c r="AA61" i="62" s="1"/>
  <c r="Z62" i="62"/>
  <c r="AA62" i="62" s="1" a="1"/>
  <c r="AA62" i="62" s="1"/>
  <c r="Z63" i="62"/>
  <c r="AA63" i="62" s="1" a="1"/>
  <c r="AA63" i="62" s="1"/>
  <c r="Z64" i="62"/>
  <c r="AA64" i="62" s="1" a="1"/>
  <c r="AA64" i="62" s="1"/>
  <c r="Z65" i="62"/>
  <c r="AA65" i="62" s="1" a="1"/>
  <c r="AA65" i="62" s="1"/>
  <c r="Z66" i="62"/>
  <c r="AA66" i="62" s="1" a="1"/>
  <c r="AA66" i="62" s="1"/>
  <c r="Z67" i="62"/>
  <c r="Z68" i="62"/>
  <c r="AA68" i="62" s="1" a="1"/>
  <c r="AA68" i="62" s="1"/>
  <c r="Z69" i="62"/>
  <c r="AA69" i="62" s="1" a="1"/>
  <c r="AA69" i="62" s="1"/>
  <c r="Z70" i="62"/>
  <c r="AA70" i="62" s="1" a="1"/>
  <c r="AA70" i="62" s="1"/>
  <c r="Z71" i="62"/>
  <c r="AA71" i="62" s="1" a="1"/>
  <c r="AA71" i="62" s="1"/>
  <c r="Z72" i="62"/>
  <c r="AA72" i="62" s="1" a="1"/>
  <c r="AA72" i="62" s="1"/>
  <c r="Z73" i="62"/>
  <c r="AA73" i="62" s="1" a="1"/>
  <c r="AA73" i="62" s="1"/>
  <c r="Z74" i="62"/>
  <c r="AA74" i="62" s="1" a="1"/>
  <c r="AA74" i="62" s="1"/>
  <c r="Z75" i="62"/>
  <c r="AA75" i="62" s="1" a="1"/>
  <c r="AA75" i="62" s="1"/>
  <c r="Z76" i="62"/>
  <c r="AA76" i="62" s="1" a="1"/>
  <c r="AA76" i="62" s="1"/>
  <c r="Z77" i="62"/>
  <c r="AA77" i="62" s="1" a="1"/>
  <c r="AA77" i="62" s="1"/>
  <c r="Z78" i="62"/>
  <c r="AA78" i="62" s="1" a="1"/>
  <c r="AA78" i="62" s="1"/>
  <c r="Z79" i="62"/>
  <c r="AA79" i="62" s="1" a="1"/>
  <c r="AA79" i="62" s="1"/>
  <c r="Z80" i="62"/>
  <c r="AA80" i="62" s="1" a="1"/>
  <c r="AA80" i="62" s="1"/>
  <c r="Z81" i="62"/>
  <c r="Z82" i="62"/>
  <c r="AA82" i="62" s="1" a="1"/>
  <c r="AA82" i="62" s="1"/>
  <c r="Z83" i="62"/>
  <c r="AA83" i="62" s="1" a="1"/>
  <c r="AA83" i="62" s="1"/>
  <c r="Z84" i="62"/>
  <c r="AA84" i="62" s="1" a="1"/>
  <c r="AA84" i="62" s="1"/>
  <c r="Z85" i="62"/>
  <c r="AA85" i="62" s="1" a="1"/>
  <c r="AA85" i="62" s="1"/>
  <c r="Z86" i="62"/>
  <c r="AA86" i="62" s="1" a="1"/>
  <c r="AA86" i="62" s="1"/>
  <c r="Z87" i="62"/>
  <c r="AA87" i="62" s="1" a="1"/>
  <c r="AA87" i="62" s="1"/>
  <c r="Z88" i="62"/>
  <c r="AA88" i="62" s="1" a="1"/>
  <c r="AA88" i="62" s="1"/>
  <c r="Z89" i="62"/>
  <c r="AA89" i="62" s="1" a="1"/>
  <c r="AA89" i="62" s="1"/>
  <c r="Z90" i="62"/>
  <c r="AA90" i="62" s="1" a="1"/>
  <c r="AA90" i="62" s="1"/>
  <c r="Z91" i="62"/>
  <c r="AA91" i="62" s="1" a="1"/>
  <c r="AA91" i="62" s="1"/>
  <c r="Z92" i="62"/>
  <c r="AA92" i="62" s="1" a="1"/>
  <c r="AA92" i="62" s="1"/>
  <c r="Z93" i="62"/>
  <c r="AA93" i="62" s="1" a="1"/>
  <c r="AA93" i="62" s="1"/>
  <c r="Z94" i="62"/>
  <c r="AA94" i="62" s="1" a="1"/>
  <c r="AA94" i="62" s="1"/>
  <c r="Z95" i="62"/>
  <c r="AA95" i="62" s="1" a="1"/>
  <c r="AA95" i="62" s="1"/>
  <c r="Z96" i="62"/>
  <c r="AA96" i="62" s="1" a="1"/>
  <c r="AA96" i="62" s="1"/>
  <c r="Z97" i="62"/>
  <c r="AA97" i="62" s="1" a="1"/>
  <c r="AA97" i="62" s="1"/>
  <c r="Z98" i="62"/>
  <c r="AA98" i="62" s="1" a="1"/>
  <c r="AA98" i="62" s="1"/>
  <c r="Z99" i="62"/>
  <c r="AA99" i="62" s="1" a="1"/>
  <c r="AA99" i="62" s="1"/>
  <c r="Z100" i="62"/>
  <c r="AA100" i="62" s="1" a="1"/>
  <c r="AA100" i="62" s="1"/>
  <c r="Z101" i="62"/>
  <c r="AA101" i="62" s="1" a="1"/>
  <c r="AA101" i="62" s="1"/>
  <c r="Z102" i="62"/>
  <c r="AA102" i="62" s="1" a="1"/>
  <c r="AA102" i="62" s="1"/>
  <c r="Z103" i="62"/>
  <c r="AA103" i="62" s="1" a="1"/>
  <c r="AA103" i="62" s="1"/>
  <c r="Z104" i="62"/>
  <c r="AA104" i="62" s="1" a="1"/>
  <c r="AA104" i="62" s="1"/>
  <c r="Z105" i="62"/>
  <c r="AA105" i="62" s="1" a="1"/>
  <c r="AA105" i="62" s="1"/>
  <c r="Z106" i="62"/>
  <c r="AA106" i="62" s="1" a="1"/>
  <c r="AA106" i="62" s="1"/>
  <c r="Z107" i="62"/>
  <c r="AA107" i="62" s="1" a="1"/>
  <c r="AA107" i="62" s="1"/>
  <c r="Z108" i="62"/>
  <c r="AA108" i="62" s="1" a="1"/>
  <c r="AA108" i="62" s="1"/>
  <c r="Z109" i="62"/>
  <c r="AA109" i="62" s="1" a="1"/>
  <c r="AA109" i="62" s="1"/>
  <c r="Z110" i="62"/>
  <c r="AA110" i="62" s="1" a="1"/>
  <c r="AA110" i="62" s="1"/>
  <c r="Z111" i="62"/>
  <c r="AA111" i="62" s="1" a="1"/>
  <c r="AA111" i="62" s="1"/>
  <c r="Z112" i="62"/>
  <c r="AA112" i="62" s="1" a="1"/>
  <c r="AA112" i="62" s="1"/>
  <c r="Z113" i="62"/>
  <c r="AA113" i="62" s="1" a="1"/>
  <c r="AA113" i="62" s="1"/>
  <c r="Z114" i="62"/>
  <c r="AA114" i="62" s="1" a="1"/>
  <c r="AA114" i="62" s="1"/>
  <c r="Z115" i="62"/>
  <c r="AA115" i="62" s="1" a="1"/>
  <c r="AA115" i="62" s="1"/>
  <c r="Z116" i="62"/>
  <c r="AA116" i="62" s="1" a="1"/>
  <c r="AA116" i="62" s="1"/>
  <c r="Z117" i="62"/>
  <c r="AA117" i="62" s="1" a="1"/>
  <c r="AA117" i="62" s="1"/>
  <c r="Z118" i="62"/>
  <c r="AA118" i="62" s="1" a="1"/>
  <c r="AA118" i="62" s="1"/>
  <c r="Z119" i="62"/>
  <c r="AA119" i="62" s="1" a="1"/>
  <c r="AA119" i="62" s="1"/>
  <c r="Z120" i="62"/>
  <c r="AA120" i="62" s="1" a="1"/>
  <c r="AA120" i="62" s="1"/>
  <c r="Z121" i="62"/>
  <c r="AA121" i="62" s="1" a="1"/>
  <c r="AA121" i="62" s="1"/>
  <c r="Z122" i="62"/>
  <c r="AA122" i="62" s="1" a="1"/>
  <c r="AA122" i="62" s="1"/>
  <c r="Z123" i="62"/>
  <c r="AA123" i="62" s="1" a="1"/>
  <c r="AA123" i="62" s="1"/>
  <c r="Z124" i="62"/>
  <c r="AA124" i="62" s="1" a="1"/>
  <c r="AA124" i="62" s="1"/>
  <c r="Z125" i="62"/>
  <c r="AA125" i="62" s="1" a="1"/>
  <c r="AA125" i="62" s="1"/>
  <c r="Z126" i="62"/>
  <c r="AA126" i="62" s="1" a="1"/>
  <c r="AA126" i="62" s="1"/>
  <c r="Z127" i="62"/>
  <c r="AA127" i="62" s="1" a="1"/>
  <c r="AA127" i="62" s="1"/>
  <c r="Z128" i="62"/>
  <c r="AA128" i="62" s="1" a="1"/>
  <c r="AA128" i="62" s="1"/>
  <c r="Z129" i="62"/>
  <c r="AA129" i="62" s="1" a="1"/>
  <c r="AA129" i="62" s="1"/>
  <c r="Z130" i="62"/>
  <c r="AA130" i="62" s="1" a="1"/>
  <c r="AA130" i="62" s="1"/>
  <c r="Z131" i="62"/>
  <c r="AA131" i="62" s="1" a="1"/>
  <c r="AA131" i="62" s="1"/>
  <c r="Z132" i="62"/>
  <c r="AA132" i="62" s="1" a="1"/>
  <c r="AA132" i="62" s="1"/>
  <c r="Z133" i="62"/>
  <c r="AA133" i="62" s="1" a="1"/>
  <c r="AA133" i="62" s="1"/>
  <c r="Z134" i="62"/>
  <c r="AA134" i="62" s="1" a="1"/>
  <c r="AA134" i="62" s="1"/>
  <c r="Z135" i="62"/>
  <c r="AA135" i="62" s="1" a="1"/>
  <c r="AA135" i="62" s="1"/>
  <c r="Z136" i="62"/>
  <c r="AA136" i="62" s="1" a="1"/>
  <c r="AA136" i="62" s="1"/>
  <c r="Z137" i="62"/>
  <c r="AA137" i="62" s="1" a="1"/>
  <c r="AA137" i="62" s="1"/>
  <c r="Z138" i="62"/>
  <c r="AA138" i="62" s="1" a="1"/>
  <c r="AA138" i="62" s="1"/>
  <c r="Z139" i="62"/>
  <c r="AA139" i="62" s="1" a="1"/>
  <c r="AA139" i="62" s="1"/>
  <c r="Z140" i="62"/>
  <c r="AA140" i="62" s="1" a="1"/>
  <c r="AA140" i="62" s="1"/>
  <c r="Z141" i="62"/>
  <c r="AA141" i="62" s="1" a="1"/>
  <c r="AA141" i="62" s="1"/>
  <c r="Z142" i="62"/>
  <c r="AA142" i="62" s="1" a="1"/>
  <c r="AA142" i="62" s="1"/>
  <c r="Z143" i="62"/>
  <c r="AA143" i="62" s="1" a="1"/>
  <c r="AA143" i="62" s="1"/>
  <c r="Z144" i="62"/>
  <c r="AA144" i="62" s="1" a="1"/>
  <c r="AA144" i="62" s="1"/>
  <c r="Z145" i="62"/>
  <c r="AA145" i="62" s="1" a="1"/>
  <c r="AA145" i="62" s="1"/>
  <c r="Z146" i="62"/>
  <c r="AA146" i="62" s="1" a="1"/>
  <c r="AA146" i="62" s="1"/>
  <c r="Z147" i="62"/>
  <c r="AA147" i="62" s="1" a="1"/>
  <c r="AA147" i="62" s="1"/>
  <c r="Z148" i="62"/>
  <c r="AA148" i="62" s="1" a="1"/>
  <c r="AA148" i="62" s="1"/>
  <c r="Z149" i="62"/>
  <c r="AA149" i="62" s="1" a="1"/>
  <c r="AA149" i="62" s="1"/>
  <c r="Z150" i="62"/>
  <c r="AA150" i="62" s="1" a="1"/>
  <c r="AA150" i="62" s="1"/>
  <c r="Z151" i="62"/>
  <c r="AA151" i="62" s="1" a="1"/>
  <c r="AA151" i="62" s="1"/>
  <c r="Z152" i="62"/>
  <c r="AA152" i="62" s="1" a="1"/>
  <c r="AA152" i="62" s="1"/>
  <c r="Z153" i="62"/>
  <c r="AA153" i="62" s="1" a="1"/>
  <c r="AA153" i="62" s="1"/>
  <c r="Z154" i="62"/>
  <c r="AA154" i="62" s="1" a="1"/>
  <c r="AA154" i="62" s="1"/>
  <c r="Z155" i="62"/>
  <c r="AA155" i="62" s="1" a="1"/>
  <c r="AA155" i="62" s="1"/>
  <c r="Z156" i="62"/>
  <c r="AA156" i="62" s="1" a="1"/>
  <c r="AA156" i="62" s="1"/>
  <c r="Z157" i="62"/>
  <c r="AA157" i="62" s="1" a="1"/>
  <c r="AA157" i="62" s="1"/>
  <c r="Z158" i="62"/>
  <c r="AA158" i="62" s="1" a="1"/>
  <c r="AA158" i="62" s="1"/>
  <c r="Z159" i="62"/>
  <c r="AA159" i="62" s="1" a="1"/>
  <c r="AA159" i="62" s="1"/>
  <c r="Z160" i="62"/>
  <c r="AA160" i="62" s="1" a="1"/>
  <c r="AA160" i="62" s="1"/>
  <c r="Z161" i="62"/>
  <c r="AA161" i="62" s="1" a="1"/>
  <c r="AA161" i="62" s="1"/>
  <c r="Z162" i="62"/>
  <c r="AA162" i="62" s="1" a="1"/>
  <c r="AA162" i="62" s="1"/>
  <c r="Z163" i="62"/>
  <c r="AA163" i="62" s="1" a="1"/>
  <c r="AA163" i="62" s="1"/>
  <c r="Z164" i="62"/>
  <c r="AA164" i="62" s="1" a="1"/>
  <c r="AA164" i="62" s="1"/>
  <c r="Z165" i="62"/>
  <c r="AA165" i="62" s="1" a="1"/>
  <c r="AA165" i="62" s="1"/>
  <c r="Z166" i="62"/>
  <c r="AA166" i="62" s="1" a="1"/>
  <c r="AA166" i="62" s="1"/>
  <c r="Z167" i="62"/>
  <c r="AA167" i="62" s="1" a="1"/>
  <c r="AA167" i="62" s="1"/>
  <c r="Z168" i="62"/>
  <c r="AA168" i="62" s="1" a="1"/>
  <c r="AA168" i="62" s="1"/>
  <c r="Z169" i="62"/>
  <c r="AA169" i="62" s="1" a="1"/>
  <c r="AA169" i="62" s="1"/>
  <c r="Z170" i="62"/>
  <c r="AA170" i="62" s="1" a="1"/>
  <c r="AA170" i="62" s="1"/>
  <c r="Z171" i="62"/>
  <c r="AA171" i="62" s="1" a="1"/>
  <c r="AA171" i="62" s="1"/>
  <c r="Z172" i="62"/>
  <c r="AA172" i="62" s="1" a="1"/>
  <c r="AA172" i="62" s="1"/>
  <c r="Z173" i="62"/>
  <c r="AA173" i="62" s="1" a="1"/>
  <c r="AA173" i="62" s="1"/>
  <c r="Z174" i="62"/>
  <c r="AA174" i="62" s="1" a="1"/>
  <c r="AA174" i="62" s="1"/>
  <c r="Z175" i="62"/>
  <c r="AA175" i="62" s="1" a="1"/>
  <c r="AA175" i="62" s="1"/>
  <c r="Z176" i="62"/>
  <c r="AA176" i="62" s="1" a="1"/>
  <c r="AA176" i="62" s="1"/>
  <c r="Z177" i="62"/>
  <c r="AA177" i="62" s="1" a="1"/>
  <c r="AA177" i="62" s="1"/>
  <c r="Z178" i="62"/>
  <c r="AA178" i="62" s="1" a="1"/>
  <c r="AA178" i="62" s="1"/>
  <c r="Z179" i="62"/>
  <c r="AA179" i="62" s="1" a="1"/>
  <c r="AA179" i="62" s="1"/>
  <c r="Z180" i="62"/>
  <c r="AA180" i="62" s="1" a="1"/>
  <c r="AA180" i="62" s="1"/>
  <c r="Z181" i="62"/>
  <c r="AA181" i="62" s="1" a="1"/>
  <c r="AA181" i="62" s="1"/>
  <c r="Z182" i="62"/>
  <c r="AA182" i="62" s="1" a="1"/>
  <c r="AA182" i="62" s="1"/>
  <c r="Z183" i="62"/>
  <c r="AA183" i="62" s="1" a="1"/>
  <c r="AA183" i="62" s="1"/>
  <c r="Z184" i="62"/>
  <c r="AA184" i="62" s="1" a="1"/>
  <c r="AA184" i="62" s="1"/>
  <c r="Z185" i="62"/>
  <c r="AA185" i="62" s="1" a="1"/>
  <c r="AA185" i="62" s="1"/>
  <c r="Z186" i="62"/>
  <c r="AA186" i="62" s="1" a="1"/>
  <c r="AA186" i="62" s="1"/>
  <c r="Z187" i="62"/>
  <c r="AA187" i="62" s="1" a="1"/>
  <c r="AA187" i="62" s="1"/>
  <c r="Z188" i="62"/>
  <c r="AA188" i="62" s="1" a="1"/>
  <c r="AA188" i="62" s="1"/>
  <c r="Z189" i="62"/>
  <c r="AA189" i="62" s="1" a="1"/>
  <c r="AA189" i="62" s="1"/>
  <c r="Z190" i="62"/>
  <c r="AA190" i="62" s="1" a="1"/>
  <c r="AA190" i="62" s="1"/>
  <c r="Z191" i="62"/>
  <c r="AA191" i="62" s="1" a="1"/>
  <c r="AA191" i="62" s="1"/>
  <c r="Z192" i="62"/>
  <c r="AA192" i="62" s="1" a="1"/>
  <c r="AA192" i="62" s="1"/>
  <c r="Z193" i="62"/>
  <c r="AA193" i="62" s="1" a="1"/>
  <c r="AA193" i="62" s="1"/>
  <c r="Z194" i="62"/>
  <c r="AA194" i="62" s="1" a="1"/>
  <c r="AA194" i="62" s="1"/>
  <c r="Z195" i="62"/>
  <c r="AA195" i="62" s="1" a="1"/>
  <c r="AA195" i="62" s="1"/>
  <c r="Z196" i="62"/>
  <c r="AA196" i="62" s="1" a="1"/>
  <c r="AA196" i="62" s="1"/>
  <c r="Z197" i="62"/>
  <c r="AA197" i="62" s="1" a="1"/>
  <c r="AA197" i="62" s="1"/>
  <c r="Z198" i="62"/>
  <c r="AA198" i="62" s="1" a="1"/>
  <c r="AA198" i="62" s="1"/>
  <c r="Z199" i="62"/>
  <c r="Z200" i="62"/>
  <c r="Z201" i="62"/>
  <c r="AA201" i="62" s="1" a="1"/>
  <c r="AA201" i="62" s="1"/>
  <c r="Z202" i="62"/>
  <c r="AA202" i="62" s="1" a="1"/>
  <c r="AA202" i="62" s="1"/>
  <c r="Z203" i="62"/>
  <c r="AA203" i="62" s="1" a="1"/>
  <c r="AA203" i="62" s="1"/>
  <c r="Z204" i="62"/>
  <c r="AA204" i="62" s="1" a="1"/>
  <c r="AA204" i="62" s="1"/>
  <c r="Z205" i="62"/>
  <c r="AA205" i="62" s="1" a="1"/>
  <c r="AA205" i="62" s="1"/>
  <c r="Z206" i="62"/>
  <c r="AA206" i="62" s="1" a="1"/>
  <c r="AA206" i="62" s="1"/>
  <c r="Z207" i="62"/>
  <c r="AA207" i="62" s="1" a="1"/>
  <c r="AA207" i="62" s="1"/>
  <c r="Z208" i="62"/>
  <c r="AA208" i="62" s="1" a="1"/>
  <c r="AA208" i="62" s="1"/>
  <c r="Z209" i="62"/>
  <c r="AA209" i="62" s="1" a="1"/>
  <c r="AA209" i="62" s="1"/>
  <c r="Z210" i="62"/>
  <c r="AA210" i="62" s="1" a="1"/>
  <c r="AA210" i="62" s="1"/>
  <c r="Z211" i="62"/>
  <c r="AA211" i="62" s="1" a="1"/>
  <c r="AA211" i="62" s="1"/>
  <c r="Z212" i="62"/>
  <c r="AA212" i="62" s="1" a="1"/>
  <c r="AA212" i="62" s="1"/>
  <c r="Z213" i="62"/>
  <c r="AA213" i="62" s="1" a="1"/>
  <c r="AA213" i="62" s="1"/>
  <c r="Z214" i="62"/>
  <c r="AA214" i="62" s="1" a="1"/>
  <c r="AA214" i="62" s="1"/>
  <c r="Z215" i="62"/>
  <c r="AA215" i="62" s="1" a="1"/>
  <c r="AA215" i="62" s="1"/>
  <c r="Z216" i="62"/>
  <c r="AA216" i="62" s="1" a="1"/>
  <c r="AA216" i="62" s="1"/>
  <c r="Z217" i="62"/>
  <c r="AA217" i="62" s="1" a="1"/>
  <c r="AA217" i="62" s="1"/>
  <c r="Z218" i="62"/>
  <c r="AA218" i="62" s="1" a="1"/>
  <c r="AA218" i="62" s="1"/>
  <c r="Z219" i="62"/>
  <c r="AA219" i="62" s="1" a="1"/>
  <c r="AA219" i="62" s="1"/>
  <c r="Z220" i="62"/>
  <c r="AA220" i="62" s="1" a="1"/>
  <c r="AA220" i="62" s="1"/>
  <c r="Z221" i="62"/>
  <c r="AA221" i="62" s="1" a="1"/>
  <c r="AA221" i="62" s="1"/>
  <c r="Z222" i="62"/>
  <c r="AA222" i="62" s="1" a="1"/>
  <c r="AA222" i="62" s="1"/>
  <c r="Z223" i="62"/>
  <c r="AA223" i="62" s="1" a="1"/>
  <c r="AA223" i="62" s="1"/>
  <c r="Z224" i="62"/>
  <c r="AA224" i="62" s="1" a="1"/>
  <c r="AA224" i="62" s="1"/>
  <c r="Z225" i="62"/>
  <c r="AA225" i="62" s="1" a="1"/>
  <c r="AA225" i="62" s="1"/>
  <c r="Z226" i="62"/>
  <c r="AA226" i="62" s="1" a="1"/>
  <c r="AA226" i="62" s="1"/>
  <c r="Z227" i="62"/>
  <c r="AA227" i="62" s="1" a="1"/>
  <c r="AA227" i="62" s="1"/>
  <c r="Z228" i="62"/>
  <c r="AA228" i="62" s="1" a="1"/>
  <c r="AA228" i="62" s="1"/>
  <c r="Z229" i="62"/>
  <c r="AA229" i="62" s="1" a="1"/>
  <c r="AA229" i="62" s="1"/>
  <c r="Z230" i="62"/>
  <c r="AA230" i="62" s="1" a="1"/>
  <c r="AA230" i="62" s="1"/>
  <c r="Z231" i="62"/>
  <c r="AA231" i="62" s="1" a="1"/>
  <c r="AA231" i="62" s="1"/>
  <c r="Z232" i="62"/>
  <c r="AA232" i="62" s="1" a="1"/>
  <c r="AA232" i="62" s="1"/>
  <c r="Z233" i="62"/>
  <c r="AA233" i="62" s="1" a="1"/>
  <c r="AA233" i="62" s="1"/>
  <c r="Z234" i="62"/>
  <c r="AA234" i="62" s="1" a="1"/>
  <c r="AA234" i="62" s="1"/>
  <c r="Z235" i="62"/>
  <c r="AA235" i="62" s="1" a="1"/>
  <c r="AA235" i="62" s="1"/>
  <c r="Z236" i="62"/>
  <c r="AA236" i="62" s="1" a="1"/>
  <c r="AA236" i="62" s="1"/>
  <c r="Z237" i="62"/>
  <c r="AA237" i="62" s="1" a="1"/>
  <c r="AA237" i="62" s="1"/>
  <c r="Z238" i="62"/>
  <c r="AA238" i="62" s="1" a="1"/>
  <c r="AA238" i="62" s="1"/>
  <c r="Z239" i="62"/>
  <c r="AA239" i="62" s="1" a="1"/>
  <c r="AA239" i="62" s="1"/>
  <c r="Z240" i="62"/>
  <c r="AA240" i="62" s="1" a="1"/>
  <c r="AA240" i="62" s="1"/>
  <c r="Z241" i="62"/>
  <c r="AA241" i="62" s="1" a="1"/>
  <c r="AA241" i="62" s="1"/>
  <c r="Z242" i="62"/>
  <c r="AA242" i="62" s="1" a="1"/>
  <c r="AA242" i="62" s="1"/>
  <c r="Z243" i="62"/>
  <c r="AA243" i="62" s="1" a="1"/>
  <c r="AA243" i="62" s="1"/>
  <c r="Z244" i="62"/>
  <c r="AA244" i="62" s="1" a="1"/>
  <c r="AA244" i="62" s="1"/>
  <c r="Z245" i="62"/>
  <c r="AA245" i="62" s="1" a="1"/>
  <c r="AA245" i="62" s="1"/>
  <c r="Z246" i="62"/>
  <c r="AA246" i="62" s="1" a="1"/>
  <c r="AA246" i="62" s="1"/>
  <c r="Z247" i="62"/>
  <c r="AA247" i="62" s="1" a="1"/>
  <c r="AA247" i="62" s="1"/>
  <c r="Z248" i="62"/>
  <c r="AA248" i="62" s="1" a="1"/>
  <c r="AA248" i="62" s="1"/>
  <c r="Z249" i="62"/>
  <c r="AA249" i="62" s="1" a="1"/>
  <c r="AA249" i="62" s="1"/>
  <c r="Z250" i="62"/>
  <c r="AA250" i="62" s="1" a="1"/>
  <c r="AA250" i="62" s="1"/>
  <c r="Z251" i="62"/>
  <c r="AA251" i="62" s="1" a="1"/>
  <c r="AA251" i="62" s="1"/>
  <c r="Z252" i="62"/>
  <c r="AA252" i="62" s="1" a="1"/>
  <c r="AA252" i="62" s="1"/>
  <c r="Z253" i="62"/>
  <c r="AA253" i="62" s="1" a="1"/>
  <c r="AA253" i="62" s="1"/>
  <c r="Z254" i="62"/>
  <c r="AA254" i="62" s="1" a="1"/>
  <c r="AA254" i="62" s="1"/>
  <c r="Z255" i="62"/>
  <c r="AA255" i="62" s="1" a="1"/>
  <c r="AA255" i="62" s="1"/>
  <c r="Z256" i="62"/>
  <c r="AA256" i="62" s="1" a="1"/>
  <c r="AA256" i="62" s="1"/>
  <c r="Z257" i="62"/>
  <c r="AA257" i="62" s="1" a="1"/>
  <c r="AA257" i="62" s="1"/>
  <c r="Z258" i="62"/>
  <c r="AA258" i="62" s="1" a="1"/>
  <c r="AA258" i="62" s="1"/>
  <c r="Z259" i="62"/>
  <c r="AA259" i="62" s="1" a="1"/>
  <c r="AA259" i="62" s="1"/>
  <c r="Z260" i="62"/>
  <c r="AA260" i="62" s="1" a="1"/>
  <c r="AA260" i="62" s="1"/>
  <c r="Z261" i="62"/>
  <c r="AA261" i="62" s="1" a="1"/>
  <c r="AA261" i="62" s="1"/>
  <c r="Z262" i="62"/>
  <c r="AA262" i="62" s="1" a="1"/>
  <c r="AA262" i="62" s="1"/>
  <c r="Z263" i="62"/>
  <c r="AA263" i="62" s="1" a="1"/>
  <c r="AA263" i="62" s="1"/>
  <c r="Z264" i="62"/>
  <c r="AA264" i="62" s="1" a="1"/>
  <c r="AA264" i="62" s="1"/>
  <c r="Z265" i="62"/>
  <c r="AA265" i="62" s="1" a="1"/>
  <c r="AA265" i="62" s="1"/>
  <c r="Z266" i="62"/>
  <c r="AA266" i="62" s="1" a="1"/>
  <c r="AA266" i="62" s="1"/>
  <c r="Z267" i="62"/>
  <c r="AA267" i="62" s="1" a="1"/>
  <c r="AA267" i="62" s="1"/>
  <c r="Z268" i="62"/>
  <c r="AA268" i="62" s="1" a="1"/>
  <c r="AA268" i="62" s="1"/>
  <c r="Z269" i="62"/>
  <c r="AA269" i="62" s="1" a="1"/>
  <c r="AA269" i="62" s="1"/>
  <c r="Z270" i="62"/>
  <c r="AA270" i="62" s="1" a="1"/>
  <c r="AA270" i="62" s="1"/>
  <c r="Z271" i="62"/>
  <c r="AA271" i="62" s="1" a="1"/>
  <c r="AA271" i="62" s="1"/>
  <c r="Z272" i="62"/>
  <c r="AA272" i="62" s="1" a="1"/>
  <c r="AA272" i="62" s="1"/>
  <c r="Z273" i="62"/>
  <c r="AA273" i="62" s="1" a="1"/>
  <c r="AA273" i="62" s="1"/>
  <c r="Z274" i="62"/>
  <c r="AA274" i="62" s="1" a="1"/>
  <c r="AA274" i="62" s="1"/>
  <c r="Z275" i="62"/>
  <c r="AA275" i="62" s="1" a="1"/>
  <c r="AA275" i="62" s="1"/>
  <c r="Z276" i="62"/>
  <c r="AA276" i="62" s="1" a="1"/>
  <c r="AA276" i="62" s="1"/>
  <c r="Z277" i="62"/>
  <c r="AA277" i="62" s="1" a="1"/>
  <c r="AA277" i="62" s="1"/>
  <c r="Z278" i="62"/>
  <c r="AA278" i="62" s="1" a="1"/>
  <c r="AA278" i="62" s="1"/>
  <c r="Z279" i="62"/>
  <c r="AA279" i="62" s="1" a="1"/>
  <c r="AA279" i="62" s="1"/>
  <c r="Z280" i="62"/>
  <c r="AA280" i="62" s="1" a="1"/>
  <c r="AA280" i="62" s="1"/>
  <c r="Z281" i="62"/>
  <c r="AA281" i="62" s="1" a="1"/>
  <c r="AA281" i="62" s="1"/>
  <c r="Z282" i="62"/>
  <c r="AA282" i="62" s="1" a="1"/>
  <c r="AA282" i="62" s="1"/>
  <c r="Z283" i="62"/>
  <c r="AA283" i="62" s="1" a="1"/>
  <c r="AA283" i="62" s="1"/>
  <c r="Z284" i="62"/>
  <c r="AA284" i="62" s="1" a="1"/>
  <c r="AA284" i="62" s="1"/>
  <c r="Z285" i="62"/>
  <c r="AA285" i="62" s="1" a="1"/>
  <c r="AA285" i="62" s="1"/>
  <c r="Z286" i="62"/>
  <c r="AA286" i="62" s="1" a="1"/>
  <c r="AA286" i="62" s="1"/>
  <c r="Z287" i="62"/>
  <c r="AA287" i="62" s="1" a="1"/>
  <c r="AA287" i="62" s="1"/>
  <c r="Z288" i="62"/>
  <c r="AA288" i="62" s="1" a="1"/>
  <c r="AA288" i="62" s="1"/>
  <c r="Z289" i="62"/>
  <c r="AA289" i="62" s="1" a="1"/>
  <c r="AA289" i="62" s="1"/>
  <c r="Z290" i="62"/>
  <c r="AA290" i="62" s="1" a="1"/>
  <c r="AA290" i="62" s="1"/>
  <c r="Z291" i="62"/>
  <c r="AA291" i="62" s="1" a="1"/>
  <c r="AA291" i="62" s="1"/>
  <c r="Z292" i="62"/>
  <c r="AA292" i="62" s="1" a="1"/>
  <c r="AA292" i="62" s="1"/>
  <c r="Z293" i="62"/>
  <c r="AA293" i="62" s="1" a="1"/>
  <c r="AA293" i="62" s="1"/>
  <c r="Z294" i="62"/>
  <c r="AA294" i="62" s="1" a="1"/>
  <c r="AA294" i="62" s="1"/>
  <c r="Z295" i="62"/>
  <c r="AA295" i="62" s="1" a="1"/>
  <c r="AA295" i="62" s="1"/>
  <c r="Z296" i="62"/>
  <c r="AA296" i="62" s="1" a="1"/>
  <c r="AA296" i="62" s="1"/>
  <c r="Z297" i="62"/>
  <c r="AA297" i="62" s="1" a="1"/>
  <c r="AA297" i="62" s="1"/>
  <c r="Z298" i="62"/>
  <c r="AA298" i="62" s="1" a="1"/>
  <c r="AA298" i="62" s="1"/>
  <c r="Z299" i="62"/>
  <c r="AA299" i="62" s="1" a="1"/>
  <c r="AA299" i="62" s="1"/>
  <c r="Z300" i="62"/>
  <c r="AA300" i="62" s="1" a="1"/>
  <c r="AA300" i="62" s="1"/>
  <c r="Z301" i="62"/>
  <c r="AA301" i="62" s="1" a="1"/>
  <c r="AA301" i="62" s="1"/>
  <c r="Z302" i="62"/>
  <c r="AA302" i="62" s="1" a="1"/>
  <c r="AA302" i="62" s="1"/>
  <c r="Z303" i="62"/>
  <c r="AA303" i="62" s="1" a="1"/>
  <c r="AA303" i="62" s="1"/>
  <c r="Z304" i="62"/>
  <c r="AA304" i="62" s="1" a="1"/>
  <c r="AA304" i="62" s="1"/>
  <c r="Z305" i="62"/>
  <c r="AA305" i="62" s="1" a="1"/>
  <c r="AA305" i="62" s="1"/>
  <c r="Z306" i="62"/>
  <c r="AA306" i="62" s="1" a="1"/>
  <c r="AA306" i="62" s="1"/>
  <c r="Z307" i="62"/>
  <c r="AA307" i="62" s="1" a="1"/>
  <c r="AA307" i="62" s="1"/>
  <c r="Z308" i="62"/>
  <c r="AA308" i="62" s="1" a="1"/>
  <c r="AA308" i="62" s="1"/>
  <c r="Z309" i="62"/>
  <c r="AA309" i="62" s="1" a="1"/>
  <c r="AA309" i="62" s="1"/>
  <c r="Z310" i="62"/>
  <c r="AA310" i="62" s="1" a="1"/>
  <c r="AA310" i="62" s="1"/>
  <c r="Z311" i="62"/>
  <c r="AA311" i="62" s="1" a="1"/>
  <c r="AA311" i="62" s="1"/>
  <c r="Z312" i="62"/>
  <c r="AA312" i="62" s="1" a="1"/>
  <c r="AA312" i="62" s="1"/>
  <c r="Z313" i="62"/>
  <c r="AA313" i="62" s="1" a="1"/>
  <c r="AA313" i="62" s="1"/>
  <c r="Z314" i="62"/>
  <c r="AA314" i="62" s="1" a="1"/>
  <c r="AA314" i="62" s="1"/>
  <c r="Z315" i="62"/>
  <c r="AA315" i="62" s="1" a="1"/>
  <c r="AA315" i="62" s="1"/>
  <c r="Z316" i="62"/>
  <c r="AA316" i="62" s="1" a="1"/>
  <c r="AA316" i="62" s="1"/>
  <c r="Z317" i="62"/>
  <c r="AA317" i="62" s="1" a="1"/>
  <c r="AA317" i="62" s="1"/>
  <c r="Z318" i="62"/>
  <c r="AA318" i="62" s="1" a="1"/>
  <c r="AA318" i="62" s="1"/>
  <c r="Z319" i="62"/>
  <c r="AA319" i="62" s="1" a="1"/>
  <c r="AA319" i="62" s="1"/>
  <c r="Z320" i="62"/>
  <c r="AA320" i="62" s="1" a="1"/>
  <c r="AA320" i="62" s="1"/>
  <c r="Z321" i="62"/>
  <c r="AA321" i="62" s="1" a="1"/>
  <c r="AA321" i="62" s="1"/>
  <c r="Z322" i="62"/>
  <c r="AA322" i="62" s="1" a="1"/>
  <c r="AA322" i="62" s="1"/>
  <c r="Z323" i="62"/>
  <c r="AA323" i="62" s="1" a="1"/>
  <c r="AA323" i="62" s="1"/>
  <c r="Z324" i="62"/>
  <c r="AA324" i="62" s="1" a="1"/>
  <c r="AA324" i="62" s="1"/>
  <c r="Z325" i="62"/>
  <c r="AA325" i="62" s="1" a="1"/>
  <c r="AA325" i="62" s="1"/>
  <c r="Z326" i="62"/>
  <c r="AA326" i="62" s="1" a="1"/>
  <c r="AA326" i="62" s="1"/>
  <c r="Z327" i="62"/>
  <c r="AA327" i="62" s="1" a="1"/>
  <c r="AA327" i="62" s="1"/>
  <c r="Z328" i="62"/>
  <c r="AA328" i="62" s="1" a="1"/>
  <c r="AA328" i="62" s="1"/>
  <c r="Z329" i="62"/>
  <c r="AA329" i="62" s="1" a="1"/>
  <c r="AA329" i="62" s="1"/>
  <c r="Z330" i="62"/>
  <c r="AA330" i="62" s="1" a="1"/>
  <c r="AA330" i="62" s="1"/>
  <c r="Z331" i="62"/>
  <c r="AA331" i="62" s="1" a="1"/>
  <c r="AA331" i="62" s="1"/>
  <c r="Z332" i="62"/>
  <c r="AA332" i="62" s="1" a="1"/>
  <c r="AA332" i="62" s="1"/>
  <c r="Z333" i="62"/>
  <c r="AA333" i="62" s="1" a="1"/>
  <c r="AA333" i="62" s="1"/>
  <c r="Z334" i="62"/>
  <c r="AA334" i="62" s="1" a="1"/>
  <c r="AA334" i="62" s="1"/>
  <c r="Z335" i="62"/>
  <c r="AA335" i="62" s="1" a="1"/>
  <c r="AA335" i="62" s="1"/>
  <c r="Z336" i="62"/>
  <c r="AA336" i="62" s="1" a="1"/>
  <c r="AA336" i="62" s="1"/>
  <c r="Z337" i="62"/>
  <c r="AA337" i="62" s="1" a="1"/>
  <c r="AA337" i="62" s="1"/>
  <c r="Z338" i="62"/>
  <c r="AA338" i="62" s="1" a="1"/>
  <c r="AA338" i="62" s="1"/>
  <c r="Z339" i="62"/>
  <c r="AA339" i="62" s="1" a="1"/>
  <c r="AA339" i="62" s="1"/>
  <c r="Z340" i="62"/>
  <c r="AA340" i="62" s="1" a="1"/>
  <c r="AA340" i="62" s="1"/>
  <c r="Z341" i="62"/>
  <c r="AA341" i="62" s="1" a="1"/>
  <c r="AA341" i="62" s="1"/>
  <c r="Z342" i="62"/>
  <c r="AA342" i="62" s="1" a="1"/>
  <c r="AA342" i="62" s="1"/>
  <c r="Z343" i="62"/>
  <c r="AA343" i="62" s="1" a="1"/>
  <c r="AA343" i="62" s="1"/>
  <c r="Z344" i="62"/>
  <c r="AA344" i="62" s="1" a="1"/>
  <c r="AA344" i="62" s="1"/>
  <c r="Z345" i="62"/>
  <c r="AA345" i="62" s="1" a="1"/>
  <c r="AA345" i="62" s="1"/>
  <c r="Z346" i="62"/>
  <c r="AA346" i="62" s="1" a="1"/>
  <c r="AA346" i="62" s="1"/>
  <c r="Z347" i="62"/>
  <c r="AA347" i="62" s="1" a="1"/>
  <c r="AA347" i="62" s="1"/>
  <c r="Z348" i="62"/>
  <c r="AA348" i="62" s="1" a="1"/>
  <c r="AA348" i="62" s="1"/>
  <c r="Z349" i="62"/>
  <c r="AA349" i="62" s="1" a="1"/>
  <c r="AA349" i="62" s="1"/>
  <c r="Z350" i="62"/>
  <c r="AA350" i="62" s="1" a="1"/>
  <c r="AA350" i="62" s="1"/>
  <c r="Z351" i="62"/>
  <c r="AA351" i="62" s="1" a="1"/>
  <c r="AA351" i="62" s="1"/>
  <c r="Z352" i="62"/>
  <c r="AA352" i="62" s="1" a="1"/>
  <c r="AA352" i="62" s="1"/>
  <c r="Z353" i="62"/>
  <c r="AA353" i="62" s="1" a="1"/>
  <c r="AA353" i="62" s="1"/>
  <c r="Z354" i="62"/>
  <c r="AA354" i="62" s="1" a="1"/>
  <c r="AA354" i="62" s="1"/>
  <c r="Z355" i="62"/>
  <c r="AA355" i="62" s="1" a="1"/>
  <c r="AA355" i="62" s="1"/>
  <c r="Z356" i="62"/>
  <c r="AA356" i="62" s="1" a="1"/>
  <c r="AA356" i="62" s="1"/>
  <c r="Z357" i="62"/>
  <c r="AA357" i="62" s="1" a="1"/>
  <c r="AA357" i="62" s="1"/>
  <c r="Z358" i="62"/>
  <c r="AA358" i="62" s="1" a="1"/>
  <c r="AA358" i="62" s="1"/>
  <c r="Z359" i="62"/>
  <c r="AA359" i="62" s="1" a="1"/>
  <c r="AA359" i="62" s="1"/>
  <c r="Z360" i="62"/>
  <c r="AA360" i="62" s="1" a="1"/>
  <c r="AA360" i="62" s="1"/>
  <c r="Z361" i="62"/>
  <c r="AA361" i="62" s="1" a="1"/>
  <c r="AA361" i="62" s="1"/>
  <c r="Z362" i="62"/>
  <c r="AA362" i="62" s="1" a="1"/>
  <c r="AA362" i="62" s="1"/>
  <c r="Z363" i="62"/>
  <c r="AA363" i="62" s="1" a="1"/>
  <c r="AA363" i="62" s="1"/>
  <c r="Z364" i="62"/>
  <c r="AA364" i="62" s="1" a="1"/>
  <c r="AA364" i="62" s="1"/>
  <c r="Z365" i="62"/>
  <c r="AA365" i="62" s="1" a="1"/>
  <c r="AA365" i="62" s="1"/>
  <c r="Z366" i="62"/>
  <c r="AA366" i="62" s="1" a="1"/>
  <c r="AA366" i="62" s="1"/>
  <c r="Z367" i="62"/>
  <c r="AA367" i="62" s="1" a="1"/>
  <c r="AA367" i="62" s="1"/>
  <c r="Z368" i="62"/>
  <c r="AA368" i="62" s="1" a="1"/>
  <c r="AA368" i="62" s="1"/>
  <c r="Z369" i="62"/>
  <c r="AA369" i="62" s="1" a="1"/>
  <c r="AA369" i="62" s="1"/>
  <c r="Z370" i="62"/>
  <c r="AA370" i="62" s="1" a="1"/>
  <c r="AA370" i="62" s="1"/>
  <c r="Z371" i="62"/>
  <c r="AA371" i="62" s="1" a="1"/>
  <c r="AA371" i="62" s="1"/>
  <c r="Z372" i="62"/>
  <c r="AA372" i="62" s="1" a="1"/>
  <c r="AA372" i="62" s="1"/>
  <c r="Z373" i="62"/>
  <c r="AA373" i="62" s="1" a="1"/>
  <c r="AA373" i="62" s="1"/>
  <c r="Z374" i="62"/>
  <c r="AA374" i="62" s="1" a="1"/>
  <c r="AA374" i="62" s="1"/>
  <c r="Z375" i="62"/>
  <c r="AA375" i="62" s="1" a="1"/>
  <c r="AA375" i="62" s="1"/>
  <c r="Z376" i="62"/>
  <c r="AA376" i="62" s="1" a="1"/>
  <c r="AA376" i="62" s="1"/>
  <c r="Z377" i="62"/>
  <c r="AA377" i="62" s="1" a="1"/>
  <c r="AA377" i="62" s="1"/>
  <c r="Z378" i="62"/>
  <c r="AA378" i="62" s="1" a="1"/>
  <c r="AA378" i="62" s="1"/>
  <c r="Z379" i="62"/>
  <c r="AA379" i="62" s="1" a="1"/>
  <c r="AA379" i="62" s="1"/>
  <c r="Z380" i="62"/>
  <c r="AA380" i="62" s="1" a="1"/>
  <c r="AA380" i="62" s="1"/>
  <c r="Z381" i="62"/>
  <c r="AA381" i="62" s="1" a="1"/>
  <c r="AA381" i="62" s="1"/>
  <c r="Z382" i="62"/>
  <c r="AA382" i="62" s="1" a="1"/>
  <c r="AA382" i="62" s="1"/>
  <c r="Z383" i="62"/>
  <c r="AA383" i="62" s="1" a="1"/>
  <c r="AA383" i="62" s="1"/>
  <c r="Z384" i="62"/>
  <c r="AA384" i="62" s="1" a="1"/>
  <c r="AA384" i="62" s="1"/>
  <c r="Z385" i="62"/>
  <c r="AA385" i="62" s="1" a="1"/>
  <c r="AA385" i="62" s="1"/>
  <c r="Z386" i="62"/>
  <c r="AA386" i="62" s="1" a="1"/>
  <c r="AA386" i="62" s="1"/>
  <c r="Z387" i="62"/>
  <c r="AA387" i="62" s="1" a="1"/>
  <c r="AA387" i="62" s="1"/>
  <c r="Z388" i="62"/>
  <c r="AA388" i="62" s="1" a="1"/>
  <c r="AA388" i="62" s="1"/>
  <c r="Z389" i="62"/>
  <c r="AA389" i="62" s="1" a="1"/>
  <c r="AA389" i="62" s="1"/>
  <c r="Z390" i="62"/>
  <c r="AA390" i="62" s="1" a="1"/>
  <c r="AA390" i="62" s="1"/>
  <c r="Z391" i="62"/>
  <c r="AA391" i="62" s="1" a="1"/>
  <c r="AA391" i="62" s="1"/>
  <c r="Z392" i="62"/>
  <c r="AA392" i="62" s="1" a="1"/>
  <c r="AA392" i="62" s="1"/>
  <c r="Z393" i="62"/>
  <c r="AA393" i="62" s="1" a="1"/>
  <c r="AA393" i="62" s="1"/>
  <c r="Z394" i="62"/>
  <c r="AA394" i="62" s="1" a="1"/>
  <c r="AA394" i="62" s="1"/>
  <c r="Z395" i="62"/>
  <c r="AA395" i="62" s="1" a="1"/>
  <c r="AA395" i="62" s="1"/>
  <c r="Z396" i="62"/>
  <c r="AA396" i="62" s="1" a="1"/>
  <c r="AA396" i="62" s="1"/>
  <c r="Z397" i="62"/>
  <c r="AA397" i="62" s="1" a="1"/>
  <c r="AA397" i="62" s="1"/>
  <c r="Z398" i="62"/>
  <c r="AA398" i="62" s="1" a="1"/>
  <c r="AA398" i="62" s="1"/>
  <c r="Z399" i="62"/>
  <c r="AA399" i="62" s="1" a="1"/>
  <c r="AA399" i="62" s="1"/>
  <c r="Z400" i="62"/>
  <c r="AA400" i="62" s="1" a="1"/>
  <c r="AA400" i="62" s="1"/>
  <c r="Z401" i="62"/>
  <c r="AA401" i="62" s="1" a="1"/>
  <c r="AA401" i="62" s="1"/>
  <c r="Z402" i="62"/>
  <c r="AA402" i="62" s="1" a="1"/>
  <c r="AA402" i="62" s="1"/>
  <c r="Z403" i="62"/>
  <c r="AA403" i="62" s="1" a="1"/>
  <c r="AA403" i="62" s="1"/>
  <c r="Z404" i="62"/>
  <c r="AA404" i="62" s="1" a="1"/>
  <c r="AA404" i="62" s="1"/>
  <c r="Z405" i="62"/>
  <c r="AA405" i="62" s="1" a="1"/>
  <c r="AA405" i="62" s="1"/>
  <c r="Z406" i="62"/>
  <c r="AA406" i="62" s="1" a="1"/>
  <c r="AA406" i="62" s="1"/>
  <c r="Z407" i="62"/>
  <c r="AA407" i="62" s="1" a="1"/>
  <c r="AA407" i="62" s="1"/>
  <c r="Z408" i="62"/>
  <c r="AA408" i="62" s="1" a="1"/>
  <c r="AA408" i="62" s="1"/>
  <c r="Z409" i="62"/>
  <c r="AA409" i="62" s="1" a="1"/>
  <c r="AA409" i="62" s="1"/>
  <c r="Z410" i="62"/>
  <c r="AA410" i="62" s="1" a="1"/>
  <c r="AA410" i="62" s="1"/>
  <c r="Z411" i="62"/>
  <c r="AA411" i="62" s="1" a="1"/>
  <c r="AA411" i="62" s="1"/>
  <c r="Z412" i="62"/>
  <c r="AA412" i="62" s="1" a="1"/>
  <c r="AA412" i="62" s="1"/>
  <c r="Z413" i="62"/>
  <c r="AA413" i="62" s="1" a="1"/>
  <c r="AA413" i="62" s="1"/>
  <c r="Z414" i="62"/>
  <c r="AA414" i="62" s="1" a="1"/>
  <c r="AA414" i="62" s="1"/>
  <c r="Z415" i="62"/>
  <c r="AA415" i="62" s="1" a="1"/>
  <c r="AA415" i="62" s="1"/>
  <c r="Z416" i="62"/>
  <c r="AA416" i="62" s="1" a="1"/>
  <c r="AA416" i="62" s="1"/>
  <c r="Z417" i="62"/>
  <c r="AA417" i="62" s="1" a="1"/>
  <c r="AA417" i="62" s="1"/>
  <c r="Z418" i="62"/>
  <c r="AA418" i="62" s="1" a="1"/>
  <c r="AA418" i="62" s="1"/>
  <c r="Z419" i="62"/>
  <c r="AA419" i="62" s="1" a="1"/>
  <c r="AA419" i="62" s="1"/>
  <c r="Z420" i="62"/>
  <c r="AA420" i="62" s="1" a="1"/>
  <c r="AA420" i="62" s="1"/>
  <c r="Z421" i="62"/>
  <c r="AA421" i="62" s="1" a="1"/>
  <c r="AA421" i="62" s="1"/>
  <c r="Z422" i="62"/>
  <c r="AA422" i="62" s="1" a="1"/>
  <c r="AA422" i="62" s="1"/>
  <c r="Z423" i="62"/>
  <c r="AA423" i="62" s="1" a="1"/>
  <c r="AA423" i="62" s="1"/>
  <c r="Z424" i="62"/>
  <c r="AA424" i="62" s="1" a="1"/>
  <c r="AA424" i="62" s="1"/>
  <c r="Z425" i="62"/>
  <c r="AA425" i="62" s="1" a="1"/>
  <c r="AA425" i="62" s="1"/>
  <c r="Z426" i="62"/>
  <c r="AA426" i="62" s="1" a="1"/>
  <c r="AA426" i="62" s="1"/>
  <c r="Z427" i="62"/>
  <c r="AA427" i="62" s="1" a="1"/>
  <c r="AA427" i="62" s="1"/>
  <c r="Z428" i="62"/>
  <c r="AA428" i="62" s="1" a="1"/>
  <c r="AA428" i="62" s="1"/>
  <c r="Z429" i="62"/>
  <c r="AA429" i="62" s="1" a="1"/>
  <c r="AA429" i="62" s="1"/>
  <c r="Z430" i="62"/>
  <c r="AA430" i="62" s="1" a="1"/>
  <c r="AA430" i="62" s="1"/>
  <c r="Z431" i="62"/>
  <c r="AA431" i="62" s="1" a="1"/>
  <c r="AA431" i="62" s="1"/>
  <c r="Z432" i="62"/>
  <c r="AA432" i="62" s="1" a="1"/>
  <c r="AA432" i="62" s="1"/>
  <c r="Z433" i="62"/>
  <c r="AA433" i="62" s="1" a="1"/>
  <c r="AA433" i="62" s="1"/>
  <c r="Z434" i="62"/>
  <c r="AA434" i="62" s="1" a="1"/>
  <c r="AA434" i="62" s="1"/>
  <c r="Z435" i="62"/>
  <c r="AA435" i="62" s="1" a="1"/>
  <c r="AA435" i="62" s="1"/>
  <c r="Z436" i="62"/>
  <c r="AA436" i="62" s="1" a="1"/>
  <c r="AA436" i="62" s="1"/>
  <c r="Z437" i="62"/>
  <c r="AA437" i="62" s="1" a="1"/>
  <c r="AA437" i="62" s="1"/>
  <c r="Z438" i="62"/>
  <c r="AA438" i="62" s="1" a="1"/>
  <c r="AA438" i="62" s="1"/>
  <c r="Z439" i="62"/>
  <c r="AA439" i="62" s="1" a="1"/>
  <c r="AA439" i="62" s="1"/>
  <c r="Z440" i="62"/>
  <c r="AA440" i="62" s="1" a="1"/>
  <c r="AA440" i="62" s="1"/>
  <c r="Z441" i="62"/>
  <c r="AA441" i="62" s="1" a="1"/>
  <c r="AA441" i="62" s="1"/>
  <c r="Z442" i="62"/>
  <c r="AA442" i="62" s="1" a="1"/>
  <c r="AA442" i="62" s="1"/>
  <c r="Z443" i="62"/>
  <c r="AA443" i="62" s="1" a="1"/>
  <c r="AA443" i="62" s="1"/>
  <c r="Z444" i="62"/>
  <c r="AA444" i="62" s="1" a="1"/>
  <c r="AA444" i="62" s="1"/>
  <c r="Z445" i="62"/>
  <c r="AA445" i="62" s="1" a="1"/>
  <c r="AA445" i="62" s="1"/>
  <c r="Z446" i="62"/>
  <c r="AA446" i="62" s="1" a="1"/>
  <c r="AA446" i="62" s="1"/>
  <c r="Z447" i="62"/>
  <c r="AA447" i="62" s="1" a="1"/>
  <c r="AA447" i="62" s="1"/>
  <c r="Z448" i="62"/>
  <c r="AA448" i="62" s="1" a="1"/>
  <c r="AA448" i="62" s="1"/>
  <c r="W68" i="62" a="1"/>
  <c r="W68" i="62" s="1"/>
  <c r="V5" i="62"/>
  <c r="V6" i="62"/>
  <c r="V7" i="62"/>
  <c r="V8" i="62"/>
  <c r="V9" i="62"/>
  <c r="V10" i="62"/>
  <c r="V11" i="62"/>
  <c r="V12" i="62"/>
  <c r="V13" i="62"/>
  <c r="V14" i="62"/>
  <c r="V15" i="62"/>
  <c r="V16" i="62"/>
  <c r="V17" i="62"/>
  <c r="V18" i="62"/>
  <c r="V19" i="62"/>
  <c r="V20" i="62"/>
  <c r="V21" i="62"/>
  <c r="V22" i="62"/>
  <c r="V23" i="62"/>
  <c r="V24" i="62"/>
  <c r="V25" i="62"/>
  <c r="V26" i="62"/>
  <c r="V27" i="62"/>
  <c r="V28" i="62"/>
  <c r="V29" i="62"/>
  <c r="V30" i="62"/>
  <c r="V31" i="62"/>
  <c r="V32" i="62"/>
  <c r="V33" i="62"/>
  <c r="V34" i="62"/>
  <c r="V35" i="62"/>
  <c r="V36" i="62"/>
  <c r="V37" i="62"/>
  <c r="W37" i="62" s="1" a="1"/>
  <c r="W37" i="62" s="1"/>
  <c r="V38" i="62"/>
  <c r="W38" i="62" s="1" a="1"/>
  <c r="W38" i="62" s="1"/>
  <c r="V39" i="62"/>
  <c r="W39" i="62" s="1" a="1"/>
  <c r="W39" i="62" s="1"/>
  <c r="V40" i="62"/>
  <c r="W40" i="62" s="1" a="1"/>
  <c r="W40" i="62" s="1"/>
  <c r="V41" i="62"/>
  <c r="W41" i="62" s="1" a="1"/>
  <c r="W41" i="62" s="1"/>
  <c r="V42" i="62"/>
  <c r="V43" i="62"/>
  <c r="V44" i="62"/>
  <c r="V45" i="62"/>
  <c r="V46" i="62"/>
  <c r="V47" i="62"/>
  <c r="V48" i="62"/>
  <c r="V49" i="62"/>
  <c r="V50" i="62"/>
  <c r="V51" i="62"/>
  <c r="V52" i="62"/>
  <c r="V53" i="62"/>
  <c r="V54" i="62"/>
  <c r="V55" i="62"/>
  <c r="V56" i="62"/>
  <c r="V57" i="62"/>
  <c r="V58" i="62"/>
  <c r="V59" i="62"/>
  <c r="W59" i="62" s="1" a="1"/>
  <c r="W59" i="62" s="1"/>
  <c r="V60" i="62"/>
  <c r="W60" i="62" s="1" a="1"/>
  <c r="W60" i="62" s="1"/>
  <c r="V61" i="62"/>
  <c r="W61" i="62" s="1" a="1"/>
  <c r="W61" i="62" s="1"/>
  <c r="V62" i="62"/>
  <c r="W62" i="62" s="1" a="1"/>
  <c r="W62" i="62" s="1"/>
  <c r="V63" i="62"/>
  <c r="W63" i="62" s="1" a="1"/>
  <c r="W63" i="62" s="1"/>
  <c r="V64" i="62"/>
  <c r="W64" i="62" s="1" a="1"/>
  <c r="W64" i="62" s="1"/>
  <c r="V65" i="62"/>
  <c r="W65" i="62" s="1" a="1"/>
  <c r="W65" i="62" s="1"/>
  <c r="V66" i="62"/>
  <c r="W66" i="62" s="1" a="1"/>
  <c r="W66" i="62" s="1"/>
  <c r="V67" i="62"/>
  <c r="W67" i="62" s="1" a="1"/>
  <c r="W67" i="62" s="1"/>
  <c r="V68" i="62"/>
  <c r="V69" i="62"/>
  <c r="W69" i="62" s="1" a="1"/>
  <c r="W69" i="62" s="1"/>
  <c r="V70" i="62"/>
  <c r="W70" i="62" s="1" a="1"/>
  <c r="W70" i="62" s="1"/>
  <c r="V71" i="62"/>
  <c r="W71" i="62" s="1" a="1"/>
  <c r="W71" i="62" s="1"/>
  <c r="V72" i="62"/>
  <c r="W72" i="62" s="1" a="1"/>
  <c r="W72" i="62" s="1"/>
  <c r="V73" i="62"/>
  <c r="W73" i="62" s="1" a="1"/>
  <c r="W73" i="62" s="1"/>
  <c r="V74" i="62"/>
  <c r="W74" i="62" s="1" a="1"/>
  <c r="W74" i="62" s="1"/>
  <c r="V75" i="62"/>
  <c r="W75" i="62" s="1" a="1"/>
  <c r="W75" i="62" s="1"/>
  <c r="V76" i="62"/>
  <c r="W76" i="62" s="1" a="1"/>
  <c r="W76" i="62" s="1"/>
  <c r="V77" i="62"/>
  <c r="W77" i="62" s="1" a="1"/>
  <c r="W77" i="62" s="1"/>
  <c r="V78" i="62"/>
  <c r="W78" i="62" s="1" a="1"/>
  <c r="W78" i="62" s="1"/>
  <c r="V79" i="62"/>
  <c r="V80" i="62"/>
  <c r="V81" i="62"/>
  <c r="V82" i="62"/>
  <c r="V83" i="62"/>
  <c r="V84" i="62"/>
  <c r="V85" i="62"/>
  <c r="V86" i="62"/>
  <c r="V87" i="62"/>
  <c r="V88" i="62"/>
  <c r="V89" i="62"/>
  <c r="V90" i="62"/>
  <c r="V91" i="62"/>
  <c r="V92" i="62"/>
  <c r="V93" i="62"/>
  <c r="V94" i="62"/>
  <c r="V95" i="62"/>
  <c r="V96" i="62"/>
  <c r="V97" i="62"/>
  <c r="W97" i="62" s="1" a="1"/>
  <c r="W97" i="62" s="1"/>
  <c r="V98" i="62"/>
  <c r="W98" i="62" s="1" a="1"/>
  <c r="W98" i="62" s="1"/>
  <c r="V99" i="62"/>
  <c r="W99" i="62" s="1" a="1"/>
  <c r="W99" i="62" s="1"/>
  <c r="V100" i="62"/>
  <c r="W100" i="62" s="1" a="1"/>
  <c r="W100" i="62" s="1"/>
  <c r="V101" i="62"/>
  <c r="W101" i="62" s="1" a="1"/>
  <c r="W101" i="62" s="1"/>
  <c r="V102" i="62"/>
  <c r="W102" i="62" s="1" a="1"/>
  <c r="W102" i="62" s="1"/>
  <c r="V103" i="62"/>
  <c r="W103" i="62" s="1" a="1"/>
  <c r="W103" i="62" s="1"/>
  <c r="V104" i="62"/>
  <c r="W104" i="62" s="1" a="1"/>
  <c r="W104" i="62" s="1"/>
  <c r="V105" i="62"/>
  <c r="W105" i="62" s="1" a="1"/>
  <c r="W105" i="62" s="1"/>
  <c r="V106" i="62"/>
  <c r="W106" i="62" s="1" a="1"/>
  <c r="W106" i="62" s="1"/>
  <c r="V107" i="62"/>
  <c r="W107" i="62" s="1" a="1"/>
  <c r="W107" i="62" s="1"/>
  <c r="V108" i="62"/>
  <c r="W108" i="62" s="1" a="1"/>
  <c r="W108" i="62" s="1"/>
  <c r="V109" i="62"/>
  <c r="W109" i="62" s="1" a="1"/>
  <c r="W109" i="62" s="1"/>
  <c r="V110" i="62"/>
  <c r="W110" i="62" s="1" a="1"/>
  <c r="W110" i="62" s="1"/>
  <c r="V111" i="62"/>
  <c r="W111" i="62" s="1" a="1"/>
  <c r="W111" i="62" s="1"/>
  <c r="V112" i="62"/>
  <c r="W112" i="62" s="1" a="1"/>
  <c r="W112" i="62" s="1"/>
  <c r="V113" i="62"/>
  <c r="W113" i="62" s="1" a="1"/>
  <c r="W113" i="62" s="1"/>
  <c r="V114" i="62"/>
  <c r="W114" i="62" s="1" a="1"/>
  <c r="W114" i="62" s="1"/>
  <c r="V115" i="62"/>
  <c r="W115" i="62" s="1" a="1"/>
  <c r="W115" i="62" s="1"/>
  <c r="V116" i="62"/>
  <c r="V117" i="62"/>
  <c r="V118" i="62"/>
  <c r="V119" i="62"/>
  <c r="V120" i="62"/>
  <c r="V121" i="62"/>
  <c r="V122" i="62"/>
  <c r="V123" i="62"/>
  <c r="V124" i="62"/>
  <c r="V125" i="62"/>
  <c r="V126" i="62"/>
  <c r="V127" i="62"/>
  <c r="V128" i="62"/>
  <c r="V129" i="62"/>
  <c r="V130" i="62"/>
  <c r="V131" i="62"/>
  <c r="V132" i="62"/>
  <c r="V133" i="62"/>
  <c r="V134" i="62"/>
  <c r="W134" i="62" s="1" a="1"/>
  <c r="W134" i="62" s="1"/>
  <c r="V135" i="62"/>
  <c r="W135" i="62" s="1" a="1"/>
  <c r="W135" i="62" s="1"/>
  <c r="V136" i="62"/>
  <c r="W136" i="62" s="1" a="1"/>
  <c r="W136" i="62" s="1"/>
  <c r="V137" i="62"/>
  <c r="W137" i="62" s="1" a="1"/>
  <c r="W137" i="62" s="1"/>
  <c r="V138" i="62"/>
  <c r="W138" i="62" s="1" a="1"/>
  <c r="W138" i="62" s="1"/>
  <c r="V139" i="62"/>
  <c r="W139" i="62" s="1" a="1"/>
  <c r="W139" i="62" s="1"/>
  <c r="V140" i="62"/>
  <c r="W140" i="62" s="1" a="1"/>
  <c r="W140" i="62" s="1"/>
  <c r="V141" i="62"/>
  <c r="W141" i="62" s="1" a="1"/>
  <c r="W141" i="62" s="1"/>
  <c r="V142" i="62"/>
  <c r="W142" i="62" s="1" a="1"/>
  <c r="W142" i="62" s="1"/>
  <c r="V143" i="62"/>
  <c r="W143" i="62" s="1" a="1"/>
  <c r="W143" i="62" s="1"/>
  <c r="V144" i="62"/>
  <c r="W144" i="62" s="1" a="1"/>
  <c r="W144" i="62" s="1"/>
  <c r="V145" i="62"/>
  <c r="W145" i="62" s="1" a="1"/>
  <c r="W145" i="62" s="1"/>
  <c r="V146" i="62"/>
  <c r="W146" i="62" s="1" a="1"/>
  <c r="W146" i="62" s="1"/>
  <c r="V147" i="62"/>
  <c r="W147" i="62" s="1" a="1"/>
  <c r="W147" i="62" s="1"/>
  <c r="V148" i="62"/>
  <c r="W148" i="62" s="1" a="1"/>
  <c r="W148" i="62" s="1"/>
  <c r="V149" i="62"/>
  <c r="W149" i="62" s="1" a="1"/>
  <c r="W149" i="62" s="1"/>
  <c r="V150" i="62"/>
  <c r="W150" i="62" s="1" a="1"/>
  <c r="W150" i="62" s="1"/>
  <c r="V151" i="62"/>
  <c r="W151" i="62" s="1" a="1"/>
  <c r="W151" i="62" s="1"/>
  <c r="V152" i="62"/>
  <c r="W152" i="62" s="1" a="1"/>
  <c r="W152" i="62" s="1"/>
  <c r="V153" i="62"/>
  <c r="V154" i="62"/>
  <c r="V155" i="62"/>
  <c r="V156" i="62"/>
  <c r="V157" i="62"/>
  <c r="V158" i="62"/>
  <c r="V159" i="62"/>
  <c r="V160" i="62"/>
  <c r="V161" i="62"/>
  <c r="V162" i="62"/>
  <c r="V163" i="62"/>
  <c r="V164" i="62"/>
  <c r="V165" i="62"/>
  <c r="V166" i="62"/>
  <c r="V167" i="62"/>
  <c r="V168" i="62"/>
  <c r="V169" i="62"/>
  <c r="V170" i="62"/>
  <c r="V171" i="62"/>
  <c r="V172" i="62"/>
  <c r="V173" i="62"/>
  <c r="V174" i="62"/>
  <c r="V175" i="62"/>
  <c r="V176" i="62"/>
  <c r="V177" i="62"/>
  <c r="V178" i="62"/>
  <c r="V179" i="62"/>
  <c r="W179" i="62" s="1" a="1"/>
  <c r="W179" i="62" s="1"/>
  <c r="V180" i="62"/>
  <c r="W180" i="62" s="1" a="1"/>
  <c r="W180" i="62" s="1"/>
  <c r="V181" i="62"/>
  <c r="W181" i="62" s="1" a="1"/>
  <c r="W181" i="62" s="1"/>
  <c r="V182" i="62"/>
  <c r="W182" i="62" s="1" a="1"/>
  <c r="W182" i="62" s="1"/>
  <c r="V183" i="62"/>
  <c r="W183" i="62" s="1" a="1"/>
  <c r="W183" i="62" s="1"/>
  <c r="V184" i="62"/>
  <c r="W184" i="62" s="1" a="1"/>
  <c r="W184" i="62" s="1"/>
  <c r="V185" i="62"/>
  <c r="W185" i="62" s="1" a="1"/>
  <c r="W185" i="62" s="1"/>
  <c r="V186" i="62"/>
  <c r="W186" i="62" s="1" a="1"/>
  <c r="W186" i="62" s="1"/>
  <c r="V187" i="62"/>
  <c r="W187" i="62" s="1" a="1"/>
  <c r="W187" i="62" s="1"/>
  <c r="V188" i="62"/>
  <c r="W188" i="62" s="1" a="1"/>
  <c r="W188" i="62" s="1"/>
  <c r="V189" i="62"/>
  <c r="W189" i="62" s="1" a="1"/>
  <c r="W189" i="62" s="1"/>
  <c r="V190" i="62"/>
  <c r="V191" i="62"/>
  <c r="V192" i="62"/>
  <c r="V193" i="62"/>
  <c r="V194" i="62"/>
  <c r="V195" i="62"/>
  <c r="V196" i="62"/>
  <c r="V197" i="62"/>
  <c r="V198" i="62"/>
  <c r="V199" i="62"/>
  <c r="V200" i="62"/>
  <c r="V201" i="62"/>
  <c r="V202" i="62"/>
  <c r="V203" i="62"/>
  <c r="V204" i="62"/>
  <c r="V205" i="62"/>
  <c r="V206" i="62"/>
  <c r="V207" i="62"/>
  <c r="V208" i="62"/>
  <c r="V209" i="62"/>
  <c r="V210" i="62"/>
  <c r="V211" i="62"/>
  <c r="V212" i="62"/>
  <c r="V213" i="62"/>
  <c r="V214" i="62"/>
  <c r="W214" i="62" s="1" a="1"/>
  <c r="W214" i="62" s="1"/>
  <c r="V215" i="62"/>
  <c r="W215" i="62" s="1" a="1"/>
  <c r="W215" i="62" s="1"/>
  <c r="V216" i="62"/>
  <c r="W216" i="62" s="1" a="1"/>
  <c r="W216" i="62" s="1"/>
  <c r="V217" i="62"/>
  <c r="W217" i="62" s="1" a="1"/>
  <c r="W217" i="62" s="1"/>
  <c r="V218" i="62"/>
  <c r="W218" i="62" s="1" a="1"/>
  <c r="W218" i="62" s="1"/>
  <c r="V219" i="62"/>
  <c r="W219" i="62" s="1" a="1"/>
  <c r="W219" i="62" s="1"/>
  <c r="V220" i="62"/>
  <c r="W220" i="62" s="1" a="1"/>
  <c r="W220" i="62" s="1"/>
  <c r="V221" i="62"/>
  <c r="W221" i="62" s="1" a="1"/>
  <c r="W221" i="62" s="1"/>
  <c r="V222" i="62"/>
  <c r="W222" i="62" s="1" a="1"/>
  <c r="W222" i="62" s="1"/>
  <c r="V223" i="62"/>
  <c r="W223" i="62" s="1" a="1"/>
  <c r="W223" i="62" s="1"/>
  <c r="V224" i="62"/>
  <c r="W224" i="62" s="1" a="1"/>
  <c r="W224" i="62" s="1"/>
  <c r="V225" i="62"/>
  <c r="W225" i="62" s="1" a="1"/>
  <c r="W225" i="62" s="1"/>
  <c r="V226" i="62"/>
  <c r="W226" i="62" s="1" a="1"/>
  <c r="W226" i="62" s="1"/>
  <c r="V227" i="62"/>
  <c r="V228" i="62"/>
  <c r="V229" i="62"/>
  <c r="V230" i="62"/>
  <c r="V231" i="62"/>
  <c r="V232" i="62"/>
  <c r="V233" i="62"/>
  <c r="V234" i="62"/>
  <c r="V235" i="62"/>
  <c r="V236" i="62"/>
  <c r="V237" i="62"/>
  <c r="V238" i="62"/>
  <c r="W238" i="62" s="1" a="1"/>
  <c r="W238" i="62" s="1"/>
  <c r="V239" i="62"/>
  <c r="W239" i="62" s="1" a="1"/>
  <c r="W239" i="62" s="1"/>
  <c r="V240" i="62"/>
  <c r="W240" i="62" s="1" a="1"/>
  <c r="W240" i="62" s="1"/>
  <c r="V241" i="62"/>
  <c r="W241" i="62" s="1" a="1"/>
  <c r="W241" i="62" s="1"/>
  <c r="V242" i="62"/>
  <c r="W242" i="62" s="1" a="1"/>
  <c r="W242" i="62" s="1"/>
  <c r="V243" i="62"/>
  <c r="W243" i="62" s="1" a="1"/>
  <c r="W243" i="62" s="1"/>
  <c r="V244" i="62"/>
  <c r="W244" i="62" s="1" a="1"/>
  <c r="W244" i="62" s="1"/>
  <c r="V245" i="62"/>
  <c r="W245" i="62" s="1" a="1"/>
  <c r="W245" i="62" s="1"/>
  <c r="V246" i="62"/>
  <c r="W246" i="62" s="1" a="1"/>
  <c r="W246" i="62" s="1"/>
  <c r="V247" i="62"/>
  <c r="W247" i="62" s="1" a="1"/>
  <c r="W247" i="62" s="1"/>
  <c r="V248" i="62"/>
  <c r="W248" i="62" s="1" a="1"/>
  <c r="W248" i="62" s="1"/>
  <c r="V249" i="62"/>
  <c r="W249" i="62" s="1" a="1"/>
  <c r="W249" i="62" s="1"/>
  <c r="V250" i="62"/>
  <c r="W250" i="62" s="1" a="1"/>
  <c r="W250" i="62" s="1"/>
  <c r="V251" i="62"/>
  <c r="W251" i="62" s="1" a="1"/>
  <c r="W251" i="62" s="1"/>
  <c r="V252" i="62"/>
  <c r="W252" i="62" s="1" a="1"/>
  <c r="W252" i="62" s="1"/>
  <c r="V253" i="62"/>
  <c r="W253" i="62" s="1" a="1"/>
  <c r="W253" i="62" s="1"/>
  <c r="V254" i="62"/>
  <c r="W254" i="62" s="1" a="1"/>
  <c r="W254" i="62" s="1"/>
  <c r="V255" i="62"/>
  <c r="W255" i="62" s="1" a="1"/>
  <c r="W255" i="62" s="1"/>
  <c r="V256" i="62"/>
  <c r="W256" i="62" s="1" a="1"/>
  <c r="W256" i="62" s="1"/>
  <c r="V257" i="62"/>
  <c r="W257" i="62" s="1" a="1"/>
  <c r="W257" i="62" s="1"/>
  <c r="V258" i="62"/>
  <c r="W258" i="62" s="1" a="1"/>
  <c r="W258" i="62" s="1"/>
  <c r="V259" i="62"/>
  <c r="W259" i="62" s="1" a="1"/>
  <c r="W259" i="62" s="1"/>
  <c r="V260" i="62"/>
  <c r="W260" i="62" s="1" a="1"/>
  <c r="W260" i="62" s="1"/>
  <c r="V261" i="62"/>
  <c r="W261" i="62" s="1" a="1"/>
  <c r="W261" i="62" s="1"/>
  <c r="V262" i="62"/>
  <c r="W262" i="62" s="1" a="1"/>
  <c r="W262" i="62" s="1"/>
  <c r="V263" i="62"/>
  <c r="W263" i="62" s="1" a="1"/>
  <c r="W263" i="62" s="1"/>
  <c r="V264" i="62"/>
  <c r="V265" i="62"/>
  <c r="V266" i="62"/>
  <c r="V267" i="62"/>
  <c r="V268" i="62"/>
  <c r="V269" i="62"/>
  <c r="V270" i="62"/>
  <c r="V271" i="62"/>
  <c r="V272" i="62"/>
  <c r="V273" i="62"/>
  <c r="V274" i="62"/>
  <c r="V275" i="62"/>
  <c r="V276" i="62"/>
  <c r="V277" i="62"/>
  <c r="V278" i="62"/>
  <c r="V279" i="62"/>
  <c r="V280" i="62"/>
  <c r="V281" i="62"/>
  <c r="V282" i="62"/>
  <c r="V283" i="62"/>
  <c r="V284" i="62"/>
  <c r="V285" i="62"/>
  <c r="V286" i="62"/>
  <c r="V287" i="62"/>
  <c r="W287" i="62" s="1" a="1"/>
  <c r="W287" i="62" s="1"/>
  <c r="V288" i="62"/>
  <c r="W288" i="62" s="1" a="1"/>
  <c r="W288" i="62" s="1"/>
  <c r="V289" i="62"/>
  <c r="W289" i="62" s="1" a="1"/>
  <c r="W289" i="62" s="1"/>
  <c r="V290" i="62"/>
  <c r="W290" i="62" s="1" a="1"/>
  <c r="W290" i="62" s="1"/>
  <c r="V291" i="62"/>
  <c r="W291" i="62" s="1" a="1"/>
  <c r="W291" i="62" s="1"/>
  <c r="V292" i="62"/>
  <c r="W292" i="62" s="1" a="1"/>
  <c r="W292" i="62" s="1"/>
  <c r="V293" i="62"/>
  <c r="W293" i="62" s="1" a="1"/>
  <c r="W293" i="62" s="1"/>
  <c r="V294" i="62"/>
  <c r="W294" i="62" s="1" a="1"/>
  <c r="W294" i="62" s="1"/>
  <c r="V295" i="62"/>
  <c r="W295" i="62" s="1" a="1"/>
  <c r="W295" i="62" s="1"/>
  <c r="V296" i="62"/>
  <c r="W296" i="62" s="1" a="1"/>
  <c r="W296" i="62" s="1"/>
  <c r="V297" i="62"/>
  <c r="W297" i="62" s="1" a="1"/>
  <c r="W297" i="62" s="1"/>
  <c r="V298" i="62"/>
  <c r="W298" i="62" s="1" a="1"/>
  <c r="W298" i="62" s="1"/>
  <c r="V299" i="62"/>
  <c r="W299" i="62" s="1" a="1"/>
  <c r="W299" i="62" s="1"/>
  <c r="V300" i="62"/>
  <c r="W300" i="62" s="1" a="1"/>
  <c r="W300" i="62" s="1"/>
  <c r="V301" i="62"/>
  <c r="V302" i="62"/>
  <c r="V303" i="62"/>
  <c r="V304" i="62"/>
  <c r="V305" i="62"/>
  <c r="V306" i="62"/>
  <c r="V307" i="62"/>
  <c r="V308" i="62"/>
  <c r="V309" i="62"/>
  <c r="V310" i="62"/>
  <c r="V311" i="62"/>
  <c r="V312" i="62"/>
  <c r="V313" i="62"/>
  <c r="V314" i="62"/>
  <c r="V315" i="62"/>
  <c r="V316" i="62"/>
  <c r="V317" i="62"/>
  <c r="V318" i="62"/>
  <c r="V319" i="62"/>
  <c r="V320" i="62"/>
  <c r="V321" i="62"/>
  <c r="V322" i="62"/>
  <c r="V323" i="62"/>
  <c r="V324" i="62"/>
  <c r="W324" i="62" s="1" a="1"/>
  <c r="W324" i="62" s="1"/>
  <c r="V325" i="62"/>
  <c r="W325" i="62" s="1" a="1"/>
  <c r="W325" i="62" s="1"/>
  <c r="V326" i="62"/>
  <c r="W326" i="62" s="1" a="1"/>
  <c r="W326" i="62" s="1"/>
  <c r="V327" i="62"/>
  <c r="W327" i="62" s="1" a="1"/>
  <c r="W327" i="62" s="1"/>
  <c r="V328" i="62"/>
  <c r="W328" i="62" s="1" a="1"/>
  <c r="W328" i="62" s="1"/>
  <c r="V329" i="62"/>
  <c r="W329" i="62" s="1" a="1"/>
  <c r="W329" i="62" s="1"/>
  <c r="V330" i="62"/>
  <c r="W330" i="62" s="1" a="1"/>
  <c r="W330" i="62" s="1"/>
  <c r="V331" i="62"/>
  <c r="W331" i="62" s="1" a="1"/>
  <c r="W331" i="62" s="1"/>
  <c r="V332" i="62"/>
  <c r="W332" i="62" s="1" a="1"/>
  <c r="W332" i="62" s="1"/>
  <c r="V333" i="62"/>
  <c r="W333" i="62" s="1" a="1"/>
  <c r="W333" i="62" s="1"/>
  <c r="V334" i="62"/>
  <c r="W334" i="62" s="1" a="1"/>
  <c r="W334" i="62" s="1"/>
  <c r="V335" i="62"/>
  <c r="W335" i="62" s="1" a="1"/>
  <c r="W335" i="62" s="1"/>
  <c r="V336" i="62"/>
  <c r="W336" i="62" s="1" a="1"/>
  <c r="W336" i="62" s="1"/>
  <c r="V337" i="62"/>
  <c r="W337" i="62" s="1" a="1"/>
  <c r="W337" i="62" s="1"/>
  <c r="V338" i="62"/>
  <c r="W338" i="62" s="1" a="1"/>
  <c r="W338" i="62" s="1"/>
  <c r="V339" i="62"/>
  <c r="W339" i="62" s="1" a="1"/>
  <c r="W339" i="62" s="1"/>
  <c r="V340" i="62"/>
  <c r="W340" i="62" s="1" a="1"/>
  <c r="W340" i="62" s="1"/>
  <c r="V341" i="62"/>
  <c r="W341" i="62" s="1" a="1"/>
  <c r="W341" i="62" s="1"/>
  <c r="V342" i="62"/>
  <c r="W342" i="62" s="1" a="1"/>
  <c r="W342" i="62" s="1"/>
  <c r="V343" i="62"/>
  <c r="W343" i="62" s="1" a="1"/>
  <c r="W343" i="62" s="1"/>
  <c r="V344" i="62"/>
  <c r="W344" i="62" s="1" a="1"/>
  <c r="W344" i="62" s="1"/>
  <c r="V345" i="62"/>
  <c r="W345" i="62" s="1" a="1"/>
  <c r="W345" i="62" s="1"/>
  <c r="V346" i="62"/>
  <c r="W346" i="62" s="1" a="1"/>
  <c r="W346" i="62" s="1"/>
  <c r="V347" i="62"/>
  <c r="W347" i="62" s="1" a="1"/>
  <c r="W347" i="62" s="1"/>
  <c r="V348" i="62"/>
  <c r="W348" i="62" s="1" a="1"/>
  <c r="W348" i="62" s="1"/>
  <c r="V349" i="62"/>
  <c r="W349" i="62" s="1" a="1"/>
  <c r="W349" i="62" s="1"/>
  <c r="V350" i="62"/>
  <c r="W350" i="62" s="1" a="1"/>
  <c r="W350" i="62" s="1"/>
  <c r="V351" i="62"/>
  <c r="W351" i="62" s="1" a="1"/>
  <c r="W351" i="62" s="1"/>
  <c r="V352" i="62"/>
  <c r="W352" i="62" s="1" a="1"/>
  <c r="W352" i="62" s="1"/>
  <c r="V353" i="62"/>
  <c r="W353" i="62" s="1" a="1"/>
  <c r="W353" i="62" s="1"/>
  <c r="V354" i="62"/>
  <c r="W354" i="62" s="1" a="1"/>
  <c r="W354" i="62" s="1"/>
  <c r="V355" i="62"/>
  <c r="W355" i="62" s="1" a="1"/>
  <c r="W355" i="62" s="1"/>
  <c r="V356" i="62"/>
  <c r="W356" i="62" s="1" a="1"/>
  <c r="W356" i="62" s="1"/>
  <c r="V357" i="62"/>
  <c r="W357" i="62" s="1" a="1"/>
  <c r="W357" i="62" s="1"/>
  <c r="V358" i="62"/>
  <c r="W358" i="62" s="1" a="1"/>
  <c r="W358" i="62" s="1"/>
  <c r="V359" i="62"/>
  <c r="W359" i="62" s="1" a="1"/>
  <c r="W359" i="62" s="1"/>
  <c r="V360" i="62"/>
  <c r="W360" i="62" s="1" a="1"/>
  <c r="W360" i="62" s="1"/>
  <c r="V361" i="62"/>
  <c r="W361" i="62" s="1" a="1"/>
  <c r="W361" i="62" s="1"/>
  <c r="V362" i="62"/>
  <c r="W362" i="62" s="1" a="1"/>
  <c r="W362" i="62" s="1"/>
  <c r="V363" i="62"/>
  <c r="W363" i="62" s="1" a="1"/>
  <c r="W363" i="62" s="1"/>
  <c r="V364" i="62"/>
  <c r="W364" i="62" s="1" a="1"/>
  <c r="W364" i="62" s="1"/>
  <c r="V365" i="62"/>
  <c r="W365" i="62" s="1" a="1"/>
  <c r="W365" i="62" s="1"/>
  <c r="V366" i="62"/>
  <c r="W366" i="62" s="1" a="1"/>
  <c r="W366" i="62" s="1"/>
  <c r="V367" i="62"/>
  <c r="W367" i="62" s="1" a="1"/>
  <c r="W367" i="62" s="1"/>
  <c r="V368" i="62"/>
  <c r="W368" i="62" s="1" a="1"/>
  <c r="W368" i="62" s="1"/>
  <c r="V369" i="62"/>
  <c r="W369" i="62" s="1" a="1"/>
  <c r="W369" i="62" s="1"/>
  <c r="V370" i="62"/>
  <c r="W370" i="62" s="1" a="1"/>
  <c r="W370" i="62" s="1"/>
  <c r="V371" i="62"/>
  <c r="W371" i="62" s="1" a="1"/>
  <c r="W371" i="62" s="1"/>
  <c r="V372" i="62"/>
  <c r="W372" i="62" s="1" a="1"/>
  <c r="W372" i="62" s="1"/>
  <c r="V373" i="62"/>
  <c r="W373" i="62" s="1" a="1"/>
  <c r="W373" i="62" s="1"/>
  <c r="V374" i="62"/>
  <c r="W374" i="62" s="1" a="1"/>
  <c r="W374" i="62" s="1"/>
  <c r="V375" i="62"/>
  <c r="W375" i="62" s="1" a="1"/>
  <c r="W375" i="62" s="1"/>
  <c r="V376" i="62"/>
  <c r="W376" i="62" s="1" a="1"/>
  <c r="W376" i="62" s="1"/>
  <c r="V377" i="62"/>
  <c r="W377" i="62" s="1" a="1"/>
  <c r="W377" i="62" s="1"/>
  <c r="V378" i="62"/>
  <c r="W378" i="62" s="1" a="1"/>
  <c r="W378" i="62" s="1"/>
  <c r="V379" i="62"/>
  <c r="W379" i="62" s="1" a="1"/>
  <c r="W379" i="62" s="1"/>
  <c r="V380" i="62"/>
  <c r="W380" i="62" s="1" a="1"/>
  <c r="W380" i="62" s="1"/>
  <c r="V381" i="62"/>
  <c r="W381" i="62" s="1" a="1"/>
  <c r="W381" i="62" s="1"/>
  <c r="V382" i="62"/>
  <c r="W382" i="62" s="1" a="1"/>
  <c r="W382" i="62" s="1"/>
  <c r="V383" i="62"/>
  <c r="W383" i="62" s="1" a="1"/>
  <c r="W383" i="62" s="1"/>
  <c r="V384" i="62"/>
  <c r="W384" i="62" s="1" a="1"/>
  <c r="W384" i="62" s="1"/>
  <c r="V385" i="62"/>
  <c r="W385" i="62" s="1" a="1"/>
  <c r="W385" i="62" s="1"/>
  <c r="V386" i="62"/>
  <c r="W386" i="62" s="1" a="1"/>
  <c r="W386" i="62" s="1"/>
  <c r="V387" i="62"/>
  <c r="W387" i="62" s="1" a="1"/>
  <c r="W387" i="62" s="1"/>
  <c r="V388" i="62"/>
  <c r="W388" i="62" s="1" a="1"/>
  <c r="W388" i="62" s="1"/>
  <c r="V389" i="62"/>
  <c r="W389" i="62" s="1" a="1"/>
  <c r="W389" i="62" s="1"/>
  <c r="V390" i="62"/>
  <c r="W390" i="62" s="1" a="1"/>
  <c r="W390" i="62" s="1"/>
  <c r="V391" i="62"/>
  <c r="W391" i="62" s="1" a="1"/>
  <c r="W391" i="62" s="1"/>
  <c r="V392" i="62"/>
  <c r="W392" i="62" s="1" a="1"/>
  <c r="W392" i="62" s="1"/>
  <c r="V393" i="62"/>
  <c r="W393" i="62" s="1" a="1"/>
  <c r="W393" i="62" s="1"/>
  <c r="V394" i="62"/>
  <c r="W394" i="62" s="1" a="1"/>
  <c r="W394" i="62" s="1"/>
  <c r="V395" i="62"/>
  <c r="W395" i="62" s="1" a="1"/>
  <c r="W395" i="62" s="1"/>
  <c r="V396" i="62"/>
  <c r="W396" i="62" s="1" a="1"/>
  <c r="W396" i="62" s="1"/>
  <c r="V397" i="62"/>
  <c r="W397" i="62" s="1" a="1"/>
  <c r="W397" i="62" s="1"/>
  <c r="V398" i="62"/>
  <c r="W398" i="62" s="1" a="1"/>
  <c r="W398" i="62" s="1"/>
  <c r="V399" i="62"/>
  <c r="W399" i="62" s="1" a="1"/>
  <c r="W399" i="62" s="1"/>
  <c r="V400" i="62"/>
  <c r="W400" i="62" s="1" a="1"/>
  <c r="W400" i="62" s="1"/>
  <c r="V401" i="62"/>
  <c r="W401" i="62" s="1" a="1"/>
  <c r="W401" i="62" s="1"/>
  <c r="V402" i="62"/>
  <c r="W402" i="62" s="1" a="1"/>
  <c r="W402" i="62" s="1"/>
  <c r="V403" i="62"/>
  <c r="W403" i="62" s="1" a="1"/>
  <c r="W403" i="62" s="1"/>
  <c r="V404" i="62"/>
  <c r="W404" i="62" s="1" a="1"/>
  <c r="W404" i="62" s="1"/>
  <c r="V405" i="62"/>
  <c r="W405" i="62" s="1" a="1"/>
  <c r="W405" i="62" s="1"/>
  <c r="V406" i="62"/>
  <c r="W406" i="62" s="1" a="1"/>
  <c r="W406" i="62" s="1"/>
  <c r="V407" i="62"/>
  <c r="W407" i="62" s="1" a="1"/>
  <c r="W407" i="62" s="1"/>
  <c r="V408" i="62"/>
  <c r="W408" i="62" s="1" a="1"/>
  <c r="W408" i="62" s="1"/>
  <c r="V409" i="62"/>
  <c r="W409" i="62" s="1" a="1"/>
  <c r="W409" i="62" s="1"/>
  <c r="V410" i="62"/>
  <c r="W410" i="62" s="1" a="1"/>
  <c r="W410" i="62" s="1"/>
  <c r="V411" i="62"/>
  <c r="W411" i="62" s="1" a="1"/>
  <c r="W411" i="62" s="1"/>
  <c r="V412" i="62"/>
  <c r="W412" i="62" s="1" a="1"/>
  <c r="W412" i="62" s="1"/>
  <c r="V413" i="62"/>
  <c r="W413" i="62" s="1" a="1"/>
  <c r="W413" i="62" s="1"/>
  <c r="V414" i="62"/>
  <c r="W414" i="62" s="1" a="1"/>
  <c r="W414" i="62" s="1"/>
  <c r="V415" i="62"/>
  <c r="W415" i="62" s="1" a="1"/>
  <c r="W415" i="62" s="1"/>
  <c r="V416" i="62"/>
  <c r="W416" i="62" s="1" a="1"/>
  <c r="W416" i="62" s="1"/>
  <c r="V417" i="62"/>
  <c r="W417" i="62" s="1" a="1"/>
  <c r="W417" i="62" s="1"/>
  <c r="V418" i="62"/>
  <c r="W418" i="62" s="1" a="1"/>
  <c r="W418" i="62" s="1"/>
  <c r="V419" i="62"/>
  <c r="W419" i="62" s="1" a="1"/>
  <c r="W419" i="62" s="1"/>
  <c r="V420" i="62"/>
  <c r="W420" i="62" s="1" a="1"/>
  <c r="W420" i="62" s="1"/>
  <c r="V421" i="62"/>
  <c r="W421" i="62" s="1" a="1"/>
  <c r="W421" i="62" s="1"/>
  <c r="V422" i="62"/>
  <c r="W422" i="62" s="1" a="1"/>
  <c r="W422" i="62" s="1"/>
  <c r="V423" i="62"/>
  <c r="W423" i="62" s="1" a="1"/>
  <c r="W423" i="62" s="1"/>
  <c r="V424" i="62"/>
  <c r="W424" i="62" s="1" a="1"/>
  <c r="W424" i="62" s="1"/>
  <c r="V425" i="62"/>
  <c r="W425" i="62" s="1" a="1"/>
  <c r="W425" i="62" s="1"/>
  <c r="V426" i="62"/>
  <c r="W426" i="62" s="1" a="1"/>
  <c r="W426" i="62" s="1"/>
  <c r="V427" i="62"/>
  <c r="W427" i="62" s="1" a="1"/>
  <c r="W427" i="62" s="1"/>
  <c r="V428" i="62"/>
  <c r="W428" i="62" s="1" a="1"/>
  <c r="W428" i="62" s="1"/>
  <c r="V429" i="62"/>
  <c r="W429" i="62" s="1" a="1"/>
  <c r="W429" i="62" s="1"/>
  <c r="V430" i="62"/>
  <c r="W430" i="62" s="1" a="1"/>
  <c r="W430" i="62" s="1"/>
  <c r="V431" i="62"/>
  <c r="W431" i="62" s="1" a="1"/>
  <c r="W431" i="62" s="1"/>
  <c r="V432" i="62"/>
  <c r="W432" i="62" s="1" a="1"/>
  <c r="W432" i="62" s="1"/>
  <c r="V433" i="62"/>
  <c r="W433" i="62" s="1" a="1"/>
  <c r="W433" i="62" s="1"/>
  <c r="V434" i="62"/>
  <c r="W434" i="62" s="1" a="1"/>
  <c r="W434" i="62" s="1"/>
  <c r="V435" i="62"/>
  <c r="W435" i="62" s="1" a="1"/>
  <c r="W435" i="62" s="1"/>
  <c r="V436" i="62"/>
  <c r="W436" i="62" s="1" a="1"/>
  <c r="W436" i="62" s="1"/>
  <c r="V437" i="62"/>
  <c r="W437" i="62" s="1" a="1"/>
  <c r="W437" i="62" s="1"/>
  <c r="V438" i="62"/>
  <c r="W438" i="62" s="1" a="1"/>
  <c r="W438" i="62" s="1"/>
  <c r="V439" i="62"/>
  <c r="W439" i="62" s="1" a="1"/>
  <c r="W439" i="62" s="1"/>
  <c r="V440" i="62"/>
  <c r="W440" i="62" s="1" a="1"/>
  <c r="W440" i="62" s="1"/>
  <c r="V441" i="62"/>
  <c r="W441" i="62" s="1" a="1"/>
  <c r="W441" i="62" s="1"/>
  <c r="V442" i="62"/>
  <c r="W442" i="62" s="1" a="1"/>
  <c r="W442" i="62" s="1"/>
  <c r="V443" i="62"/>
  <c r="W443" i="62" s="1" a="1"/>
  <c r="W443" i="62" s="1"/>
  <c r="V444" i="62"/>
  <c r="W444" i="62" s="1" a="1"/>
  <c r="W444" i="62" s="1"/>
  <c r="V445" i="62"/>
  <c r="W445" i="62" s="1" a="1"/>
  <c r="W445" i="62" s="1"/>
  <c r="V446" i="62"/>
  <c r="W446" i="62" s="1" a="1"/>
  <c r="W446" i="62" s="1"/>
  <c r="V447" i="62"/>
  <c r="W447" i="62" s="1" a="1"/>
  <c r="W447" i="62" s="1"/>
  <c r="V448" i="62"/>
  <c r="W448" i="62" s="1" a="1"/>
  <c r="W448" i="62" s="1"/>
  <c r="K40" i="74"/>
  <c r="K39" i="74"/>
  <c r="K38" i="74"/>
  <c r="K37" i="74"/>
  <c r="K36" i="74"/>
  <c r="K35" i="74"/>
  <c r="K34" i="74"/>
  <c r="K33" i="74"/>
  <c r="K32" i="74"/>
  <c r="K31" i="74"/>
  <c r="K30" i="74"/>
  <c r="K29" i="74"/>
  <c r="K28" i="74"/>
  <c r="K27" i="74"/>
  <c r="K26" i="74"/>
  <c r="K25" i="74"/>
  <c r="K24" i="74"/>
  <c r="K23" i="74"/>
  <c r="K22" i="74"/>
  <c r="K21" i="74"/>
  <c r="K20" i="74"/>
  <c r="K19" i="74"/>
  <c r="K18" i="74"/>
  <c r="K17" i="74"/>
  <c r="K16" i="74"/>
  <c r="K15" i="74"/>
  <c r="K14" i="74"/>
  <c r="K13" i="74"/>
  <c r="K12" i="74"/>
  <c r="K11" i="74"/>
  <c r="K10" i="74"/>
  <c r="K9" i="74"/>
  <c r="K8" i="74"/>
  <c r="K7" i="74"/>
  <c r="K6" i="74"/>
  <c r="K5" i="74"/>
  <c r="K4" i="74"/>
  <c r="K40" i="73"/>
  <c r="K39" i="73"/>
  <c r="K38" i="73"/>
  <c r="K37" i="73"/>
  <c r="K36" i="73"/>
  <c r="K35" i="73"/>
  <c r="K34" i="73"/>
  <c r="K33" i="73"/>
  <c r="K32" i="73"/>
  <c r="K31" i="73"/>
  <c r="K30" i="73"/>
  <c r="K29" i="73"/>
  <c r="K28" i="73"/>
  <c r="K27" i="73"/>
  <c r="K26" i="73"/>
  <c r="K25" i="73"/>
  <c r="K24" i="73"/>
  <c r="K23" i="73"/>
  <c r="K22" i="73"/>
  <c r="K21" i="73"/>
  <c r="K20" i="73"/>
  <c r="K19" i="73"/>
  <c r="K18" i="73"/>
  <c r="K17" i="73"/>
  <c r="K16" i="73"/>
  <c r="K15" i="73"/>
  <c r="K14" i="73"/>
  <c r="K13" i="73"/>
  <c r="K12" i="73"/>
  <c r="K11" i="73"/>
  <c r="K10" i="73"/>
  <c r="K9" i="73"/>
  <c r="K8" i="73"/>
  <c r="K7" i="73"/>
  <c r="K6" i="73"/>
  <c r="K5" i="73"/>
  <c r="K4" i="73"/>
  <c r="K40" i="72"/>
  <c r="K39" i="72"/>
  <c r="K38" i="72"/>
  <c r="K37" i="72"/>
  <c r="K36" i="72"/>
  <c r="K35" i="72"/>
  <c r="K34" i="72"/>
  <c r="K33" i="72"/>
  <c r="K32" i="72"/>
  <c r="K31" i="72"/>
  <c r="K30" i="72"/>
  <c r="K29" i="72"/>
  <c r="K28" i="72"/>
  <c r="K27" i="72"/>
  <c r="K26" i="72"/>
  <c r="K25" i="72"/>
  <c r="K24" i="72"/>
  <c r="K23" i="72"/>
  <c r="K22" i="72"/>
  <c r="K21" i="72"/>
  <c r="K20" i="72"/>
  <c r="K19" i="72"/>
  <c r="K18" i="72"/>
  <c r="K17" i="72"/>
  <c r="K16" i="72"/>
  <c r="K15" i="72"/>
  <c r="K14" i="72"/>
  <c r="K13" i="72"/>
  <c r="K12" i="72"/>
  <c r="K11" i="72"/>
  <c r="K10" i="72"/>
  <c r="K9" i="72"/>
  <c r="K8" i="72"/>
  <c r="K7" i="72"/>
  <c r="K6" i="72"/>
  <c r="K5" i="72"/>
  <c r="K4" i="72"/>
  <c r="K40" i="71"/>
  <c r="K39" i="71"/>
  <c r="K38" i="71"/>
  <c r="K37" i="71"/>
  <c r="K36" i="71"/>
  <c r="K35" i="71"/>
  <c r="K34" i="71"/>
  <c r="K33" i="71"/>
  <c r="K32" i="71"/>
  <c r="K31" i="71"/>
  <c r="K30" i="71"/>
  <c r="K29" i="71"/>
  <c r="K28" i="71"/>
  <c r="K27" i="71"/>
  <c r="K26" i="71"/>
  <c r="K25" i="71"/>
  <c r="K24" i="71"/>
  <c r="K23" i="71"/>
  <c r="K22" i="71"/>
  <c r="K21" i="71"/>
  <c r="K20" i="71"/>
  <c r="K19" i="71"/>
  <c r="K18" i="71"/>
  <c r="K17" i="71"/>
  <c r="K16" i="71"/>
  <c r="K15" i="71"/>
  <c r="K14" i="71"/>
  <c r="K13" i="71"/>
  <c r="K12" i="71"/>
  <c r="K11" i="71"/>
  <c r="K10" i="71"/>
  <c r="K9" i="71"/>
  <c r="K8" i="71"/>
  <c r="K7" i="71"/>
  <c r="K6" i="71"/>
  <c r="K5" i="71"/>
  <c r="K4" i="71"/>
  <c r="K40" i="70"/>
  <c r="K39" i="70"/>
  <c r="K38" i="70"/>
  <c r="K37" i="70"/>
  <c r="K36" i="70"/>
  <c r="K35" i="70"/>
  <c r="K34" i="70"/>
  <c r="K33" i="70"/>
  <c r="K32" i="70"/>
  <c r="K31" i="70"/>
  <c r="K30" i="70"/>
  <c r="K29" i="70"/>
  <c r="K28" i="70"/>
  <c r="K27" i="70"/>
  <c r="K26" i="70"/>
  <c r="K25" i="70"/>
  <c r="K24" i="70"/>
  <c r="K23" i="70"/>
  <c r="K22" i="70"/>
  <c r="K21" i="70"/>
  <c r="K20" i="70"/>
  <c r="K19" i="70"/>
  <c r="K18" i="70"/>
  <c r="K17" i="70"/>
  <c r="K16" i="70"/>
  <c r="K15" i="70"/>
  <c r="K14" i="70"/>
  <c r="K13" i="70"/>
  <c r="K12" i="70"/>
  <c r="K11" i="70"/>
  <c r="K10" i="70"/>
  <c r="K9" i="70"/>
  <c r="K8" i="70"/>
  <c r="K7" i="70"/>
  <c r="K6" i="70"/>
  <c r="K5" i="70"/>
  <c r="K4" i="70"/>
  <c r="K40" i="69"/>
  <c r="K39" i="69"/>
  <c r="K38" i="69"/>
  <c r="K37" i="69"/>
  <c r="K36" i="69"/>
  <c r="K35" i="69"/>
  <c r="K34" i="69"/>
  <c r="K33" i="69"/>
  <c r="K32" i="69"/>
  <c r="K31" i="69"/>
  <c r="K30" i="69"/>
  <c r="K29" i="69"/>
  <c r="K28" i="69"/>
  <c r="K27" i="69"/>
  <c r="K26" i="69"/>
  <c r="K25" i="69"/>
  <c r="K24" i="69"/>
  <c r="K23" i="69"/>
  <c r="K22" i="69"/>
  <c r="K21" i="69"/>
  <c r="K20" i="69"/>
  <c r="K19" i="69"/>
  <c r="K18" i="69"/>
  <c r="K17" i="69"/>
  <c r="K16" i="69"/>
  <c r="K15" i="69"/>
  <c r="K14" i="69"/>
  <c r="K13" i="69"/>
  <c r="K12" i="69"/>
  <c r="K11" i="69"/>
  <c r="K10" i="69"/>
  <c r="K9" i="69"/>
  <c r="K8" i="69"/>
  <c r="K7" i="69"/>
  <c r="K6" i="69"/>
  <c r="K5" i="69"/>
  <c r="K4" i="69"/>
  <c r="K40" i="68"/>
  <c r="K39" i="68"/>
  <c r="K38" i="68"/>
  <c r="K37" i="68"/>
  <c r="K36" i="68"/>
  <c r="K35" i="68"/>
  <c r="K34" i="68"/>
  <c r="K33" i="68"/>
  <c r="K32" i="68"/>
  <c r="K31" i="68"/>
  <c r="K30" i="68"/>
  <c r="K29" i="68"/>
  <c r="K28" i="68"/>
  <c r="K27" i="68"/>
  <c r="K26" i="68"/>
  <c r="K25" i="68"/>
  <c r="K24" i="68"/>
  <c r="K23" i="68"/>
  <c r="K22" i="68"/>
  <c r="K21" i="68"/>
  <c r="K20" i="68"/>
  <c r="K19" i="68"/>
  <c r="K18" i="68"/>
  <c r="K17" i="68"/>
  <c r="K16" i="68"/>
  <c r="K15" i="68"/>
  <c r="K14" i="68"/>
  <c r="K13" i="68"/>
  <c r="K12" i="68"/>
  <c r="K11" i="68"/>
  <c r="K10" i="68"/>
  <c r="K9" i="68"/>
  <c r="K8" i="68"/>
  <c r="K7" i="68"/>
  <c r="K6" i="68"/>
  <c r="K5" i="68"/>
  <c r="K4" i="68"/>
  <c r="K40" i="67"/>
  <c r="K39" i="67"/>
  <c r="K38" i="67"/>
  <c r="K37" i="67"/>
  <c r="K36" i="67"/>
  <c r="K35" i="67"/>
  <c r="K34" i="67"/>
  <c r="K33" i="67"/>
  <c r="K32" i="67"/>
  <c r="K31" i="67"/>
  <c r="K30" i="67"/>
  <c r="K29" i="67"/>
  <c r="K28" i="67"/>
  <c r="K27" i="67"/>
  <c r="K26" i="67"/>
  <c r="K25" i="67"/>
  <c r="K24" i="67"/>
  <c r="K23" i="67"/>
  <c r="K22" i="67"/>
  <c r="K21" i="67"/>
  <c r="K20" i="67"/>
  <c r="K19" i="67"/>
  <c r="K18" i="67"/>
  <c r="K17" i="67"/>
  <c r="K16" i="67"/>
  <c r="K15" i="67"/>
  <c r="K14" i="67"/>
  <c r="K13" i="67"/>
  <c r="K12" i="67"/>
  <c r="K11" i="67"/>
  <c r="K10" i="67"/>
  <c r="K9" i="67"/>
  <c r="K8" i="67"/>
  <c r="K7" i="67"/>
  <c r="K6" i="67"/>
  <c r="K5" i="67"/>
  <c r="K4" i="67"/>
  <c r="K40" i="66"/>
  <c r="K39" i="66"/>
  <c r="K38" i="66"/>
  <c r="K37" i="66"/>
  <c r="K36" i="66"/>
  <c r="K35" i="66"/>
  <c r="K34" i="66"/>
  <c r="K33" i="66"/>
  <c r="K32" i="66"/>
  <c r="K31" i="66"/>
  <c r="K30" i="66"/>
  <c r="K29" i="66"/>
  <c r="K28" i="66"/>
  <c r="K27" i="66"/>
  <c r="K26" i="66"/>
  <c r="K25" i="66"/>
  <c r="K24" i="66"/>
  <c r="K23" i="66"/>
  <c r="K22" i="66"/>
  <c r="K21" i="66"/>
  <c r="K20" i="66"/>
  <c r="K19" i="66"/>
  <c r="K18" i="66"/>
  <c r="K17" i="66"/>
  <c r="K16" i="66"/>
  <c r="K15" i="66"/>
  <c r="K14" i="66"/>
  <c r="K13" i="66"/>
  <c r="K12" i="66"/>
  <c r="K11" i="66"/>
  <c r="K10" i="66"/>
  <c r="K9" i="66"/>
  <c r="K8" i="66"/>
  <c r="K7" i="66"/>
  <c r="K6" i="66"/>
  <c r="K5" i="66"/>
  <c r="K4" i="66"/>
  <c r="K40" i="65"/>
  <c r="K39" i="65"/>
  <c r="K38" i="65"/>
  <c r="K37" i="65"/>
  <c r="K36" i="65"/>
  <c r="K35" i="65"/>
  <c r="K34" i="65"/>
  <c r="K33" i="65"/>
  <c r="K32" i="65"/>
  <c r="K31" i="65"/>
  <c r="K30" i="65"/>
  <c r="K29" i="65"/>
  <c r="K28" i="65"/>
  <c r="K27" i="65"/>
  <c r="K26" i="65"/>
  <c r="K25" i="65"/>
  <c r="K24" i="65"/>
  <c r="K23" i="65"/>
  <c r="K22" i="65"/>
  <c r="K21" i="65"/>
  <c r="K20" i="65"/>
  <c r="K19" i="65"/>
  <c r="K18" i="65"/>
  <c r="K17" i="65"/>
  <c r="K16" i="65"/>
  <c r="K15" i="65"/>
  <c r="K14" i="65"/>
  <c r="K13" i="65"/>
  <c r="K12" i="65"/>
  <c r="K11" i="65"/>
  <c r="K10" i="65"/>
  <c r="K9" i="65"/>
  <c r="K8" i="65"/>
  <c r="K7" i="65"/>
  <c r="K6" i="65"/>
  <c r="K5" i="65"/>
  <c r="K4" i="65"/>
  <c r="K40" i="64"/>
  <c r="K39" i="64"/>
  <c r="K38" i="64"/>
  <c r="K37" i="64"/>
  <c r="K36" i="64"/>
  <c r="K35" i="64"/>
  <c r="K34" i="64"/>
  <c r="K33" i="64"/>
  <c r="K32" i="64"/>
  <c r="K31" i="64"/>
  <c r="K30" i="64"/>
  <c r="K29" i="64"/>
  <c r="K28" i="64"/>
  <c r="K27" i="64"/>
  <c r="K26" i="64"/>
  <c r="K25" i="64"/>
  <c r="K24" i="64"/>
  <c r="K23" i="64"/>
  <c r="K22" i="64"/>
  <c r="K21" i="64"/>
  <c r="K20" i="64"/>
  <c r="K19" i="64"/>
  <c r="K18" i="64"/>
  <c r="K17" i="64"/>
  <c r="K16" i="64"/>
  <c r="K15" i="64"/>
  <c r="K14" i="64"/>
  <c r="K13" i="64"/>
  <c r="K12" i="64"/>
  <c r="K11" i="64"/>
  <c r="K10" i="64"/>
  <c r="K9" i="64"/>
  <c r="K8" i="64"/>
  <c r="K7" i="64"/>
  <c r="K6" i="64"/>
  <c r="K5" i="64"/>
  <c r="K4" i="64"/>
  <c r="K40" i="41"/>
  <c r="K39" i="41"/>
  <c r="K38" i="41"/>
  <c r="K37" i="41"/>
  <c r="K36" i="41"/>
  <c r="K35" i="41"/>
  <c r="K34" i="41"/>
  <c r="K33" i="41"/>
  <c r="K32" i="41"/>
  <c r="K31" i="41"/>
  <c r="K30" i="41"/>
  <c r="K29" i="41"/>
  <c r="K28" i="41"/>
  <c r="K27" i="41"/>
  <c r="K26" i="41"/>
  <c r="K25" i="41"/>
  <c r="K24" i="41"/>
  <c r="K23" i="41"/>
  <c r="K22" i="41"/>
  <c r="K21" i="41"/>
  <c r="K20" i="41"/>
  <c r="K19" i="41"/>
  <c r="K18" i="41"/>
  <c r="K17" i="41"/>
  <c r="K16" i="41"/>
  <c r="K15" i="41"/>
  <c r="K14" i="41"/>
  <c r="K13" i="41"/>
  <c r="K12" i="41"/>
  <c r="K11" i="41"/>
  <c r="K10" i="41"/>
  <c r="K9" i="41"/>
  <c r="K8" i="41"/>
  <c r="K7" i="41"/>
  <c r="K6" i="41"/>
  <c r="K5" i="41"/>
  <c r="K4" i="41"/>
  <c r="O40" i="74"/>
  <c r="O39" i="74"/>
  <c r="O38" i="74"/>
  <c r="O37" i="74"/>
  <c r="O36" i="74"/>
  <c r="O35" i="74"/>
  <c r="O34" i="74"/>
  <c r="O33" i="74"/>
  <c r="O32" i="74"/>
  <c r="O31" i="74"/>
  <c r="O30" i="74"/>
  <c r="O29" i="74"/>
  <c r="O28" i="74"/>
  <c r="O27" i="74"/>
  <c r="O26" i="74"/>
  <c r="O25" i="74"/>
  <c r="O24" i="74"/>
  <c r="O23" i="74"/>
  <c r="O22" i="74"/>
  <c r="O21" i="74"/>
  <c r="O20" i="74"/>
  <c r="O19" i="74"/>
  <c r="O18" i="74"/>
  <c r="O17" i="74"/>
  <c r="O16" i="74"/>
  <c r="O15" i="74"/>
  <c r="O14" i="74"/>
  <c r="O13" i="74"/>
  <c r="O12" i="74"/>
  <c r="O11" i="74"/>
  <c r="O10" i="74"/>
  <c r="O9" i="74"/>
  <c r="O8" i="74"/>
  <c r="O7" i="74"/>
  <c r="O6" i="74"/>
  <c r="O5" i="74"/>
  <c r="M40" i="74"/>
  <c r="M39" i="74"/>
  <c r="M38" i="74"/>
  <c r="M37" i="74"/>
  <c r="M36" i="74"/>
  <c r="M35" i="74"/>
  <c r="M34" i="74"/>
  <c r="M33" i="74"/>
  <c r="M32" i="74"/>
  <c r="M31" i="74"/>
  <c r="M30" i="74"/>
  <c r="M29" i="74"/>
  <c r="M28" i="74"/>
  <c r="M27" i="74"/>
  <c r="M26" i="74"/>
  <c r="M25" i="74"/>
  <c r="M24" i="74"/>
  <c r="M23" i="74"/>
  <c r="M22" i="74"/>
  <c r="M21" i="74"/>
  <c r="M20" i="74"/>
  <c r="M19" i="74"/>
  <c r="M18" i="74"/>
  <c r="M17" i="74"/>
  <c r="M16" i="74"/>
  <c r="M15" i="74"/>
  <c r="M14" i="74"/>
  <c r="M13" i="74"/>
  <c r="M12" i="74"/>
  <c r="M11" i="74"/>
  <c r="M10" i="74"/>
  <c r="M9" i="74"/>
  <c r="M8" i="74"/>
  <c r="M7" i="74"/>
  <c r="M6" i="74"/>
  <c r="M5" i="74"/>
  <c r="O40" i="73"/>
  <c r="O39" i="73"/>
  <c r="O38" i="73"/>
  <c r="O37" i="73"/>
  <c r="O36" i="73"/>
  <c r="O35" i="73"/>
  <c r="O34" i="73"/>
  <c r="O33" i="73"/>
  <c r="O32" i="73"/>
  <c r="O31" i="73"/>
  <c r="O30" i="73"/>
  <c r="O29" i="73"/>
  <c r="O28" i="73"/>
  <c r="O27" i="73"/>
  <c r="O26" i="73"/>
  <c r="O25" i="73"/>
  <c r="O24" i="73"/>
  <c r="O23" i="73"/>
  <c r="O22" i="73"/>
  <c r="O21" i="73"/>
  <c r="O20" i="73"/>
  <c r="O19" i="73"/>
  <c r="O18" i="73"/>
  <c r="O17" i="73"/>
  <c r="O16" i="73"/>
  <c r="O15" i="73"/>
  <c r="O14" i="73"/>
  <c r="O13" i="73"/>
  <c r="O12" i="73"/>
  <c r="O11" i="73"/>
  <c r="O10" i="73"/>
  <c r="O9" i="73"/>
  <c r="O8" i="73"/>
  <c r="O7" i="73"/>
  <c r="O6" i="73"/>
  <c r="O5" i="73"/>
  <c r="M40" i="73"/>
  <c r="M39" i="73"/>
  <c r="M38" i="73"/>
  <c r="M37" i="73"/>
  <c r="M36" i="73"/>
  <c r="M35" i="73"/>
  <c r="M34" i="73"/>
  <c r="M33" i="73"/>
  <c r="M32" i="73"/>
  <c r="M31" i="73"/>
  <c r="M30" i="73"/>
  <c r="M29" i="73"/>
  <c r="M28" i="73"/>
  <c r="M27" i="73"/>
  <c r="M26" i="73"/>
  <c r="M25" i="73"/>
  <c r="M24" i="73"/>
  <c r="M23" i="73"/>
  <c r="M22" i="73"/>
  <c r="M21" i="73"/>
  <c r="M20" i="73"/>
  <c r="M19" i="73"/>
  <c r="M18" i="73"/>
  <c r="M17" i="73"/>
  <c r="M16" i="73"/>
  <c r="M15" i="73"/>
  <c r="M14" i="73"/>
  <c r="M13" i="73"/>
  <c r="M12" i="73"/>
  <c r="M11" i="73"/>
  <c r="M10" i="73"/>
  <c r="M9" i="73"/>
  <c r="M8" i="73"/>
  <c r="M7" i="73"/>
  <c r="M6" i="73"/>
  <c r="M5" i="73"/>
  <c r="O40" i="72"/>
  <c r="O39" i="72"/>
  <c r="O38" i="72"/>
  <c r="O37" i="72"/>
  <c r="O36" i="72"/>
  <c r="O35" i="72"/>
  <c r="O34" i="72"/>
  <c r="O33" i="72"/>
  <c r="O32" i="72"/>
  <c r="O31" i="72"/>
  <c r="O30" i="72"/>
  <c r="O29" i="72"/>
  <c r="O28" i="72"/>
  <c r="O27" i="72"/>
  <c r="O26" i="72"/>
  <c r="O25" i="72"/>
  <c r="O24" i="72"/>
  <c r="O23" i="72"/>
  <c r="O22" i="72"/>
  <c r="O21" i="72"/>
  <c r="O20" i="72"/>
  <c r="O19" i="72"/>
  <c r="O18" i="72"/>
  <c r="O17" i="72"/>
  <c r="O16" i="72"/>
  <c r="O15" i="72"/>
  <c r="O14" i="72"/>
  <c r="O13" i="72"/>
  <c r="O12" i="72"/>
  <c r="O11" i="72"/>
  <c r="O10" i="72"/>
  <c r="O9" i="72"/>
  <c r="O8" i="72"/>
  <c r="O7" i="72"/>
  <c r="O6" i="72"/>
  <c r="O5" i="72"/>
  <c r="M40" i="72"/>
  <c r="M39" i="72"/>
  <c r="M38" i="72"/>
  <c r="M37" i="72"/>
  <c r="M36" i="72"/>
  <c r="M35" i="72"/>
  <c r="M34" i="72"/>
  <c r="M33" i="72"/>
  <c r="M32" i="72"/>
  <c r="M31" i="72"/>
  <c r="M30" i="72"/>
  <c r="M29" i="72"/>
  <c r="M28" i="72"/>
  <c r="M27" i="72"/>
  <c r="M26" i="72"/>
  <c r="M25" i="72"/>
  <c r="M24" i="72"/>
  <c r="M23" i="72"/>
  <c r="M22" i="72"/>
  <c r="M21" i="72"/>
  <c r="M20" i="72"/>
  <c r="M19" i="72"/>
  <c r="M18" i="72"/>
  <c r="M17" i="72"/>
  <c r="M16" i="72"/>
  <c r="M15" i="72"/>
  <c r="M14" i="72"/>
  <c r="M13" i="72"/>
  <c r="M12" i="72"/>
  <c r="M11" i="72"/>
  <c r="M10" i="72"/>
  <c r="M9" i="72"/>
  <c r="M8" i="72"/>
  <c r="M7" i="72"/>
  <c r="M6" i="72"/>
  <c r="M5" i="72"/>
  <c r="O40" i="71"/>
  <c r="O39" i="71"/>
  <c r="O38" i="71"/>
  <c r="O37" i="71"/>
  <c r="O36" i="71"/>
  <c r="O35" i="71"/>
  <c r="O34" i="71"/>
  <c r="O33" i="71"/>
  <c r="O32" i="71"/>
  <c r="O31" i="71"/>
  <c r="O30" i="71"/>
  <c r="O29" i="71"/>
  <c r="O28" i="71"/>
  <c r="O27" i="71"/>
  <c r="O26" i="71"/>
  <c r="O25" i="71"/>
  <c r="O24" i="71"/>
  <c r="O23" i="71"/>
  <c r="O22" i="71"/>
  <c r="O21" i="71"/>
  <c r="O20" i="71"/>
  <c r="O19" i="71"/>
  <c r="O18" i="71"/>
  <c r="O17" i="71"/>
  <c r="O16" i="71"/>
  <c r="O15" i="71"/>
  <c r="O14" i="71"/>
  <c r="O13" i="71"/>
  <c r="O12" i="71"/>
  <c r="O11" i="71"/>
  <c r="O10" i="71"/>
  <c r="O9" i="71"/>
  <c r="O8" i="71"/>
  <c r="O7" i="71"/>
  <c r="O6" i="71"/>
  <c r="O5" i="71"/>
  <c r="M40" i="71"/>
  <c r="M39" i="71"/>
  <c r="M38" i="71"/>
  <c r="M37" i="71"/>
  <c r="M36" i="71"/>
  <c r="M35" i="71"/>
  <c r="M34" i="71"/>
  <c r="M33" i="71"/>
  <c r="M32" i="71"/>
  <c r="M31" i="71"/>
  <c r="M30" i="71"/>
  <c r="M29" i="71"/>
  <c r="M28" i="71"/>
  <c r="M27" i="71"/>
  <c r="M26" i="71"/>
  <c r="M25" i="71"/>
  <c r="M24" i="71"/>
  <c r="M23" i="71"/>
  <c r="M22" i="71"/>
  <c r="M21" i="71"/>
  <c r="M20" i="71"/>
  <c r="M19" i="71"/>
  <c r="M18" i="71"/>
  <c r="M17" i="71"/>
  <c r="M16" i="71"/>
  <c r="M15" i="71"/>
  <c r="M14" i="71"/>
  <c r="M13" i="71"/>
  <c r="M12" i="71"/>
  <c r="M11" i="71"/>
  <c r="M10" i="71"/>
  <c r="M9" i="71"/>
  <c r="M8" i="71"/>
  <c r="M7" i="71"/>
  <c r="M6" i="71"/>
  <c r="M5" i="71"/>
  <c r="O40" i="70"/>
  <c r="O39" i="70"/>
  <c r="O38" i="70"/>
  <c r="O37" i="70"/>
  <c r="O36" i="70"/>
  <c r="O35" i="70"/>
  <c r="O34" i="70"/>
  <c r="O33" i="70"/>
  <c r="O32" i="70"/>
  <c r="O31" i="70"/>
  <c r="O30" i="70"/>
  <c r="O29" i="70"/>
  <c r="O28" i="70"/>
  <c r="O27" i="70"/>
  <c r="O26" i="70"/>
  <c r="O25" i="70"/>
  <c r="O24" i="70"/>
  <c r="O23" i="70"/>
  <c r="O22" i="70"/>
  <c r="O21" i="70"/>
  <c r="O20" i="70"/>
  <c r="O19" i="70"/>
  <c r="O18" i="70"/>
  <c r="O17" i="70"/>
  <c r="O16" i="70"/>
  <c r="O15" i="70"/>
  <c r="O14" i="70"/>
  <c r="O13" i="70"/>
  <c r="O12" i="70"/>
  <c r="O11" i="70"/>
  <c r="O10" i="70"/>
  <c r="O9" i="70"/>
  <c r="O8" i="70"/>
  <c r="O7" i="70"/>
  <c r="O6" i="70"/>
  <c r="O5" i="70"/>
  <c r="M40" i="70"/>
  <c r="M39" i="70"/>
  <c r="M38" i="70"/>
  <c r="M37" i="70"/>
  <c r="M36" i="70"/>
  <c r="M35" i="70"/>
  <c r="M34" i="70"/>
  <c r="M33" i="70"/>
  <c r="M32" i="70"/>
  <c r="M31" i="70"/>
  <c r="M30" i="70"/>
  <c r="M29" i="70"/>
  <c r="M28" i="70"/>
  <c r="M27" i="70"/>
  <c r="M26" i="70"/>
  <c r="M25" i="70"/>
  <c r="M24" i="70"/>
  <c r="M23" i="70"/>
  <c r="M22" i="70"/>
  <c r="M21" i="70"/>
  <c r="M20" i="70"/>
  <c r="M19" i="70"/>
  <c r="M18" i="70"/>
  <c r="M17" i="70"/>
  <c r="M16" i="70"/>
  <c r="M15" i="70"/>
  <c r="M14" i="70"/>
  <c r="M13" i="70"/>
  <c r="M12" i="70"/>
  <c r="M11" i="70"/>
  <c r="M10" i="70"/>
  <c r="M9" i="70"/>
  <c r="M8" i="70"/>
  <c r="M7" i="70"/>
  <c r="M6" i="70"/>
  <c r="M5" i="70"/>
  <c r="O40" i="69"/>
  <c r="O39" i="69"/>
  <c r="O38" i="69"/>
  <c r="O37" i="69"/>
  <c r="O36" i="69"/>
  <c r="O35" i="69"/>
  <c r="O34" i="69"/>
  <c r="O33" i="69"/>
  <c r="O32" i="69"/>
  <c r="O31" i="69"/>
  <c r="O30" i="69"/>
  <c r="O29" i="69"/>
  <c r="O28" i="69"/>
  <c r="O27" i="69"/>
  <c r="O26" i="69"/>
  <c r="O25" i="69"/>
  <c r="O24" i="69"/>
  <c r="O23" i="69"/>
  <c r="O22" i="69"/>
  <c r="O21" i="69"/>
  <c r="O20" i="69"/>
  <c r="O19" i="69"/>
  <c r="O18" i="69"/>
  <c r="O17" i="69"/>
  <c r="O16" i="69"/>
  <c r="O15" i="69"/>
  <c r="O14" i="69"/>
  <c r="O13" i="69"/>
  <c r="O12" i="69"/>
  <c r="O11" i="69"/>
  <c r="O10" i="69"/>
  <c r="O9" i="69"/>
  <c r="O8" i="69"/>
  <c r="O7" i="69"/>
  <c r="O6" i="69"/>
  <c r="O5" i="69"/>
  <c r="M40" i="69"/>
  <c r="M39" i="69"/>
  <c r="M38" i="69"/>
  <c r="M37" i="69"/>
  <c r="M36" i="69"/>
  <c r="M35" i="69"/>
  <c r="M34" i="69"/>
  <c r="M33" i="69"/>
  <c r="M32" i="69"/>
  <c r="M31" i="69"/>
  <c r="M30" i="69"/>
  <c r="M29" i="69"/>
  <c r="M28" i="69"/>
  <c r="M27" i="69"/>
  <c r="M26" i="69"/>
  <c r="M25" i="69"/>
  <c r="M24" i="69"/>
  <c r="M23" i="69"/>
  <c r="M22" i="69"/>
  <c r="M21" i="69"/>
  <c r="M20" i="69"/>
  <c r="M19" i="69"/>
  <c r="M18" i="69"/>
  <c r="M17" i="69"/>
  <c r="M16" i="69"/>
  <c r="M15" i="69"/>
  <c r="M14" i="69"/>
  <c r="M13" i="69"/>
  <c r="M12" i="69"/>
  <c r="M11" i="69"/>
  <c r="M10" i="69"/>
  <c r="M9" i="69"/>
  <c r="M8" i="69"/>
  <c r="M7" i="69"/>
  <c r="M6" i="69"/>
  <c r="M5" i="69"/>
  <c r="O40" i="68"/>
  <c r="O39" i="68"/>
  <c r="O38" i="68"/>
  <c r="O37" i="68"/>
  <c r="O36" i="68"/>
  <c r="O35" i="68"/>
  <c r="O34" i="68"/>
  <c r="O33" i="68"/>
  <c r="O32" i="68"/>
  <c r="O31" i="68"/>
  <c r="O30" i="68"/>
  <c r="O29" i="68"/>
  <c r="O28" i="68"/>
  <c r="O27" i="68"/>
  <c r="O26" i="68"/>
  <c r="O25" i="68"/>
  <c r="O24" i="68"/>
  <c r="O23" i="68"/>
  <c r="O22" i="68"/>
  <c r="O21" i="68"/>
  <c r="O20" i="68"/>
  <c r="O19" i="68"/>
  <c r="O18" i="68"/>
  <c r="O17" i="68"/>
  <c r="O16" i="68"/>
  <c r="O15" i="68"/>
  <c r="O14" i="68"/>
  <c r="O13" i="68"/>
  <c r="O12" i="68"/>
  <c r="O11" i="68"/>
  <c r="O10" i="68"/>
  <c r="O9" i="68"/>
  <c r="O8" i="68"/>
  <c r="O7" i="68"/>
  <c r="O6" i="68"/>
  <c r="O5" i="68"/>
  <c r="M40" i="68"/>
  <c r="M39" i="68"/>
  <c r="M38" i="68"/>
  <c r="M37" i="68"/>
  <c r="M36" i="68"/>
  <c r="M35" i="68"/>
  <c r="M34" i="68"/>
  <c r="M33" i="68"/>
  <c r="M32" i="68"/>
  <c r="M31" i="68"/>
  <c r="M30" i="68"/>
  <c r="M29" i="68"/>
  <c r="M28" i="68"/>
  <c r="M27" i="68"/>
  <c r="M26" i="68"/>
  <c r="M25" i="68"/>
  <c r="M24" i="68"/>
  <c r="M23" i="68"/>
  <c r="M22" i="68"/>
  <c r="M21" i="68"/>
  <c r="M20" i="68"/>
  <c r="M19" i="68"/>
  <c r="M18" i="68"/>
  <c r="M17" i="68"/>
  <c r="M16" i="68"/>
  <c r="M15" i="68"/>
  <c r="M14" i="68"/>
  <c r="M13" i="68"/>
  <c r="M12" i="68"/>
  <c r="M11" i="68"/>
  <c r="M10" i="68"/>
  <c r="M9" i="68"/>
  <c r="M8" i="68"/>
  <c r="M7" i="68"/>
  <c r="M6" i="68"/>
  <c r="M5" i="68"/>
  <c r="O40" i="67"/>
  <c r="O39" i="67"/>
  <c r="O38" i="67"/>
  <c r="O37" i="67"/>
  <c r="O36" i="67"/>
  <c r="O35" i="67"/>
  <c r="O34" i="67"/>
  <c r="O33" i="67"/>
  <c r="O32" i="67"/>
  <c r="O31" i="67"/>
  <c r="O30" i="67"/>
  <c r="O29" i="67"/>
  <c r="O28" i="67"/>
  <c r="O27" i="67"/>
  <c r="O26" i="67"/>
  <c r="O25" i="67"/>
  <c r="O24" i="67"/>
  <c r="O23" i="67"/>
  <c r="O22" i="67"/>
  <c r="O21" i="67"/>
  <c r="O20" i="67"/>
  <c r="O19" i="67"/>
  <c r="O18" i="67"/>
  <c r="O17" i="67"/>
  <c r="O16" i="67"/>
  <c r="O15" i="67"/>
  <c r="O14" i="67"/>
  <c r="O13" i="67"/>
  <c r="O12" i="67"/>
  <c r="O11" i="67"/>
  <c r="O10" i="67"/>
  <c r="O9" i="67"/>
  <c r="O8" i="67"/>
  <c r="O7" i="67"/>
  <c r="O6" i="67"/>
  <c r="O5" i="67"/>
  <c r="M40" i="67"/>
  <c r="M39" i="67"/>
  <c r="M38" i="67"/>
  <c r="M37" i="67"/>
  <c r="M36" i="67"/>
  <c r="M35" i="67"/>
  <c r="M34" i="67"/>
  <c r="M33" i="67"/>
  <c r="M32" i="67"/>
  <c r="M31" i="67"/>
  <c r="M30" i="67"/>
  <c r="M29" i="67"/>
  <c r="M28" i="67"/>
  <c r="M27" i="67"/>
  <c r="M26" i="67"/>
  <c r="M25" i="67"/>
  <c r="M24" i="67"/>
  <c r="M23" i="67"/>
  <c r="M22" i="67"/>
  <c r="M21" i="67"/>
  <c r="M20" i="67"/>
  <c r="M19" i="67"/>
  <c r="M18" i="67"/>
  <c r="M17" i="67"/>
  <c r="M16" i="67"/>
  <c r="M15" i="67"/>
  <c r="M14" i="67"/>
  <c r="M13" i="67"/>
  <c r="M12" i="67"/>
  <c r="M11" i="67"/>
  <c r="M10" i="67"/>
  <c r="M9" i="67"/>
  <c r="M8" i="67"/>
  <c r="M7" i="67"/>
  <c r="M6" i="67"/>
  <c r="M5" i="67"/>
  <c r="O40" i="66"/>
  <c r="O39" i="66"/>
  <c r="O38" i="66"/>
  <c r="O37" i="66"/>
  <c r="O36" i="66"/>
  <c r="O35" i="66"/>
  <c r="O34" i="66"/>
  <c r="O33" i="66"/>
  <c r="O32" i="66"/>
  <c r="O31" i="66"/>
  <c r="O30" i="66"/>
  <c r="O29" i="66"/>
  <c r="O28" i="66"/>
  <c r="O27" i="66"/>
  <c r="O26" i="66"/>
  <c r="O25" i="66"/>
  <c r="O24" i="66"/>
  <c r="O23" i="66"/>
  <c r="O22" i="66"/>
  <c r="O21" i="66"/>
  <c r="O20" i="66"/>
  <c r="O19" i="66"/>
  <c r="O18" i="66"/>
  <c r="O17" i="66"/>
  <c r="O16" i="66"/>
  <c r="O15" i="66"/>
  <c r="O14" i="66"/>
  <c r="O13" i="66"/>
  <c r="O12" i="66"/>
  <c r="O11" i="66"/>
  <c r="O10" i="66"/>
  <c r="O9" i="66"/>
  <c r="O8" i="66"/>
  <c r="O7" i="66"/>
  <c r="O6" i="66"/>
  <c r="O5" i="66"/>
  <c r="M40" i="66"/>
  <c r="M39" i="66"/>
  <c r="M38" i="66"/>
  <c r="M37" i="66"/>
  <c r="M36" i="66"/>
  <c r="M35" i="66"/>
  <c r="M34" i="66"/>
  <c r="M33" i="66"/>
  <c r="M32" i="66"/>
  <c r="M31" i="66"/>
  <c r="M30" i="66"/>
  <c r="M29" i="66"/>
  <c r="M28" i="66"/>
  <c r="M27" i="66"/>
  <c r="M26" i="66"/>
  <c r="M25" i="66"/>
  <c r="M24" i="66"/>
  <c r="M23" i="66"/>
  <c r="M22" i="66"/>
  <c r="M21" i="66"/>
  <c r="M20" i="66"/>
  <c r="M19" i="66"/>
  <c r="M18" i="66"/>
  <c r="M17" i="66"/>
  <c r="M16" i="66"/>
  <c r="M15" i="66"/>
  <c r="M14" i="66"/>
  <c r="M13" i="66"/>
  <c r="M12" i="66"/>
  <c r="M11" i="66"/>
  <c r="M10" i="66"/>
  <c r="M9" i="66"/>
  <c r="M8" i="66"/>
  <c r="M7" i="66"/>
  <c r="M6" i="66"/>
  <c r="M5" i="66"/>
  <c r="O40" i="65"/>
  <c r="O39" i="65"/>
  <c r="O38" i="65"/>
  <c r="O37" i="65"/>
  <c r="O36" i="65"/>
  <c r="O35" i="65"/>
  <c r="O34" i="65"/>
  <c r="O33" i="65"/>
  <c r="O32" i="65"/>
  <c r="O31" i="65"/>
  <c r="O30" i="65"/>
  <c r="O29" i="65"/>
  <c r="O28" i="65"/>
  <c r="O27" i="65"/>
  <c r="O26" i="65"/>
  <c r="O25" i="65"/>
  <c r="O24" i="65"/>
  <c r="O23" i="65"/>
  <c r="O22" i="65"/>
  <c r="O21" i="65"/>
  <c r="O20" i="65"/>
  <c r="O19" i="65"/>
  <c r="O18" i="65"/>
  <c r="O17" i="65"/>
  <c r="O16" i="65"/>
  <c r="O15" i="65"/>
  <c r="O14" i="65"/>
  <c r="O13" i="65"/>
  <c r="O12" i="65"/>
  <c r="O11" i="65"/>
  <c r="O10" i="65"/>
  <c r="O9" i="65"/>
  <c r="O8" i="65"/>
  <c r="O7" i="65"/>
  <c r="O6" i="65"/>
  <c r="O5" i="65"/>
  <c r="M40" i="65"/>
  <c r="M39" i="65"/>
  <c r="M38" i="65"/>
  <c r="M37" i="65"/>
  <c r="M36" i="65"/>
  <c r="M35" i="65"/>
  <c r="M34" i="65"/>
  <c r="M33" i="65"/>
  <c r="M32" i="65"/>
  <c r="M31" i="65"/>
  <c r="M30" i="65"/>
  <c r="M29" i="65"/>
  <c r="M28" i="65"/>
  <c r="M27" i="65"/>
  <c r="M26" i="65"/>
  <c r="M25" i="65"/>
  <c r="M24" i="65"/>
  <c r="M23" i="65"/>
  <c r="M22" i="65"/>
  <c r="M21" i="65"/>
  <c r="M20" i="65"/>
  <c r="M19" i="65"/>
  <c r="M18" i="65"/>
  <c r="M17" i="65"/>
  <c r="M16" i="65"/>
  <c r="M15" i="65"/>
  <c r="M14" i="65"/>
  <c r="M13" i="65"/>
  <c r="M12" i="65"/>
  <c r="M11" i="65"/>
  <c r="M10" i="65"/>
  <c r="M9" i="65"/>
  <c r="M8" i="65"/>
  <c r="M7" i="65"/>
  <c r="M6" i="65"/>
  <c r="M5" i="65"/>
  <c r="O40" i="64"/>
  <c r="O39" i="64"/>
  <c r="O38" i="64"/>
  <c r="O37" i="64"/>
  <c r="O36" i="64"/>
  <c r="O35" i="64"/>
  <c r="O34" i="64"/>
  <c r="O33" i="64"/>
  <c r="O32" i="64"/>
  <c r="O31" i="64"/>
  <c r="O30" i="64"/>
  <c r="O29" i="64"/>
  <c r="O28" i="64"/>
  <c r="O27" i="64"/>
  <c r="O26" i="64"/>
  <c r="O25" i="64"/>
  <c r="O24" i="64"/>
  <c r="O23" i="64"/>
  <c r="O22" i="64"/>
  <c r="O21" i="64"/>
  <c r="O20" i="64"/>
  <c r="O19" i="64"/>
  <c r="O18" i="64"/>
  <c r="O17" i="64"/>
  <c r="O16" i="64"/>
  <c r="O15" i="64"/>
  <c r="O14" i="64"/>
  <c r="O13" i="64"/>
  <c r="O12" i="64"/>
  <c r="O11" i="64"/>
  <c r="O10" i="64"/>
  <c r="O9" i="64"/>
  <c r="O8" i="64"/>
  <c r="O7" i="64"/>
  <c r="O6" i="64"/>
  <c r="O5" i="64"/>
  <c r="M40" i="64"/>
  <c r="M39" i="64"/>
  <c r="M38" i="64"/>
  <c r="M37" i="64"/>
  <c r="M36" i="64"/>
  <c r="M35" i="64"/>
  <c r="M34" i="64"/>
  <c r="M33" i="64"/>
  <c r="M32" i="64"/>
  <c r="M31" i="64"/>
  <c r="M30" i="64"/>
  <c r="M29" i="64"/>
  <c r="M28" i="64"/>
  <c r="M27" i="64"/>
  <c r="M26" i="64"/>
  <c r="M25" i="64"/>
  <c r="M24" i="64"/>
  <c r="M23" i="64"/>
  <c r="M22" i="64"/>
  <c r="M21" i="64"/>
  <c r="M20" i="64"/>
  <c r="M19" i="64"/>
  <c r="M18" i="64"/>
  <c r="M17" i="64"/>
  <c r="M16" i="64"/>
  <c r="M15" i="64"/>
  <c r="M14" i="64"/>
  <c r="M13" i="64"/>
  <c r="M12" i="64"/>
  <c r="M11" i="64"/>
  <c r="M10" i="64"/>
  <c r="M9" i="64"/>
  <c r="M8" i="64"/>
  <c r="M7" i="64"/>
  <c r="M6" i="64"/>
  <c r="M5" i="64"/>
  <c r="O40" i="41"/>
  <c r="O39" i="41"/>
  <c r="O38" i="41"/>
  <c r="O37" i="41"/>
  <c r="O36" i="41"/>
  <c r="O35" i="41"/>
  <c r="O34" i="41"/>
  <c r="O33" i="41"/>
  <c r="O32" i="41"/>
  <c r="O31" i="41"/>
  <c r="O30" i="41"/>
  <c r="O29" i="41"/>
  <c r="O28" i="41"/>
  <c r="O27" i="41"/>
  <c r="O26" i="41"/>
  <c r="O25" i="41"/>
  <c r="O24" i="41"/>
  <c r="O23" i="41"/>
  <c r="O22" i="41"/>
  <c r="O21" i="41"/>
  <c r="O20" i="41"/>
  <c r="O19" i="41"/>
  <c r="O18" i="41"/>
  <c r="O17" i="41"/>
  <c r="O16" i="41"/>
  <c r="O15" i="41"/>
  <c r="O14" i="41"/>
  <c r="O13" i="41"/>
  <c r="O12" i="41"/>
  <c r="O11" i="41"/>
  <c r="O10" i="41"/>
  <c r="O9" i="41"/>
  <c r="O8" i="41"/>
  <c r="O7" i="41"/>
  <c r="O6" i="41"/>
  <c r="O5" i="41"/>
  <c r="M40" i="41"/>
  <c r="M39" i="41"/>
  <c r="M38" i="41"/>
  <c r="M37" i="41"/>
  <c r="M36" i="41"/>
  <c r="M35" i="41"/>
  <c r="M34" i="41"/>
  <c r="M33" i="41"/>
  <c r="M32" i="41"/>
  <c r="M31" i="41"/>
  <c r="M30" i="41"/>
  <c r="M29" i="41"/>
  <c r="M28" i="41"/>
  <c r="M27" i="41"/>
  <c r="M26" i="41"/>
  <c r="M25" i="41"/>
  <c r="M24" i="41"/>
  <c r="M23" i="41"/>
  <c r="M22" i="41"/>
  <c r="M21" i="41"/>
  <c r="M20" i="41"/>
  <c r="M19" i="41"/>
  <c r="M18" i="41"/>
  <c r="M17" i="41"/>
  <c r="M16" i="41"/>
  <c r="M15" i="41"/>
  <c r="M14" i="41"/>
  <c r="M13" i="41"/>
  <c r="M12" i="41"/>
  <c r="M11" i="41"/>
  <c r="M10" i="41"/>
  <c r="M9" i="41"/>
  <c r="M8" i="41"/>
  <c r="M7" i="41"/>
  <c r="M6" i="41"/>
  <c r="M5" i="41"/>
  <c r="O4" i="41"/>
  <c r="M4" i="41"/>
  <c r="B34" i="55"/>
  <c r="P3" i="56" a="1"/>
  <c r="P3" i="56" s="1"/>
  <c r="B93" i="41"/>
  <c r="W310" i="62" l="1" a="1"/>
  <c r="W310" i="62" s="1"/>
  <c r="W302" i="62" a="1"/>
  <c r="W302" i="62" s="1"/>
  <c r="W230" i="62" a="1"/>
  <c r="W230" i="62" s="1"/>
  <c r="W166" i="62" a="1"/>
  <c r="W166" i="62" s="1"/>
  <c r="W126" i="62" a="1"/>
  <c r="W126" i="62" s="1"/>
  <c r="W54" i="62" a="1"/>
  <c r="W54" i="62" s="1"/>
  <c r="W318" i="62" a="1"/>
  <c r="W318" i="62" s="1"/>
  <c r="W158" i="62" a="1"/>
  <c r="W158" i="62" s="1"/>
  <c r="W22" i="62" a="1"/>
  <c r="W22" i="62" s="1"/>
  <c r="W308" i="62" a="1"/>
  <c r="W308" i="62" s="1"/>
  <c r="W284" i="62" a="1"/>
  <c r="W284" i="62" s="1"/>
  <c r="W276" i="62" a="1"/>
  <c r="W276" i="62" s="1"/>
  <c r="W268" i="62" a="1"/>
  <c r="W268" i="62" s="1"/>
  <c r="W236" i="62" a="1"/>
  <c r="W236" i="62" s="1"/>
  <c r="W228" i="62" a="1"/>
  <c r="W228" i="62" s="1"/>
  <c r="W212" i="62" a="1"/>
  <c r="W212" i="62" s="1"/>
  <c r="W204" i="62" a="1"/>
  <c r="W204" i="62" s="1"/>
  <c r="W196" i="62" a="1"/>
  <c r="W196" i="62" s="1"/>
  <c r="W172" i="62" a="1"/>
  <c r="W172" i="62" s="1"/>
  <c r="W164" i="62" a="1"/>
  <c r="W164" i="62" s="1"/>
  <c r="W156" i="62" a="1"/>
  <c r="W156" i="62" s="1"/>
  <c r="W132" i="62" a="1"/>
  <c r="W132" i="62" s="1"/>
  <c r="W124" i="62" a="1"/>
  <c r="W124" i="62" s="1"/>
  <c r="W116" i="62" a="1"/>
  <c r="W116" i="62" s="1"/>
  <c r="W92" i="62" a="1"/>
  <c r="W92" i="62" s="1"/>
  <c r="W270" i="62" a="1"/>
  <c r="W270" i="62" s="1"/>
  <c r="W86" i="62" a="1"/>
  <c r="W86" i="62" s="1"/>
  <c r="W307" i="62" a="1"/>
  <c r="W307" i="62" s="1"/>
  <c r="W283" i="62" a="1"/>
  <c r="W283" i="62" s="1"/>
  <c r="W235" i="62" a="1"/>
  <c r="W235" i="62" s="1"/>
  <c r="W227" i="62" a="1"/>
  <c r="W227" i="62" s="1"/>
  <c r="W211" i="62" a="1"/>
  <c r="W211" i="62" s="1"/>
  <c r="W203" i="62" a="1"/>
  <c r="W203" i="62" s="1"/>
  <c r="W195" i="62" a="1"/>
  <c r="W195" i="62" s="1"/>
  <c r="W91" i="62" a="1"/>
  <c r="W91" i="62" s="1"/>
  <c r="W278" i="62" a="1"/>
  <c r="W278" i="62" s="1"/>
  <c r="W94" i="62" a="1"/>
  <c r="W94" i="62" s="1"/>
  <c r="W322" i="62" a="1"/>
  <c r="W322" i="62" s="1"/>
  <c r="W314" i="62" a="1"/>
  <c r="W314" i="62" s="1"/>
  <c r="W306" i="62" a="1"/>
  <c r="W306" i="62" s="1"/>
  <c r="W234" i="62" a="1"/>
  <c r="W234" i="62" s="1"/>
  <c r="W210" i="62" a="1"/>
  <c r="W210" i="62" s="1"/>
  <c r="W174" i="62" a="1"/>
  <c r="W174" i="62" s="1"/>
  <c r="W46" i="62" a="1"/>
  <c r="W46" i="62" s="1"/>
  <c r="W321" i="62" a="1"/>
  <c r="W321" i="62" s="1"/>
  <c r="W313" i="62" a="1"/>
  <c r="W313" i="62" s="1"/>
  <c r="W305" i="62" a="1"/>
  <c r="W305" i="62" s="1"/>
  <c r="W265" i="62" a="1"/>
  <c r="W265" i="62" s="1"/>
  <c r="W233" i="62" a="1"/>
  <c r="W233" i="62" s="1"/>
  <c r="W209" i="62" a="1"/>
  <c r="W209" i="62" s="1"/>
  <c r="W81" i="62" a="1"/>
  <c r="W81" i="62" s="1"/>
  <c r="W57" i="62" a="1"/>
  <c r="W57" i="62" s="1"/>
  <c r="W49" i="62" a="1"/>
  <c r="W49" i="62" s="1"/>
  <c r="W33" i="62" a="1"/>
  <c r="W33" i="62" s="1"/>
  <c r="W25" i="62" a="1"/>
  <c r="W25" i="62" s="1"/>
  <c r="W17" i="62" a="1"/>
  <c r="W17" i="62" s="1"/>
  <c r="W9" i="62" a="1"/>
  <c r="W9" i="62" s="1"/>
  <c r="W286" i="62" a="1"/>
  <c r="W286" i="62" s="1"/>
  <c r="W118" i="62" a="1"/>
  <c r="W118" i="62" s="1"/>
  <c r="W320" i="62" a="1"/>
  <c r="W320" i="62" s="1"/>
  <c r="W312" i="62" a="1"/>
  <c r="W312" i="62" s="1"/>
  <c r="W304" i="62" a="1"/>
  <c r="W304" i="62" s="1"/>
  <c r="W272" i="62" a="1"/>
  <c r="W272" i="62" s="1"/>
  <c r="W264" i="62" a="1"/>
  <c r="W264" i="62" s="1"/>
  <c r="W176" i="62" a="1"/>
  <c r="W176" i="62" s="1"/>
  <c r="W168" i="62" a="1"/>
  <c r="W168" i="62" s="1"/>
  <c r="W160" i="62" a="1"/>
  <c r="W160" i="62" s="1"/>
  <c r="W128" i="62" a="1"/>
  <c r="W128" i="62" s="1"/>
  <c r="W120" i="62" a="1"/>
  <c r="W120" i="62" s="1"/>
  <c r="W88" i="62" a="1"/>
  <c r="W88" i="62" s="1"/>
  <c r="W80" i="62" a="1"/>
  <c r="W80" i="62" s="1"/>
  <c r="W56" i="62" a="1"/>
  <c r="W56" i="62" s="1"/>
  <c r="W48" i="62" a="1"/>
  <c r="W48" i="62" s="1"/>
  <c r="W32" i="62" a="1"/>
  <c r="W32" i="62" s="1"/>
  <c r="W24" i="62" a="1"/>
  <c r="W24" i="62" s="1"/>
  <c r="W8" i="62" a="1"/>
  <c r="W8" i="62" s="1"/>
  <c r="W16" i="62" a="1"/>
  <c r="W16" i="62" s="1"/>
  <c r="W319" i="62" a="1"/>
  <c r="W319" i="62" s="1"/>
  <c r="W311" i="62" a="1"/>
  <c r="W311" i="62" s="1"/>
  <c r="W303" i="62" a="1"/>
  <c r="W303" i="62" s="1"/>
  <c r="W279" i="62" a="1"/>
  <c r="W279" i="62" s="1"/>
  <c r="W271" i="62" a="1"/>
  <c r="W271" i="62" s="1"/>
  <c r="W231" i="62" a="1"/>
  <c r="W231" i="62" s="1"/>
  <c r="W207" i="62" a="1"/>
  <c r="W207" i="62" s="1"/>
  <c r="W199" i="62" a="1"/>
  <c r="W199" i="62" s="1"/>
  <c r="W191" i="62" a="1"/>
  <c r="W191" i="62" s="1"/>
  <c r="W175" i="62" a="1"/>
  <c r="W175" i="62" s="1"/>
  <c r="W167" i="62" a="1"/>
  <c r="W167" i="62" s="1"/>
  <c r="W159" i="62" a="1"/>
  <c r="W159" i="62" s="1"/>
  <c r="W127" i="62" a="1"/>
  <c r="W127" i="62" s="1"/>
  <c r="W119" i="62" a="1"/>
  <c r="W119" i="62" s="1"/>
  <c r="W95" i="62" a="1"/>
  <c r="W95" i="62" s="1"/>
  <c r="W87" i="62" a="1"/>
  <c r="W87" i="62" s="1"/>
  <c r="W79" i="62" a="1"/>
  <c r="W79" i="62" s="1"/>
  <c r="W55" i="62" a="1"/>
  <c r="W55" i="62" s="1"/>
  <c r="W47" i="62" a="1"/>
  <c r="W47" i="62" s="1"/>
  <c r="W31" i="62" a="1"/>
  <c r="W31" i="62" s="1"/>
  <c r="W23" i="62" a="1"/>
  <c r="W23" i="62" s="1"/>
  <c r="W15" i="62" a="1"/>
  <c r="W15" i="62" s="1"/>
  <c r="W7" i="62" a="1"/>
  <c r="W7" i="62" s="1"/>
  <c r="W206" i="62" a="1"/>
  <c r="W206" i="62" s="1"/>
  <c r="W14" i="62" a="1"/>
  <c r="W14" i="62" s="1"/>
  <c r="W6" i="62" a="1"/>
  <c r="W6" i="62" s="1"/>
  <c r="W190" i="62" a="1"/>
  <c r="W190" i="62" s="1"/>
  <c r="W30" i="62" a="1"/>
  <c r="W30" i="62" s="1"/>
  <c r="W317" i="62" a="1"/>
  <c r="W317" i="62" s="1"/>
  <c r="W285" i="62" a="1"/>
  <c r="W285" i="62" s="1"/>
  <c r="W277" i="62" a="1"/>
  <c r="W277" i="62" s="1"/>
  <c r="W269" i="62" a="1"/>
  <c r="W269" i="62" s="1"/>
  <c r="W197" i="62" a="1"/>
  <c r="W197" i="62" s="1"/>
  <c r="W173" i="62" a="1"/>
  <c r="W173" i="62" s="1"/>
  <c r="W165" i="62" a="1"/>
  <c r="W165" i="62" s="1"/>
  <c r="W157" i="62" a="1"/>
  <c r="W157" i="62" s="1"/>
  <c r="W133" i="62" a="1"/>
  <c r="W133" i="62" s="1"/>
  <c r="W125" i="62" a="1"/>
  <c r="W125" i="62" s="1"/>
  <c r="W117" i="62" a="1"/>
  <c r="W117" i="62" s="1"/>
  <c r="W93" i="62" a="1"/>
  <c r="W93" i="62" s="1"/>
  <c r="W85" i="62" a="1"/>
  <c r="W85" i="62" s="1"/>
  <c r="W53" i="62" a="1"/>
  <c r="W53" i="62" s="1"/>
  <c r="W45" i="62" a="1"/>
  <c r="W45" i="62" s="1"/>
  <c r="W29" i="62" a="1"/>
  <c r="W29" i="62" s="1"/>
  <c r="W21" i="62" a="1"/>
  <c r="W21" i="62" s="1"/>
  <c r="W13" i="62" a="1"/>
  <c r="W13" i="62" s="1"/>
  <c r="W202" i="62" a="1"/>
  <c r="W202" i="62" s="1"/>
  <c r="AA200" i="62" a="1"/>
  <c r="AA200" i="62" s="1"/>
  <c r="AA199" i="62" a="1"/>
  <c r="AA199" i="62" s="1"/>
  <c r="W10" i="62" a="1"/>
  <c r="W10" i="62" s="1"/>
  <c r="W18" i="62" a="1"/>
  <c r="W18" i="62" s="1"/>
  <c r="W26" i="62" a="1"/>
  <c r="W26" i="62" s="1"/>
  <c r="W34" i="62" a="1"/>
  <c r="W34" i="62" s="1"/>
  <c r="W42" i="62" a="1"/>
  <c r="W42" i="62" s="1"/>
  <c r="W50" i="62" a="1"/>
  <c r="W50" i="62" s="1"/>
  <c r="W58" i="62" a="1"/>
  <c r="W58" i="62" s="1"/>
  <c r="W82" i="62" a="1"/>
  <c r="W82" i="62" s="1"/>
  <c r="W89" i="62" a="1"/>
  <c r="W89" i="62" s="1"/>
  <c r="W121" i="62" a="1"/>
  <c r="W121" i="62" s="1"/>
  <c r="W129" i="62" a="1"/>
  <c r="W129" i="62" s="1"/>
  <c r="W153" i="62" a="1"/>
  <c r="W153" i="62" s="1"/>
  <c r="W161" i="62" a="1"/>
  <c r="W161" i="62" s="1"/>
  <c r="W169" i="62" a="1"/>
  <c r="W169" i="62" s="1"/>
  <c r="W177" i="62" a="1"/>
  <c r="W177" i="62" s="1"/>
  <c r="W198" i="62" a="1"/>
  <c r="W198" i="62" s="1"/>
  <c r="W205" i="62" a="1"/>
  <c r="W205" i="62" s="1"/>
  <c r="W213" i="62" a="1"/>
  <c r="W213" i="62" s="1"/>
  <c r="W229" i="62" a="1"/>
  <c r="W229" i="62" s="1"/>
  <c r="W237" i="62" a="1"/>
  <c r="W237" i="62" s="1"/>
  <c r="W266" i="62" a="1"/>
  <c r="W266" i="62" s="1"/>
  <c r="W273" i="62" a="1"/>
  <c r="W273" i="62" s="1"/>
  <c r="W280" i="62" a="1"/>
  <c r="W280" i="62" s="1"/>
  <c r="W301" i="62" a="1"/>
  <c r="W301" i="62" s="1"/>
  <c r="W309" i="62" a="1"/>
  <c r="W309" i="62" s="1"/>
  <c r="W315" i="62" a="1"/>
  <c r="W315" i="62" s="1"/>
  <c r="W323" i="62" a="1"/>
  <c r="W323" i="62" s="1"/>
  <c r="W11" i="62" a="1"/>
  <c r="W11" i="62" s="1"/>
  <c r="W19" i="62" a="1"/>
  <c r="W19" i="62" s="1"/>
  <c r="W27" i="62" a="1"/>
  <c r="W27" i="62" s="1"/>
  <c r="W35" i="62" a="1"/>
  <c r="W35" i="62" s="1"/>
  <c r="W43" i="62" a="1"/>
  <c r="W43" i="62" s="1"/>
  <c r="W51" i="62" a="1"/>
  <c r="W51" i="62" s="1"/>
  <c r="W83" i="62" a="1"/>
  <c r="W83" i="62" s="1"/>
  <c r="W96" i="62" a="1"/>
  <c r="W96" i="62" s="1"/>
  <c r="W122" i="62" a="1"/>
  <c r="W122" i="62" s="1"/>
  <c r="W130" i="62" a="1"/>
  <c r="W130" i="62" s="1"/>
  <c r="W154" i="62" a="1"/>
  <c r="W154" i="62" s="1"/>
  <c r="W162" i="62" a="1"/>
  <c r="W162" i="62" s="1"/>
  <c r="W170" i="62" a="1"/>
  <c r="W170" i="62" s="1"/>
  <c r="W178" i="62" a="1"/>
  <c r="W178" i="62" s="1"/>
  <c r="W192" i="62" a="1"/>
  <c r="W192" i="62" s="1"/>
  <c r="W274" i="62" a="1"/>
  <c r="W274" i="62" s="1"/>
  <c r="W281" i="62" a="1"/>
  <c r="W281" i="62" s="1"/>
  <c r="W316" i="62" a="1"/>
  <c r="W316" i="62" s="1"/>
  <c r="W12" i="62" a="1"/>
  <c r="W12" i="62" s="1"/>
  <c r="W20" i="62" a="1"/>
  <c r="W20" i="62" s="1"/>
  <c r="W28" i="62" a="1"/>
  <c r="W28" i="62" s="1"/>
  <c r="W36" i="62" a="1"/>
  <c r="W36" i="62" s="1"/>
  <c r="W44" i="62" a="1"/>
  <c r="W44" i="62" s="1"/>
  <c r="W52" i="62" a="1"/>
  <c r="W52" i="62" s="1"/>
  <c r="W84" i="62" a="1"/>
  <c r="W84" i="62" s="1"/>
  <c r="W90" i="62" a="1"/>
  <c r="W90" i="62" s="1"/>
  <c r="W123" i="62" a="1"/>
  <c r="W123" i="62" s="1"/>
  <c r="W131" i="62" a="1"/>
  <c r="W131" i="62" s="1"/>
  <c r="W155" i="62" a="1"/>
  <c r="W155" i="62" s="1"/>
  <c r="W163" i="62" a="1"/>
  <c r="W163" i="62" s="1"/>
  <c r="W171" i="62" a="1"/>
  <c r="W171" i="62" s="1"/>
  <c r="W193" i="62" a="1"/>
  <c r="W193" i="62" s="1"/>
  <c r="W200" i="62" a="1"/>
  <c r="W200" i="62" s="1"/>
  <c r="W267" i="62" a="1"/>
  <c r="W267" i="62" s="1"/>
  <c r="W275" i="62" a="1"/>
  <c r="W275" i="62" s="1"/>
  <c r="W282" i="62" a="1"/>
  <c r="W282" i="62" s="1"/>
  <c r="W5" i="62" a="1"/>
  <c r="W5" i="62" s="1"/>
  <c r="W194" i="62" a="1"/>
  <c r="W194" i="62" s="1"/>
  <c r="W201" i="62" a="1"/>
  <c r="W201" i="62" s="1"/>
  <c r="W208" i="62" a="1"/>
  <c r="W208" i="62" s="1"/>
  <c r="W232" i="62" a="1"/>
  <c r="W232" i="62" s="1"/>
  <c r="B171" i="74"/>
  <c r="B171" i="73"/>
  <c r="B171" i="72"/>
  <c r="B171" i="71"/>
  <c r="B171" i="70"/>
  <c r="B171" i="69"/>
  <c r="B171" i="68"/>
  <c r="B171" i="67"/>
  <c r="B171" i="66"/>
  <c r="B171" i="65"/>
  <c r="B171" i="41"/>
  <c r="B171" i="64"/>
  <c r="B71" i="58"/>
  <c r="M4" i="74"/>
  <c r="O4" i="74"/>
  <c r="M4" i="73"/>
  <c r="O4" i="73"/>
  <c r="M4" i="72"/>
  <c r="O4" i="72"/>
  <c r="M4" i="71"/>
  <c r="O4" i="71"/>
  <c r="O4" i="70"/>
  <c r="M4" i="70"/>
  <c r="U163" i="62" l="1"/>
  <c r="U157" i="62"/>
  <c r="U168" i="62"/>
  <c r="U12" i="62"/>
  <c r="U102" i="62"/>
  <c r="U113" i="62"/>
  <c r="U124" i="62"/>
  <c r="U164" i="62"/>
  <c r="U13" i="62"/>
  <c r="U24" i="62"/>
  <c r="U35" i="62"/>
  <c r="U15" i="62"/>
  <c r="U26" i="62"/>
  <c r="U93" i="62"/>
  <c r="U104" i="62"/>
  <c r="U115" i="62"/>
  <c r="U63" i="62"/>
  <c r="U74" i="62"/>
  <c r="U79" i="62"/>
  <c r="U90" i="62"/>
  <c r="U141" i="62"/>
  <c r="U152" i="62"/>
  <c r="U29" i="62"/>
  <c r="U118" i="62"/>
  <c r="U40" i="62"/>
  <c r="U129" i="62"/>
  <c r="U51" i="62"/>
  <c r="U140" i="62"/>
  <c r="U77" i="62"/>
  <c r="U166" i="62"/>
  <c r="U88" i="62"/>
  <c r="U10" i="62"/>
  <c r="U99" i="62"/>
  <c r="U172" i="62"/>
  <c r="U187" i="62"/>
  <c r="U215" i="62"/>
  <c r="U214" i="62"/>
  <c r="U267" i="62"/>
  <c r="U275" i="62"/>
  <c r="U210" i="62"/>
  <c r="U219" i="62"/>
  <c r="U282" i="62"/>
  <c r="U315" i="62"/>
  <c r="U259" i="62"/>
  <c r="U262" i="62"/>
  <c r="U230" i="62"/>
  <c r="U289" i="62"/>
  <c r="U260" i="62"/>
  <c r="U243" i="62"/>
  <c r="U345" i="62"/>
  <c r="U237" i="62"/>
  <c r="U333" i="62"/>
  <c r="U379" i="62"/>
  <c r="U430" i="62"/>
  <c r="U341" i="62"/>
  <c r="U349" i="62"/>
  <c r="U355" i="62"/>
  <c r="U354" i="62"/>
  <c r="U417" i="62"/>
  <c r="U446" i="62"/>
  <c r="U407" i="62"/>
  <c r="U416" i="62"/>
  <c r="U195" i="62"/>
  <c r="U394" i="62"/>
  <c r="U178" i="62"/>
  <c r="U431" i="62"/>
  <c r="U283" i="62"/>
  <c r="U188" i="62"/>
  <c r="U403" i="62"/>
  <c r="U362" i="62"/>
  <c r="U223" i="62"/>
  <c r="U220" i="62"/>
  <c r="U203" i="62"/>
  <c r="U277" i="62"/>
  <c r="U211" i="62"/>
  <c r="U222" i="62"/>
  <c r="U284" i="62"/>
  <c r="U321" i="62"/>
  <c r="U216" i="62"/>
  <c r="U265" i="62"/>
  <c r="U246" i="62"/>
  <c r="U295" i="62"/>
  <c r="U269" i="62"/>
  <c r="U249" i="62"/>
  <c r="U353" i="62"/>
  <c r="U254" i="62"/>
  <c r="U248" i="62"/>
  <c r="U398" i="62"/>
  <c r="U436" i="62"/>
  <c r="U347" i="62"/>
  <c r="U357" i="62"/>
  <c r="U381" i="62"/>
  <c r="U363" i="62"/>
  <c r="U323" i="62"/>
  <c r="U190" i="62"/>
  <c r="U444" i="62"/>
  <c r="U420" i="62"/>
  <c r="U197" i="62"/>
  <c r="U402" i="62"/>
  <c r="U182" i="62"/>
  <c r="U434" i="62"/>
  <c r="U344" i="62"/>
  <c r="U196" i="62"/>
  <c r="U348" i="62"/>
  <c r="U180" i="62"/>
  <c r="U229" i="62"/>
  <c r="U227" i="62"/>
  <c r="U208" i="62"/>
  <c r="U306" i="62"/>
  <c r="U221" i="62"/>
  <c r="U224" i="62"/>
  <c r="U298" i="62"/>
  <c r="U324" i="62"/>
  <c r="U235" i="62"/>
  <c r="U293" i="62"/>
  <c r="U273" i="62"/>
  <c r="U328" i="62"/>
  <c r="U285" i="62"/>
  <c r="U290" i="62"/>
  <c r="U358" i="62"/>
  <c r="U292" i="62"/>
  <c r="U281" i="62"/>
  <c r="U411" i="62"/>
  <c r="U439" i="62"/>
  <c r="U367" i="62"/>
  <c r="U361" i="62"/>
  <c r="U303" i="62"/>
  <c r="U369" i="62"/>
  <c r="U385" i="62"/>
  <c r="U198" i="62"/>
  <c r="U390" i="62"/>
  <c r="U427" i="62"/>
  <c r="U296" i="62"/>
  <c r="U404" i="62"/>
  <c r="U191" i="62"/>
  <c r="U177" i="62"/>
  <c r="U338" i="62"/>
  <c r="U5" i="62"/>
  <c r="U271" i="62"/>
  <c r="U184" i="62"/>
  <c r="U250" i="62"/>
  <c r="U239" i="62"/>
  <c r="U217" i="62"/>
  <c r="U312" i="62"/>
  <c r="U212" i="62"/>
  <c r="U231" i="62"/>
  <c r="U299" i="62"/>
  <c r="U330" i="62"/>
  <c r="U241" i="62"/>
  <c r="U294" i="62"/>
  <c r="U279" i="62"/>
  <c r="U331" i="62"/>
  <c r="U286" i="62"/>
  <c r="U302" i="62"/>
  <c r="U360" i="62"/>
  <c r="U300" i="62"/>
  <c r="U350" i="62"/>
  <c r="U413" i="62"/>
  <c r="U174" i="62"/>
  <c r="U370" i="62"/>
  <c r="U378" i="62"/>
  <c r="U359" i="62"/>
  <c r="U372" i="62"/>
  <c r="U393" i="62"/>
  <c r="U371" i="62"/>
  <c r="U396" i="62"/>
  <c r="U445" i="62"/>
  <c r="U339" i="62"/>
  <c r="U406" i="62"/>
  <c r="U192" i="62"/>
  <c r="U181" i="62"/>
  <c r="U388" i="62"/>
  <c r="U186" i="62"/>
  <c r="U185" i="62"/>
  <c r="U183" i="62"/>
  <c r="U266" i="62"/>
  <c r="U240" i="62"/>
  <c r="U225" i="62"/>
  <c r="U320" i="62"/>
  <c r="U234" i="62"/>
  <c r="U232" i="62"/>
  <c r="U304" i="62"/>
  <c r="U340" i="62"/>
  <c r="U268" i="62"/>
  <c r="U301" i="62"/>
  <c r="U297" i="62"/>
  <c r="U236" i="62"/>
  <c r="U287" i="62"/>
  <c r="U316" i="62"/>
  <c r="U368" i="62"/>
  <c r="U305" i="62"/>
  <c r="U356" i="62"/>
  <c r="U422" i="62"/>
  <c r="U276" i="62"/>
  <c r="U382" i="62"/>
  <c r="U386" i="62"/>
  <c r="U380" i="62"/>
  <c r="U374" i="62"/>
  <c r="U421" i="62"/>
  <c r="U392" i="62"/>
  <c r="U399" i="62"/>
  <c r="U179" i="62"/>
  <c r="U415" i="62"/>
  <c r="U412" i="62"/>
  <c r="U343" i="62"/>
  <c r="U173" i="62"/>
  <c r="U419" i="62"/>
  <c r="U447" i="62"/>
  <c r="U175" i="62"/>
  <c r="U401" i="62"/>
  <c r="U201" i="62"/>
  <c r="U255" i="62"/>
  <c r="U228" i="62"/>
  <c r="U334" i="62"/>
  <c r="U205" i="62"/>
  <c r="U261" i="62"/>
  <c r="U308" i="62"/>
  <c r="U242" i="62"/>
  <c r="U206" i="62"/>
  <c r="U310" i="62"/>
  <c r="U322" i="62"/>
  <c r="U238" i="62"/>
  <c r="U317" i="62"/>
  <c r="U318" i="62"/>
  <c r="U373" i="62"/>
  <c r="U307" i="62"/>
  <c r="U364" i="62"/>
  <c r="U425" i="62"/>
  <c r="U326" i="62"/>
  <c r="U387" i="62"/>
  <c r="U288" i="62"/>
  <c r="U384" i="62"/>
  <c r="U377" i="62"/>
  <c r="U433" i="62"/>
  <c r="U423" i="62"/>
  <c r="U405" i="62"/>
  <c r="U189" i="62"/>
  <c r="U426" i="62"/>
  <c r="U414" i="62"/>
  <c r="U409" i="62"/>
  <c r="U376" i="62"/>
  <c r="U424" i="62"/>
  <c r="U435" i="62"/>
  <c r="U366" i="62"/>
  <c r="U202" i="62"/>
  <c r="U257" i="62"/>
  <c r="U251" i="62"/>
  <c r="U342" i="62"/>
  <c r="U207" i="62"/>
  <c r="U264" i="62"/>
  <c r="U309" i="62"/>
  <c r="U244" i="62"/>
  <c r="U226" i="62"/>
  <c r="U314" i="62"/>
  <c r="U258" i="62"/>
  <c r="U245" i="62"/>
  <c r="U332" i="62"/>
  <c r="U327" i="62"/>
  <c r="U395" i="62"/>
  <c r="U311" i="62"/>
  <c r="U365" i="62"/>
  <c r="U428" i="62"/>
  <c r="U329" i="62"/>
  <c r="U272" i="62"/>
  <c r="U351" i="62"/>
  <c r="U274" i="62"/>
  <c r="U383" i="62"/>
  <c r="U437" i="62"/>
  <c r="U199" i="62"/>
  <c r="U408" i="62"/>
  <c r="U193" i="62"/>
  <c r="U442" i="62"/>
  <c r="U432" i="62"/>
  <c r="U270" i="62"/>
  <c r="U418" i="62"/>
  <c r="U440" i="62"/>
  <c r="U441" i="62"/>
  <c r="U209" i="62"/>
  <c r="U256" i="62"/>
  <c r="U325" i="62"/>
  <c r="U443" i="62"/>
  <c r="U176" i="62"/>
  <c r="U213" i="62"/>
  <c r="U252" i="62"/>
  <c r="U375" i="62"/>
  <c r="U319" i="62"/>
  <c r="U200" i="62"/>
  <c r="U263" i="62"/>
  <c r="U204" i="62"/>
  <c r="U278" i="62"/>
  <c r="U335" i="62"/>
  <c r="U346" i="62"/>
  <c r="U400" i="62"/>
  <c r="U253" i="62"/>
  <c r="U429" i="62"/>
  <c r="U438" i="62"/>
  <c r="U233" i="62"/>
  <c r="U336" i="62"/>
  <c r="U448" i="62"/>
  <c r="U313" i="62"/>
  <c r="U291" i="62"/>
  <c r="U218" i="62"/>
  <c r="U352" i="62"/>
  <c r="U280" i="62"/>
  <c r="U391" i="62"/>
  <c r="U247" i="62"/>
  <c r="U410" i="62"/>
  <c r="U337" i="62"/>
  <c r="U194" i="62"/>
  <c r="U397" i="62"/>
  <c r="U389" i="62"/>
  <c r="U38" i="62"/>
  <c r="U127" i="62"/>
  <c r="U49" i="62"/>
  <c r="U138" i="62"/>
  <c r="U60" i="62"/>
  <c r="U54" i="62"/>
  <c r="U143" i="62"/>
  <c r="U65" i="62"/>
  <c r="U154" i="62"/>
  <c r="U76" i="62"/>
  <c r="B201" i="62"/>
  <c r="B204" i="62"/>
  <c r="B213" i="62"/>
  <c r="B218" i="62"/>
  <c r="B219" i="62"/>
  <c r="B246" i="62"/>
  <c r="B247" i="62"/>
  <c r="B248" i="62"/>
  <c r="B209" i="62"/>
  <c r="B217" i="62"/>
  <c r="B235" i="62"/>
  <c r="B244" i="62"/>
  <c r="B245" i="62"/>
  <c r="B252" i="62"/>
  <c r="B253" i="62"/>
  <c r="B254" i="62"/>
  <c r="B257" i="62"/>
  <c r="B266" i="62"/>
  <c r="B207" i="62"/>
  <c r="B227" i="62"/>
  <c r="B231" i="62"/>
  <c r="B237" i="62"/>
  <c r="B243" i="62"/>
  <c r="B249" i="62"/>
  <c r="B260" i="62"/>
  <c r="B263" i="62"/>
  <c r="B270" i="62"/>
  <c r="B277" i="62"/>
  <c r="B288" i="62"/>
  <c r="B295" i="62"/>
  <c r="B303" i="62"/>
  <c r="B304" i="62"/>
  <c r="B326" i="62"/>
  <c r="B334" i="62"/>
  <c r="B338" i="62"/>
  <c r="B203" i="62"/>
  <c r="B215" i="62"/>
  <c r="B224" i="62"/>
  <c r="B226" i="62"/>
  <c r="B229" i="62"/>
  <c r="B205" i="62"/>
  <c r="B211" i="62"/>
  <c r="B212" i="62"/>
  <c r="B222" i="62"/>
  <c r="B202" i="62"/>
  <c r="B210" i="62"/>
  <c r="B216" i="62"/>
  <c r="B230" i="62"/>
  <c r="B206" i="62"/>
  <c r="B208" i="62"/>
  <c r="B234" i="62"/>
  <c r="B214" i="62"/>
  <c r="B241" i="62"/>
  <c r="B251" i="62"/>
  <c r="B267" i="62"/>
  <c r="B273" i="62"/>
  <c r="B281" i="62"/>
  <c r="B284" i="62"/>
  <c r="B294" i="62"/>
  <c r="B315" i="62"/>
  <c r="B323" i="62"/>
  <c r="B330" i="62"/>
  <c r="B221" i="62"/>
  <c r="B239" i="62"/>
  <c r="B256" i="62"/>
  <c r="B261" i="62"/>
  <c r="B240" i="62"/>
  <c r="B262" i="62"/>
  <c r="B236" i="62"/>
  <c r="B242" i="62"/>
  <c r="B269" i="62"/>
  <c r="B275" i="62"/>
  <c r="B280" i="62"/>
  <c r="B282" i="62"/>
  <c r="B286" i="62"/>
  <c r="B289" i="62"/>
  <c r="B308" i="62"/>
  <c r="B317" i="62"/>
  <c r="B318" i="62"/>
  <c r="B271" i="62"/>
  <c r="B313" i="62"/>
  <c r="B327" i="62"/>
  <c r="B225" i="62"/>
  <c r="B232" i="62"/>
  <c r="B274" i="62"/>
  <c r="B298" i="62"/>
  <c r="B335" i="62"/>
  <c r="B220" i="62"/>
  <c r="B259" i="62"/>
  <c r="B264" i="62"/>
  <c r="B276" i="62"/>
  <c r="B278" i="62"/>
  <c r="B279" i="62"/>
  <c r="B290" i="62"/>
  <c r="B296" i="62"/>
  <c r="B305" i="62"/>
  <c r="B310" i="62"/>
  <c r="B311" i="62"/>
  <c r="B321" i="62"/>
  <c r="B329" i="62"/>
  <c r="B332" i="62"/>
  <c r="B228" i="62"/>
  <c r="B233" i="62"/>
  <c r="B287" i="62"/>
  <c r="B299" i="62"/>
  <c r="B302" i="62"/>
  <c r="B331" i="62"/>
  <c r="B333" i="62"/>
  <c r="B355" i="62"/>
  <c r="B356" i="62"/>
  <c r="B365" i="62"/>
  <c r="B373" i="62"/>
  <c r="B383" i="62"/>
  <c r="B386" i="62"/>
  <c r="B390" i="62"/>
  <c r="B397" i="62"/>
  <c r="B250" i="62"/>
  <c r="B285" i="62"/>
  <c r="B291" i="62"/>
  <c r="B309" i="62"/>
  <c r="B314" i="62"/>
  <c r="B316" i="62"/>
  <c r="B319" i="62"/>
  <c r="B328" i="62"/>
  <c r="B336" i="62"/>
  <c r="B223" i="62"/>
  <c r="B268" i="62"/>
  <c r="B272" i="62"/>
  <c r="B312" i="62"/>
  <c r="B344" i="62"/>
  <c r="B349" i="62"/>
  <c r="B354" i="62"/>
  <c r="B363" i="62"/>
  <c r="B367" i="62"/>
  <c r="B372" i="62"/>
  <c r="B377" i="62"/>
  <c r="B407" i="62"/>
  <c r="B408" i="62"/>
  <c r="B413" i="62"/>
  <c r="B434" i="62"/>
  <c r="B439" i="62"/>
  <c r="B322" i="62"/>
  <c r="B325" i="62"/>
  <c r="B351" i="62"/>
  <c r="B357" i="62"/>
  <c r="B359" i="62"/>
  <c r="B366" i="62"/>
  <c r="B376" i="62"/>
  <c r="B380" i="62"/>
  <c r="B283" i="62"/>
  <c r="B301" i="62"/>
  <c r="B307" i="62"/>
  <c r="B337" i="62"/>
  <c r="B341" i="62"/>
  <c r="B342" i="62"/>
  <c r="B346" i="62"/>
  <c r="B348" i="62"/>
  <c r="B368" i="62"/>
  <c r="B371" i="62"/>
  <c r="B388" i="62"/>
  <c r="B258" i="62"/>
  <c r="B292" i="62"/>
  <c r="B350" i="62"/>
  <c r="B358" i="62"/>
  <c r="B362" i="62"/>
  <c r="B379" i="62"/>
  <c r="B387" i="62"/>
  <c r="B352" i="62"/>
  <c r="B353" i="62"/>
  <c r="B369" i="62"/>
  <c r="B382" i="62"/>
  <c r="B265" i="62"/>
  <c r="B293" i="62"/>
  <c r="B360" i="62"/>
  <c r="B374" i="62"/>
  <c r="B381" i="62"/>
  <c r="B385" i="62"/>
  <c r="B394" i="62"/>
  <c r="B403" i="62"/>
  <c r="B415" i="62"/>
  <c r="B416" i="62"/>
  <c r="B402" i="62"/>
  <c r="B404" i="62"/>
  <c r="B436" i="62"/>
  <c r="B442" i="62"/>
  <c r="B184" i="62"/>
  <c r="B187" i="62"/>
  <c r="B188" i="62"/>
  <c r="B173" i="62"/>
  <c r="B431" i="62"/>
  <c r="B197" i="62"/>
  <c r="B370" i="62"/>
  <c r="B255" i="62"/>
  <c r="B300" i="62"/>
  <c r="B324" i="62"/>
  <c r="B414" i="62"/>
  <c r="B422" i="62"/>
  <c r="B438" i="62"/>
  <c r="B440" i="62"/>
  <c r="B444" i="62"/>
  <c r="B447" i="62"/>
  <c r="B191" i="62"/>
  <c r="B199" i="62"/>
  <c r="B420" i="62"/>
  <c r="B441" i="62"/>
  <c r="B177" i="62"/>
  <c r="B393" i="62"/>
  <c r="B343" i="62"/>
  <c r="B347" i="62"/>
  <c r="B361" i="62"/>
  <c r="B364" i="62"/>
  <c r="B375" i="62"/>
  <c r="B391" i="62"/>
  <c r="B400" i="62"/>
  <c r="B406" i="62"/>
  <c r="B409" i="62"/>
  <c r="B411" i="62"/>
  <c r="B417" i="62"/>
  <c r="B421" i="62"/>
  <c r="B428" i="62"/>
  <c r="B446" i="62"/>
  <c r="B180" i="62"/>
  <c r="B190" i="62"/>
  <c r="B194" i="62"/>
  <c r="B195" i="62"/>
  <c r="B196" i="62"/>
  <c r="B198" i="62"/>
  <c r="B425" i="62"/>
  <c r="B189" i="62"/>
  <c r="B378" i="62"/>
  <c r="B424" i="62"/>
  <c r="B430" i="62"/>
  <c r="B238" i="62"/>
  <c r="B392" i="62"/>
  <c r="B395" i="62"/>
  <c r="B405" i="62"/>
  <c r="B418" i="62"/>
  <c r="B426" i="62"/>
  <c r="B433" i="62"/>
  <c r="B175" i="62"/>
  <c r="B179" i="62"/>
  <c r="B183" i="62"/>
  <c r="B192" i="62"/>
  <c r="B193" i="62"/>
  <c r="B339" i="62"/>
  <c r="B389" i="62"/>
  <c r="B437" i="62"/>
  <c r="B410" i="62"/>
  <c r="B419" i="62"/>
  <c r="B174" i="62"/>
  <c r="B306" i="62"/>
  <c r="B384" i="62"/>
  <c r="B401" i="62"/>
  <c r="B432" i="62"/>
  <c r="B435" i="62"/>
  <c r="B178" i="62"/>
  <c r="B182" i="62"/>
  <c r="B345" i="62"/>
  <c r="B445" i="62"/>
  <c r="B412" i="62"/>
  <c r="B176" i="62"/>
  <c r="B186" i="62"/>
  <c r="B396" i="62"/>
  <c r="B427" i="62"/>
  <c r="B399" i="62"/>
  <c r="B200" i="62"/>
  <c r="B297" i="62"/>
  <c r="B185" i="62"/>
  <c r="B398" i="62"/>
  <c r="B429" i="62"/>
  <c r="B443" i="62"/>
  <c r="B448" i="62"/>
  <c r="B320" i="62"/>
  <c r="B423" i="62"/>
  <c r="B181" i="62"/>
  <c r="B340" i="62"/>
  <c r="U69" i="62"/>
  <c r="U133" i="62"/>
  <c r="U30" i="62"/>
  <c r="U94" i="62"/>
  <c r="U158" i="62"/>
  <c r="U55" i="62"/>
  <c r="U119" i="62"/>
  <c r="U16" i="62"/>
  <c r="U80" i="62"/>
  <c r="U144" i="62"/>
  <c r="U41" i="62"/>
  <c r="U105" i="62"/>
  <c r="U169" i="62"/>
  <c r="U66" i="62"/>
  <c r="U130" i="62"/>
  <c r="U27" i="62"/>
  <c r="U91" i="62"/>
  <c r="U155" i="62"/>
  <c r="U52" i="62"/>
  <c r="U116" i="62"/>
  <c r="U21" i="62"/>
  <c r="U85" i="62"/>
  <c r="U149" i="62"/>
  <c r="U46" i="62"/>
  <c r="U110" i="62"/>
  <c r="U7" i="62"/>
  <c r="U71" i="62"/>
  <c r="U135" i="62"/>
  <c r="U32" i="62"/>
  <c r="U96" i="62"/>
  <c r="U160" i="62"/>
  <c r="U57" i="62"/>
  <c r="U121" i="62"/>
  <c r="U18" i="62"/>
  <c r="U82" i="62"/>
  <c r="U146" i="62"/>
  <c r="U43" i="62"/>
  <c r="U107" i="62"/>
  <c r="U171" i="62"/>
  <c r="U68" i="62"/>
  <c r="U132" i="62"/>
  <c r="U37" i="62"/>
  <c r="U101" i="62"/>
  <c r="U165" i="62"/>
  <c r="U62" i="62"/>
  <c r="U126" i="62"/>
  <c r="U23" i="62"/>
  <c r="U87" i="62"/>
  <c r="U151" i="62"/>
  <c r="U48" i="62"/>
  <c r="U112" i="62"/>
  <c r="U9" i="62"/>
  <c r="U73" i="62"/>
  <c r="U137" i="62"/>
  <c r="U34" i="62"/>
  <c r="U98" i="62"/>
  <c r="U162" i="62"/>
  <c r="U59" i="62"/>
  <c r="U123" i="62"/>
  <c r="U20" i="62"/>
  <c r="U84" i="62"/>
  <c r="U148" i="62"/>
  <c r="U45" i="62"/>
  <c r="U109" i="62"/>
  <c r="U6" i="62"/>
  <c r="U70" i="62"/>
  <c r="U134" i="62"/>
  <c r="U31" i="62"/>
  <c r="U95" i="62"/>
  <c r="U159" i="62"/>
  <c r="U56" i="62"/>
  <c r="U120" i="62"/>
  <c r="U17" i="62"/>
  <c r="U81" i="62"/>
  <c r="U145" i="62"/>
  <c r="U42" i="62"/>
  <c r="U106" i="62"/>
  <c r="U170" i="62"/>
  <c r="U67" i="62"/>
  <c r="U131" i="62"/>
  <c r="U28" i="62"/>
  <c r="U92" i="62"/>
  <c r="U156" i="62"/>
  <c r="U53" i="62"/>
  <c r="U117" i="62"/>
  <c r="U14" i="62"/>
  <c r="U78" i="62"/>
  <c r="U142" i="62"/>
  <c r="U39" i="62"/>
  <c r="U103" i="62"/>
  <c r="U167" i="62"/>
  <c r="U64" i="62"/>
  <c r="U128" i="62"/>
  <c r="U25" i="62"/>
  <c r="U89" i="62"/>
  <c r="U153" i="62"/>
  <c r="U50" i="62"/>
  <c r="U114" i="62"/>
  <c r="U11" i="62"/>
  <c r="U75" i="62"/>
  <c r="U139" i="62"/>
  <c r="U36" i="62"/>
  <c r="U100" i="62"/>
  <c r="U61" i="62"/>
  <c r="U125" i="62"/>
  <c r="U22" i="62"/>
  <c r="U86" i="62"/>
  <c r="U150" i="62"/>
  <c r="U47" i="62"/>
  <c r="U111" i="62"/>
  <c r="U8" i="62"/>
  <c r="U72" i="62"/>
  <c r="U136" i="62"/>
  <c r="U33" i="62"/>
  <c r="U97" i="62"/>
  <c r="U161" i="62"/>
  <c r="U58" i="62"/>
  <c r="U122" i="62"/>
  <c r="U19" i="62"/>
  <c r="U83" i="62"/>
  <c r="U147" i="62"/>
  <c r="U44" i="62"/>
  <c r="U108" i="62"/>
  <c r="B166" i="62"/>
  <c r="X166" i="62" s="1"/>
  <c r="B171" i="62"/>
  <c r="X171" i="62" s="1"/>
  <c r="B162" i="62"/>
  <c r="X162" i="62" s="1"/>
  <c r="B154" i="62"/>
  <c r="X154" i="62" s="1"/>
  <c r="B146" i="62"/>
  <c r="X146" i="62" s="1"/>
  <c r="B138" i="62"/>
  <c r="X138" i="62" s="1"/>
  <c r="B130" i="62"/>
  <c r="X130" i="62" s="1"/>
  <c r="B122" i="62"/>
  <c r="B114" i="62"/>
  <c r="B106" i="62"/>
  <c r="B98" i="62"/>
  <c r="B90" i="62"/>
  <c r="B82" i="62"/>
  <c r="B74" i="62"/>
  <c r="B66" i="62"/>
  <c r="B58" i="62"/>
  <c r="B50" i="62"/>
  <c r="B42" i="62"/>
  <c r="B34" i="62"/>
  <c r="B26" i="62"/>
  <c r="B18" i="62"/>
  <c r="B10" i="62"/>
  <c r="B170" i="62"/>
  <c r="X170" i="62" s="1"/>
  <c r="B161" i="62"/>
  <c r="X161" i="62" s="1"/>
  <c r="B153" i="62"/>
  <c r="X153" i="62" s="1"/>
  <c r="B145" i="62"/>
  <c r="X145" i="62" s="1"/>
  <c r="B137" i="62"/>
  <c r="X137" i="62" s="1"/>
  <c r="B129" i="62"/>
  <c r="X129" i="62" s="1"/>
  <c r="B121" i="62"/>
  <c r="B113" i="62"/>
  <c r="B105" i="62"/>
  <c r="B97" i="62"/>
  <c r="B89" i="62"/>
  <c r="B81" i="62"/>
  <c r="B73" i="62"/>
  <c r="B65" i="62"/>
  <c r="B57" i="62"/>
  <c r="B49" i="62"/>
  <c r="B41" i="62"/>
  <c r="B33" i="62"/>
  <c r="B25" i="62"/>
  <c r="B17" i="62"/>
  <c r="B9" i="62"/>
  <c r="B169" i="62"/>
  <c r="X169" i="62" s="1"/>
  <c r="B160" i="62"/>
  <c r="X160" i="62" s="1"/>
  <c r="B152" i="62"/>
  <c r="X152" i="62" s="1"/>
  <c r="B144" i="62"/>
  <c r="X144" i="62" s="1"/>
  <c r="B136" i="62"/>
  <c r="X136" i="62" s="1"/>
  <c r="B128" i="62"/>
  <c r="X128" i="62" s="1"/>
  <c r="B120" i="62"/>
  <c r="B112" i="62"/>
  <c r="B104" i="62"/>
  <c r="B96" i="62"/>
  <c r="B88" i="62"/>
  <c r="B80" i="62"/>
  <c r="B72" i="62"/>
  <c r="B64" i="62"/>
  <c r="B56" i="62"/>
  <c r="B48" i="62"/>
  <c r="B40" i="62"/>
  <c r="B32" i="62"/>
  <c r="B24" i="62"/>
  <c r="B16" i="62"/>
  <c r="B8" i="62"/>
  <c r="B168" i="62"/>
  <c r="X168" i="62" s="1"/>
  <c r="B159" i="62"/>
  <c r="X159" i="62" s="1"/>
  <c r="B151" i="62"/>
  <c r="X151" i="62" s="1"/>
  <c r="B143" i="62"/>
  <c r="X143" i="62" s="1"/>
  <c r="B135" i="62"/>
  <c r="X135" i="62" s="1"/>
  <c r="B127" i="62"/>
  <c r="X127" i="62" s="1"/>
  <c r="B119" i="62"/>
  <c r="B111" i="62"/>
  <c r="B103" i="62"/>
  <c r="B95" i="62"/>
  <c r="B87" i="62"/>
  <c r="B79" i="62"/>
  <c r="B71" i="62"/>
  <c r="B63" i="62"/>
  <c r="B55" i="62"/>
  <c r="B47" i="62"/>
  <c r="B39" i="62"/>
  <c r="B31" i="62"/>
  <c r="B23" i="62"/>
  <c r="B167" i="62"/>
  <c r="X167" i="62" s="1"/>
  <c r="B158" i="62"/>
  <c r="X158" i="62" s="1"/>
  <c r="B150" i="62"/>
  <c r="X150" i="62" s="1"/>
  <c r="B142" i="62"/>
  <c r="X142" i="62" s="1"/>
  <c r="B134" i="62"/>
  <c r="X134" i="62" s="1"/>
  <c r="B126" i="62"/>
  <c r="X126" i="62" s="1"/>
  <c r="B118" i="62"/>
  <c r="B110" i="62"/>
  <c r="B102" i="62"/>
  <c r="B94" i="62"/>
  <c r="B86" i="62"/>
  <c r="B78" i="62"/>
  <c r="B70" i="62"/>
  <c r="B62" i="62"/>
  <c r="B54" i="62"/>
  <c r="B46" i="62"/>
  <c r="B38" i="62"/>
  <c r="B30" i="62"/>
  <c r="B22" i="62"/>
  <c r="B165" i="62"/>
  <c r="X165" i="62" s="1"/>
  <c r="B157" i="62"/>
  <c r="X157" i="62" s="1"/>
  <c r="B149" i="62"/>
  <c r="X149" i="62" s="1"/>
  <c r="B141" i="62"/>
  <c r="X141" i="62" s="1"/>
  <c r="B133" i="62"/>
  <c r="X133" i="62" s="1"/>
  <c r="B125" i="62"/>
  <c r="X125" i="62" s="1"/>
  <c r="B117" i="62"/>
  <c r="B109" i="62"/>
  <c r="B101" i="62"/>
  <c r="B93" i="62"/>
  <c r="B85" i="62"/>
  <c r="B77" i="62"/>
  <c r="B69" i="62"/>
  <c r="B61" i="62"/>
  <c r="B53" i="62"/>
  <c r="B45" i="62"/>
  <c r="B37" i="62"/>
  <c r="B29" i="62"/>
  <c r="B21" i="62"/>
  <c r="B164" i="62"/>
  <c r="X164" i="62" s="1"/>
  <c r="B156" i="62"/>
  <c r="X156" i="62" s="1"/>
  <c r="B148" i="62"/>
  <c r="X148" i="62" s="1"/>
  <c r="B140" i="62"/>
  <c r="X140" i="62" s="1"/>
  <c r="B132" i="62"/>
  <c r="X132" i="62" s="1"/>
  <c r="B124" i="62"/>
  <c r="B116" i="62"/>
  <c r="B108" i="62"/>
  <c r="B100" i="62"/>
  <c r="B92" i="62"/>
  <c r="B84" i="62"/>
  <c r="B76" i="62"/>
  <c r="B68" i="62"/>
  <c r="B60" i="62"/>
  <c r="B52" i="62"/>
  <c r="B44" i="62"/>
  <c r="B36" i="62"/>
  <c r="B28" i="62"/>
  <c r="B20" i="62"/>
  <c r="B172" i="62"/>
  <c r="X172" i="62" s="1"/>
  <c r="B163" i="62"/>
  <c r="X163" i="62" s="1"/>
  <c r="B155" i="62"/>
  <c r="X155" i="62" s="1"/>
  <c r="B147" i="62"/>
  <c r="X147" i="62" s="1"/>
  <c r="B139" i="62"/>
  <c r="X139" i="62" s="1"/>
  <c r="B131" i="62"/>
  <c r="X131" i="62" s="1"/>
  <c r="B123" i="62"/>
  <c r="B115" i="62"/>
  <c r="B107" i="62"/>
  <c r="B99" i="62"/>
  <c r="B91" i="62"/>
  <c r="B83" i="62"/>
  <c r="B75" i="62"/>
  <c r="B67" i="62"/>
  <c r="B59" i="62"/>
  <c r="B51" i="62"/>
  <c r="B43" i="62"/>
  <c r="B35" i="62"/>
  <c r="B27" i="62"/>
  <c r="B19" i="62"/>
  <c r="B11" i="62"/>
  <c r="B15" i="62"/>
  <c r="B14" i="62"/>
  <c r="B13" i="62"/>
  <c r="B12" i="62"/>
  <c r="B7" i="62"/>
  <c r="B6" i="62"/>
  <c r="B5" i="62"/>
  <c r="B134" i="74"/>
  <c r="B134" i="73"/>
  <c r="B134" i="72"/>
  <c r="B134" i="71"/>
  <c r="B134" i="70"/>
  <c r="B134" i="69"/>
  <c r="B134" i="68"/>
  <c r="B134" i="67"/>
  <c r="B134" i="66"/>
  <c r="B134" i="65"/>
  <c r="B134" i="64"/>
  <c r="B143" i="64"/>
  <c r="N106" i="61"/>
  <c r="N129" i="61"/>
  <c r="N128" i="61"/>
  <c r="N127" i="61"/>
  <c r="N126" i="61"/>
  <c r="N125" i="61"/>
  <c r="N124" i="61"/>
  <c r="N123" i="61"/>
  <c r="N122" i="61"/>
  <c r="N121" i="61"/>
  <c r="N120" i="61"/>
  <c r="N119" i="61"/>
  <c r="N118" i="61"/>
  <c r="N117" i="61"/>
  <c r="N116" i="61"/>
  <c r="N115" i="61"/>
  <c r="N114" i="61"/>
  <c r="N113" i="61"/>
  <c r="N112" i="61"/>
  <c r="N111" i="61"/>
  <c r="N110" i="61"/>
  <c r="N109" i="61"/>
  <c r="N108" i="61"/>
  <c r="N107" i="61"/>
  <c r="M106" i="61"/>
  <c r="M129" i="61"/>
  <c r="M128" i="61"/>
  <c r="M127" i="61"/>
  <c r="M126" i="61"/>
  <c r="M125" i="61"/>
  <c r="M124" i="61"/>
  <c r="M123" i="61"/>
  <c r="M122" i="61"/>
  <c r="M121" i="61"/>
  <c r="M120" i="61"/>
  <c r="M119" i="61"/>
  <c r="M118" i="61"/>
  <c r="M117" i="61"/>
  <c r="M116" i="61"/>
  <c r="M115" i="61"/>
  <c r="M114" i="61"/>
  <c r="M113" i="61"/>
  <c r="M112" i="61"/>
  <c r="M111" i="61"/>
  <c r="M110" i="61"/>
  <c r="M109" i="61"/>
  <c r="M108" i="61"/>
  <c r="M107" i="61"/>
  <c r="L106" i="61"/>
  <c r="L129" i="61"/>
  <c r="L128" i="61"/>
  <c r="L127" i="61"/>
  <c r="L126" i="61"/>
  <c r="L125" i="61"/>
  <c r="L124" i="61"/>
  <c r="L123" i="61"/>
  <c r="L122" i="61"/>
  <c r="L121" i="61"/>
  <c r="L120" i="61"/>
  <c r="L119" i="61"/>
  <c r="L118" i="61"/>
  <c r="L117" i="61"/>
  <c r="L116" i="61"/>
  <c r="L115" i="61"/>
  <c r="L114" i="61"/>
  <c r="L113" i="61"/>
  <c r="L112" i="61"/>
  <c r="L111" i="61"/>
  <c r="L110" i="61"/>
  <c r="L109" i="61"/>
  <c r="L108" i="61"/>
  <c r="L107" i="61"/>
  <c r="K106" i="61"/>
  <c r="K129" i="61"/>
  <c r="K128" i="61"/>
  <c r="K127" i="61"/>
  <c r="K126" i="61"/>
  <c r="K125" i="61"/>
  <c r="K124" i="61"/>
  <c r="K123" i="61"/>
  <c r="K122" i="61"/>
  <c r="K121" i="61"/>
  <c r="K120" i="61"/>
  <c r="K119" i="61"/>
  <c r="K118" i="61"/>
  <c r="K117" i="61"/>
  <c r="K116" i="61"/>
  <c r="K115" i="61"/>
  <c r="K114" i="61"/>
  <c r="K113" i="61"/>
  <c r="K112" i="61"/>
  <c r="K111" i="61"/>
  <c r="K110" i="61"/>
  <c r="K109" i="61"/>
  <c r="K108" i="61"/>
  <c r="K107" i="61"/>
  <c r="J106" i="61"/>
  <c r="J129" i="61"/>
  <c r="J128" i="61"/>
  <c r="J127" i="61"/>
  <c r="J126" i="61"/>
  <c r="J125" i="61"/>
  <c r="J124" i="61"/>
  <c r="J123" i="61"/>
  <c r="J122" i="61"/>
  <c r="J121" i="61"/>
  <c r="J120" i="61"/>
  <c r="J119" i="61"/>
  <c r="J118" i="61"/>
  <c r="J117" i="61"/>
  <c r="J116" i="61"/>
  <c r="J115" i="61"/>
  <c r="J114" i="61"/>
  <c r="J113" i="61"/>
  <c r="J112" i="61"/>
  <c r="J111" i="61"/>
  <c r="J110" i="61"/>
  <c r="J109" i="61"/>
  <c r="J108" i="61"/>
  <c r="J107" i="61"/>
  <c r="I106" i="61"/>
  <c r="I129" i="61"/>
  <c r="I128" i="61"/>
  <c r="I127" i="61"/>
  <c r="I126" i="61"/>
  <c r="I125" i="61"/>
  <c r="I124" i="61"/>
  <c r="I123" i="61"/>
  <c r="I122" i="61"/>
  <c r="I121" i="61"/>
  <c r="I120" i="61"/>
  <c r="I119" i="61"/>
  <c r="I118" i="61"/>
  <c r="I117" i="61"/>
  <c r="I116" i="61"/>
  <c r="I115" i="61"/>
  <c r="I114" i="61"/>
  <c r="I113" i="61"/>
  <c r="I112" i="61"/>
  <c r="I111" i="61"/>
  <c r="I110" i="61"/>
  <c r="I109" i="61"/>
  <c r="I108" i="61"/>
  <c r="I107" i="61"/>
  <c r="H106" i="61"/>
  <c r="H129" i="61"/>
  <c r="H128" i="61"/>
  <c r="H127" i="61"/>
  <c r="H126" i="61"/>
  <c r="H125" i="61"/>
  <c r="H124" i="61"/>
  <c r="H123" i="61"/>
  <c r="H122" i="61"/>
  <c r="H121" i="61"/>
  <c r="H120" i="61"/>
  <c r="H119" i="61"/>
  <c r="H118" i="61"/>
  <c r="H117" i="61"/>
  <c r="H116" i="61"/>
  <c r="H115" i="61"/>
  <c r="H114" i="61"/>
  <c r="H113" i="61"/>
  <c r="H112" i="61"/>
  <c r="H111" i="61"/>
  <c r="H110" i="61"/>
  <c r="H109" i="61"/>
  <c r="H108" i="61"/>
  <c r="H107" i="61"/>
  <c r="G106" i="61"/>
  <c r="G129" i="61"/>
  <c r="G128" i="61"/>
  <c r="G127" i="61"/>
  <c r="G126" i="61"/>
  <c r="G125" i="61"/>
  <c r="G124" i="61"/>
  <c r="G123" i="61"/>
  <c r="G122" i="61"/>
  <c r="G121" i="61"/>
  <c r="G120" i="61"/>
  <c r="G119" i="61"/>
  <c r="G118" i="61"/>
  <c r="G117" i="61"/>
  <c r="G116" i="61"/>
  <c r="G115" i="61"/>
  <c r="G114" i="61"/>
  <c r="G113" i="61"/>
  <c r="G112" i="61"/>
  <c r="G111" i="61"/>
  <c r="G110" i="61"/>
  <c r="G109" i="61"/>
  <c r="G108" i="61"/>
  <c r="G107" i="61"/>
  <c r="E106" i="61"/>
  <c r="E129" i="61"/>
  <c r="E128" i="61"/>
  <c r="E127" i="61"/>
  <c r="E126" i="61"/>
  <c r="E125" i="61"/>
  <c r="E124" i="61"/>
  <c r="E123" i="61"/>
  <c r="E122" i="61"/>
  <c r="E121" i="61"/>
  <c r="E120" i="61"/>
  <c r="E119" i="61"/>
  <c r="E118" i="61"/>
  <c r="E117" i="61"/>
  <c r="E116" i="61"/>
  <c r="E115" i="61"/>
  <c r="E114" i="61"/>
  <c r="E113" i="61"/>
  <c r="E112" i="61"/>
  <c r="E111" i="61"/>
  <c r="E110" i="61"/>
  <c r="E109" i="61"/>
  <c r="E108" i="61"/>
  <c r="E107" i="61"/>
  <c r="F106" i="61"/>
  <c r="F129" i="61"/>
  <c r="F128" i="61"/>
  <c r="F127" i="61"/>
  <c r="F126" i="61"/>
  <c r="F125" i="61"/>
  <c r="F124" i="61"/>
  <c r="F123" i="61"/>
  <c r="F122" i="61"/>
  <c r="F121" i="61"/>
  <c r="F120" i="61"/>
  <c r="F119" i="61"/>
  <c r="F118" i="61"/>
  <c r="F117" i="61"/>
  <c r="F116" i="61"/>
  <c r="F115" i="61"/>
  <c r="F114" i="61"/>
  <c r="F113" i="61"/>
  <c r="F112" i="61"/>
  <c r="F111" i="61"/>
  <c r="F110" i="61"/>
  <c r="F109" i="61"/>
  <c r="F108" i="61"/>
  <c r="F107" i="61"/>
  <c r="D106" i="61"/>
  <c r="D129" i="61"/>
  <c r="D128" i="61"/>
  <c r="D127" i="61"/>
  <c r="D126" i="61"/>
  <c r="D125" i="61"/>
  <c r="D124" i="61"/>
  <c r="D123" i="61"/>
  <c r="D122" i="61"/>
  <c r="D121" i="61"/>
  <c r="D120" i="61"/>
  <c r="D119" i="61"/>
  <c r="D118" i="61"/>
  <c r="D117" i="61"/>
  <c r="D116" i="61"/>
  <c r="D115" i="61"/>
  <c r="D114" i="61"/>
  <c r="D113" i="61"/>
  <c r="D112" i="61"/>
  <c r="D111" i="61"/>
  <c r="D110" i="61"/>
  <c r="D109" i="61"/>
  <c r="D108" i="61"/>
  <c r="D107" i="61"/>
  <c r="O18" i="58"/>
  <c r="O20" i="58"/>
  <c r="O19" i="58"/>
  <c r="O33" i="58"/>
  <c r="O32" i="58"/>
  <c r="N18" i="58"/>
  <c r="N20" i="58"/>
  <c r="N19" i="58"/>
  <c r="N33" i="58"/>
  <c r="N32" i="58"/>
  <c r="M18" i="58"/>
  <c r="M20" i="58"/>
  <c r="M19" i="58"/>
  <c r="M33" i="58"/>
  <c r="M32" i="58"/>
  <c r="E18" i="58"/>
  <c r="E20" i="58"/>
  <c r="E19" i="58"/>
  <c r="F18" i="58"/>
  <c r="F20" i="58"/>
  <c r="F19" i="58"/>
  <c r="G18" i="58"/>
  <c r="G20" i="58"/>
  <c r="G19" i="58"/>
  <c r="H18" i="58"/>
  <c r="H20" i="58"/>
  <c r="H19" i="58"/>
  <c r="I18" i="58"/>
  <c r="I20" i="58"/>
  <c r="I19" i="58"/>
  <c r="J18" i="58"/>
  <c r="J20" i="58"/>
  <c r="J19" i="58"/>
  <c r="K18" i="58"/>
  <c r="K20" i="58"/>
  <c r="K19" i="58"/>
  <c r="L18" i="58"/>
  <c r="L20" i="58"/>
  <c r="L19" i="58"/>
  <c r="L33" i="58"/>
  <c r="L32" i="58"/>
  <c r="K33" i="58"/>
  <c r="K32" i="58"/>
  <c r="J33" i="58"/>
  <c r="J32" i="58"/>
  <c r="I33" i="58"/>
  <c r="I32" i="58"/>
  <c r="H33" i="58"/>
  <c r="H32" i="58"/>
  <c r="G33" i="58"/>
  <c r="G32" i="58"/>
  <c r="F33" i="58"/>
  <c r="F32" i="58"/>
  <c r="E33" i="58"/>
  <c r="E32" i="58"/>
  <c r="D168" i="74"/>
  <c r="D167" i="74"/>
  <c r="D166" i="74"/>
  <c r="D165" i="74"/>
  <c r="D164" i="74"/>
  <c r="D163" i="74"/>
  <c r="D162" i="74"/>
  <c r="D161" i="74"/>
  <c r="D160" i="74"/>
  <c r="D159" i="74"/>
  <c r="D158" i="74"/>
  <c r="D157" i="74"/>
  <c r="D156" i="74"/>
  <c r="D155" i="74"/>
  <c r="D154" i="74"/>
  <c r="D153" i="74"/>
  <c r="D152" i="74"/>
  <c r="D151" i="74"/>
  <c r="D150" i="74"/>
  <c r="D149" i="74"/>
  <c r="D148" i="74"/>
  <c r="D147" i="74"/>
  <c r="D146" i="74"/>
  <c r="D145" i="74"/>
  <c r="H55" i="74"/>
  <c r="H54" i="74"/>
  <c r="D54" i="74"/>
  <c r="H53" i="74"/>
  <c r="D53" i="74"/>
  <c r="S1" i="74"/>
  <c r="N5" i="54" s="1"/>
  <c r="AI35" i="55"/>
  <c r="AF34" i="55"/>
  <c r="AC35" i="55"/>
  <c r="Z34" i="55"/>
  <c r="W35" i="55"/>
  <c r="T35" i="55"/>
  <c r="Q34" i="55"/>
  <c r="N35" i="55"/>
  <c r="K34" i="55"/>
  <c r="H35" i="55"/>
  <c r="E32" i="55"/>
  <c r="S1" i="72"/>
  <c r="L6" i="54" s="1"/>
  <c r="S1" i="71"/>
  <c r="S1" i="70"/>
  <c r="S1" i="69"/>
  <c r="S1" i="68"/>
  <c r="S1" i="67"/>
  <c r="S1" i="66"/>
  <c r="S1" i="65"/>
  <c r="S1" i="64"/>
  <c r="S1" i="41"/>
  <c r="S1" i="73"/>
  <c r="M4" i="54" s="1"/>
  <c r="F398" i="62" l="1"/>
  <c r="M398" i="62"/>
  <c r="E398" i="62"/>
  <c r="O398" i="62"/>
  <c r="D398" i="62"/>
  <c r="G398" i="62"/>
  <c r="I398" i="62"/>
  <c r="J398" i="62"/>
  <c r="L398" i="62"/>
  <c r="C398" i="62"/>
  <c r="K398" i="62"/>
  <c r="H398" i="62"/>
  <c r="N398" i="62"/>
  <c r="H176" i="62"/>
  <c r="O176" i="62"/>
  <c r="G176" i="62"/>
  <c r="J176" i="62"/>
  <c r="N176" i="62"/>
  <c r="F176" i="62"/>
  <c r="L176" i="62"/>
  <c r="D176" i="62"/>
  <c r="I176" i="62"/>
  <c r="M176" i="62"/>
  <c r="E176" i="62"/>
  <c r="K176" i="62"/>
  <c r="C176" i="62"/>
  <c r="I401" i="62"/>
  <c r="J401" i="62"/>
  <c r="F401" i="62"/>
  <c r="D401" i="62"/>
  <c r="L401" i="62"/>
  <c r="C401" i="62"/>
  <c r="O401" i="62"/>
  <c r="K401" i="62"/>
  <c r="E401" i="62"/>
  <c r="M401" i="62"/>
  <c r="N401" i="62"/>
  <c r="G401" i="62"/>
  <c r="H401" i="62"/>
  <c r="C339" i="62"/>
  <c r="K339" i="62"/>
  <c r="H339" i="62"/>
  <c r="E339" i="62"/>
  <c r="F339" i="62"/>
  <c r="I339" i="62"/>
  <c r="J339" i="62"/>
  <c r="D339" i="62"/>
  <c r="G339" i="62"/>
  <c r="L339" i="62"/>
  <c r="M339" i="62"/>
  <c r="N339" i="62"/>
  <c r="O339" i="62"/>
  <c r="D418" i="62"/>
  <c r="E418" i="62"/>
  <c r="J418" i="62"/>
  <c r="F418" i="62"/>
  <c r="H418" i="62"/>
  <c r="K418" i="62"/>
  <c r="M418" i="62"/>
  <c r="N418" i="62"/>
  <c r="C418" i="62"/>
  <c r="I418" i="62"/>
  <c r="G418" i="62"/>
  <c r="O418" i="62"/>
  <c r="L418" i="62"/>
  <c r="C189" i="62"/>
  <c r="J189" i="62"/>
  <c r="O189" i="62"/>
  <c r="N189" i="62"/>
  <c r="M189" i="62"/>
  <c r="G189" i="62"/>
  <c r="F189" i="62"/>
  <c r="L189" i="62"/>
  <c r="K189" i="62"/>
  <c r="D189" i="62"/>
  <c r="I189" i="62"/>
  <c r="H189" i="62"/>
  <c r="E189" i="62"/>
  <c r="H446" i="62"/>
  <c r="C446" i="62"/>
  <c r="M446" i="62"/>
  <c r="E446" i="62"/>
  <c r="K446" i="62"/>
  <c r="N446" i="62"/>
  <c r="F446" i="62"/>
  <c r="J446" i="62"/>
  <c r="L446" i="62"/>
  <c r="O446" i="62"/>
  <c r="G446" i="62"/>
  <c r="I446" i="62"/>
  <c r="D446" i="62"/>
  <c r="E391" i="62"/>
  <c r="G391" i="62"/>
  <c r="J391" i="62"/>
  <c r="F391" i="62"/>
  <c r="L391" i="62"/>
  <c r="N391" i="62"/>
  <c r="H391" i="62"/>
  <c r="O391" i="62"/>
  <c r="C391" i="62"/>
  <c r="I391" i="62"/>
  <c r="D391" i="62"/>
  <c r="K391" i="62"/>
  <c r="M391" i="62"/>
  <c r="J441" i="62"/>
  <c r="F441" i="62"/>
  <c r="G441" i="62"/>
  <c r="I441" i="62"/>
  <c r="D441" i="62"/>
  <c r="L441" i="62"/>
  <c r="M441" i="62"/>
  <c r="O441" i="62"/>
  <c r="N441" i="62"/>
  <c r="E441" i="62"/>
  <c r="H441" i="62"/>
  <c r="C441" i="62"/>
  <c r="K441" i="62"/>
  <c r="E422" i="62"/>
  <c r="D422" i="62"/>
  <c r="M422" i="62"/>
  <c r="O422" i="62"/>
  <c r="G422" i="62"/>
  <c r="N422" i="62"/>
  <c r="H422" i="62"/>
  <c r="I422" i="62"/>
  <c r="C422" i="62"/>
  <c r="K422" i="62"/>
  <c r="F422" i="62"/>
  <c r="J422" i="62"/>
  <c r="L422" i="62"/>
  <c r="C173" i="62"/>
  <c r="D173" i="62"/>
  <c r="J173" i="62"/>
  <c r="G173" i="62"/>
  <c r="I173" i="62"/>
  <c r="N173" i="62"/>
  <c r="H173" i="62"/>
  <c r="F173" i="62"/>
  <c r="M173" i="62"/>
  <c r="K173" i="62"/>
  <c r="E173" i="62"/>
  <c r="O173" i="62"/>
  <c r="L173" i="62"/>
  <c r="C416" i="62"/>
  <c r="O416" i="62"/>
  <c r="E416" i="62"/>
  <c r="M416" i="62"/>
  <c r="D416" i="62"/>
  <c r="L416" i="62"/>
  <c r="F416" i="62"/>
  <c r="J416" i="62"/>
  <c r="N416" i="62"/>
  <c r="I416" i="62"/>
  <c r="G416" i="62"/>
  <c r="H416" i="62"/>
  <c r="K416" i="62"/>
  <c r="G293" i="62"/>
  <c r="M293" i="62"/>
  <c r="E293" i="62"/>
  <c r="N293" i="62"/>
  <c r="J293" i="62"/>
  <c r="F293" i="62"/>
  <c r="K293" i="62"/>
  <c r="I293" i="62"/>
  <c r="L293" i="62"/>
  <c r="C293" i="62"/>
  <c r="D293" i="62"/>
  <c r="O293" i="62"/>
  <c r="H293" i="62"/>
  <c r="C362" i="62"/>
  <c r="E362" i="62"/>
  <c r="N362" i="62"/>
  <c r="I362" i="62"/>
  <c r="J362" i="62"/>
  <c r="L362" i="62"/>
  <c r="M362" i="62"/>
  <c r="D362" i="62"/>
  <c r="O362" i="62"/>
  <c r="F362" i="62"/>
  <c r="H362" i="62"/>
  <c r="G362" i="62"/>
  <c r="K362" i="62"/>
  <c r="H348" i="62"/>
  <c r="G348" i="62"/>
  <c r="J348" i="62"/>
  <c r="O348" i="62"/>
  <c r="N348" i="62"/>
  <c r="D348" i="62"/>
  <c r="F348" i="62"/>
  <c r="C348" i="62"/>
  <c r="M348" i="62"/>
  <c r="E348" i="62"/>
  <c r="L348" i="62"/>
  <c r="I348" i="62"/>
  <c r="K348" i="62"/>
  <c r="F380" i="62"/>
  <c r="L380" i="62"/>
  <c r="M380" i="62"/>
  <c r="C380" i="62"/>
  <c r="N380" i="62"/>
  <c r="D380" i="62"/>
  <c r="O380" i="62"/>
  <c r="E380" i="62"/>
  <c r="G380" i="62"/>
  <c r="J380" i="62"/>
  <c r="K380" i="62"/>
  <c r="H380" i="62"/>
  <c r="I380" i="62"/>
  <c r="J439" i="62"/>
  <c r="H439" i="62"/>
  <c r="N439" i="62"/>
  <c r="F439" i="62"/>
  <c r="I439" i="62"/>
  <c r="K439" i="62"/>
  <c r="E439" i="62"/>
  <c r="C439" i="62"/>
  <c r="L439" i="62"/>
  <c r="O439" i="62"/>
  <c r="D439" i="62"/>
  <c r="M439" i="62"/>
  <c r="G439" i="62"/>
  <c r="E363" i="62"/>
  <c r="M363" i="62"/>
  <c r="K363" i="62"/>
  <c r="C363" i="62"/>
  <c r="L363" i="62"/>
  <c r="D363" i="62"/>
  <c r="N363" i="62"/>
  <c r="F363" i="62"/>
  <c r="O363" i="62"/>
  <c r="G363" i="62"/>
  <c r="H363" i="62"/>
  <c r="I363" i="62"/>
  <c r="J363" i="62"/>
  <c r="D336" i="62"/>
  <c r="K336" i="62"/>
  <c r="J336" i="62"/>
  <c r="I336" i="62"/>
  <c r="G336" i="62"/>
  <c r="H336" i="62"/>
  <c r="O336" i="62"/>
  <c r="M336" i="62"/>
  <c r="L336" i="62"/>
  <c r="N336" i="62"/>
  <c r="E336" i="62"/>
  <c r="C336" i="62"/>
  <c r="F336" i="62"/>
  <c r="C250" i="62"/>
  <c r="J250" i="62"/>
  <c r="K250" i="62"/>
  <c r="I250" i="62"/>
  <c r="G250" i="62"/>
  <c r="F250" i="62"/>
  <c r="O250" i="62"/>
  <c r="N250" i="62"/>
  <c r="E250" i="62"/>
  <c r="M250" i="62"/>
  <c r="D250" i="62"/>
  <c r="L250" i="62"/>
  <c r="H250" i="62"/>
  <c r="J355" i="62"/>
  <c r="E355" i="62"/>
  <c r="N355" i="62"/>
  <c r="F355" i="62"/>
  <c r="O355" i="62"/>
  <c r="G355" i="62"/>
  <c r="H355" i="62"/>
  <c r="I355" i="62"/>
  <c r="K355" i="62"/>
  <c r="L355" i="62"/>
  <c r="D355" i="62"/>
  <c r="C355" i="62"/>
  <c r="M355" i="62"/>
  <c r="H332" i="62"/>
  <c r="E332" i="62"/>
  <c r="M332" i="62"/>
  <c r="O332" i="62"/>
  <c r="F332" i="62"/>
  <c r="G332" i="62"/>
  <c r="I332" i="62"/>
  <c r="J332" i="62"/>
  <c r="N332" i="62"/>
  <c r="K332" i="62"/>
  <c r="C332" i="62"/>
  <c r="L332" i="62"/>
  <c r="D332" i="62"/>
  <c r="D279" i="62"/>
  <c r="I279" i="62"/>
  <c r="E279" i="62"/>
  <c r="J279" i="62"/>
  <c r="M279" i="62"/>
  <c r="O279" i="62"/>
  <c r="K279" i="62"/>
  <c r="C279" i="62"/>
  <c r="H279" i="62"/>
  <c r="F279" i="62"/>
  <c r="L279" i="62"/>
  <c r="G279" i="62"/>
  <c r="N279" i="62"/>
  <c r="C274" i="62"/>
  <c r="G274" i="62"/>
  <c r="F274" i="62"/>
  <c r="L274" i="62"/>
  <c r="E274" i="62"/>
  <c r="O274" i="62"/>
  <c r="J274" i="62"/>
  <c r="D274" i="62"/>
  <c r="K274" i="62"/>
  <c r="N274" i="62"/>
  <c r="H274" i="62"/>
  <c r="M274" i="62"/>
  <c r="I274" i="62"/>
  <c r="H308" i="62"/>
  <c r="K308" i="62"/>
  <c r="G308" i="62"/>
  <c r="J308" i="62"/>
  <c r="N308" i="62"/>
  <c r="O308" i="62"/>
  <c r="C308" i="62"/>
  <c r="F308" i="62"/>
  <c r="I308" i="62"/>
  <c r="E308" i="62"/>
  <c r="L308" i="62"/>
  <c r="D308" i="62"/>
  <c r="M308" i="62"/>
  <c r="C236" i="62"/>
  <c r="J236" i="62"/>
  <c r="K236" i="62"/>
  <c r="O236" i="62"/>
  <c r="N236" i="62"/>
  <c r="F236" i="62"/>
  <c r="E236" i="62"/>
  <c r="I236" i="62"/>
  <c r="G236" i="62"/>
  <c r="D236" i="62"/>
  <c r="L236" i="62"/>
  <c r="M236" i="62"/>
  <c r="H236" i="62"/>
  <c r="I323" i="62"/>
  <c r="J323" i="62"/>
  <c r="G323" i="62"/>
  <c r="H323" i="62"/>
  <c r="O323" i="62"/>
  <c r="L323" i="62"/>
  <c r="D323" i="62"/>
  <c r="N323" i="62"/>
  <c r="F323" i="62"/>
  <c r="K323" i="62"/>
  <c r="C323" i="62"/>
  <c r="M323" i="62"/>
  <c r="E323" i="62"/>
  <c r="D241" i="62"/>
  <c r="K241" i="62"/>
  <c r="H241" i="62"/>
  <c r="M241" i="62"/>
  <c r="C241" i="62"/>
  <c r="F241" i="62"/>
  <c r="I241" i="62"/>
  <c r="J241" i="62"/>
  <c r="L241" i="62"/>
  <c r="G241" i="62"/>
  <c r="O241" i="62"/>
  <c r="N241" i="62"/>
  <c r="E241" i="62"/>
  <c r="C202" i="62"/>
  <c r="H202" i="62"/>
  <c r="G202" i="62"/>
  <c r="I202" i="62"/>
  <c r="O202" i="62"/>
  <c r="J202" i="62"/>
  <c r="M202" i="62"/>
  <c r="E202" i="62"/>
  <c r="N202" i="62"/>
  <c r="F202" i="62"/>
  <c r="K202" i="62"/>
  <c r="L202" i="62"/>
  <c r="D202" i="62"/>
  <c r="C215" i="62"/>
  <c r="K215" i="62"/>
  <c r="J215" i="62"/>
  <c r="E215" i="62"/>
  <c r="D215" i="62"/>
  <c r="M215" i="62"/>
  <c r="F215" i="62"/>
  <c r="N215" i="62"/>
  <c r="G215" i="62"/>
  <c r="O215" i="62"/>
  <c r="H215" i="62"/>
  <c r="I215" i="62"/>
  <c r="L215" i="62"/>
  <c r="D288" i="62"/>
  <c r="C288" i="62"/>
  <c r="J288" i="62"/>
  <c r="K288" i="62"/>
  <c r="H288" i="62"/>
  <c r="O288" i="62"/>
  <c r="M288" i="62"/>
  <c r="G288" i="62"/>
  <c r="N288" i="62"/>
  <c r="E288" i="62"/>
  <c r="F288" i="62"/>
  <c r="L288" i="62"/>
  <c r="I288" i="62"/>
  <c r="I231" i="62"/>
  <c r="K231" i="62"/>
  <c r="E231" i="62"/>
  <c r="F231" i="62"/>
  <c r="N231" i="62"/>
  <c r="O231" i="62"/>
  <c r="D231" i="62"/>
  <c r="L231" i="62"/>
  <c r="J231" i="62"/>
  <c r="G231" i="62"/>
  <c r="C231" i="62"/>
  <c r="H231" i="62"/>
  <c r="M231" i="62"/>
  <c r="F245" i="62"/>
  <c r="H245" i="62"/>
  <c r="N245" i="62"/>
  <c r="I245" i="62"/>
  <c r="D245" i="62"/>
  <c r="E245" i="62"/>
  <c r="M245" i="62"/>
  <c r="L245" i="62"/>
  <c r="J245" i="62"/>
  <c r="O245" i="62"/>
  <c r="G245" i="62"/>
  <c r="C245" i="62"/>
  <c r="K245" i="62"/>
  <c r="C219" i="62"/>
  <c r="J219" i="62"/>
  <c r="G219" i="62"/>
  <c r="H219" i="62"/>
  <c r="I219" i="62"/>
  <c r="N219" i="62"/>
  <c r="O219" i="62"/>
  <c r="F219" i="62"/>
  <c r="M219" i="62"/>
  <c r="E219" i="62"/>
  <c r="L219" i="62"/>
  <c r="D219" i="62"/>
  <c r="K219" i="62"/>
  <c r="H340" i="62"/>
  <c r="G340" i="62"/>
  <c r="J340" i="62"/>
  <c r="O340" i="62"/>
  <c r="D340" i="62"/>
  <c r="C340" i="62"/>
  <c r="I340" i="62"/>
  <c r="N340" i="62"/>
  <c r="L340" i="62"/>
  <c r="F340" i="62"/>
  <c r="M340" i="62"/>
  <c r="E340" i="62"/>
  <c r="K340" i="62"/>
  <c r="G185" i="62"/>
  <c r="F185" i="62"/>
  <c r="I185" i="62"/>
  <c r="J185" i="62"/>
  <c r="N185" i="62"/>
  <c r="E185" i="62"/>
  <c r="L185" i="62"/>
  <c r="D185" i="62"/>
  <c r="K185" i="62"/>
  <c r="C185" i="62"/>
  <c r="O185" i="62"/>
  <c r="H185" i="62"/>
  <c r="M185" i="62"/>
  <c r="E412" i="62"/>
  <c r="J412" i="62"/>
  <c r="G412" i="62"/>
  <c r="C412" i="62"/>
  <c r="O412" i="62"/>
  <c r="L412" i="62"/>
  <c r="D412" i="62"/>
  <c r="F412" i="62"/>
  <c r="K412" i="62"/>
  <c r="H412" i="62"/>
  <c r="I412" i="62"/>
  <c r="N412" i="62"/>
  <c r="M412" i="62"/>
  <c r="C384" i="62"/>
  <c r="J384" i="62"/>
  <c r="H384" i="62"/>
  <c r="N384" i="62"/>
  <c r="G384" i="62"/>
  <c r="F384" i="62"/>
  <c r="K384" i="62"/>
  <c r="E384" i="62"/>
  <c r="M384" i="62"/>
  <c r="O384" i="62"/>
  <c r="D384" i="62"/>
  <c r="L384" i="62"/>
  <c r="I384" i="62"/>
  <c r="G193" i="62"/>
  <c r="J193" i="62"/>
  <c r="F193" i="62"/>
  <c r="N193" i="62"/>
  <c r="O193" i="62"/>
  <c r="K193" i="62"/>
  <c r="L193" i="62"/>
  <c r="C193" i="62"/>
  <c r="M193" i="62"/>
  <c r="D193" i="62"/>
  <c r="I193" i="62"/>
  <c r="H193" i="62"/>
  <c r="E193" i="62"/>
  <c r="G405" i="62"/>
  <c r="M405" i="62"/>
  <c r="F405" i="62"/>
  <c r="H405" i="62"/>
  <c r="J405" i="62"/>
  <c r="E405" i="62"/>
  <c r="N405" i="62"/>
  <c r="I405" i="62"/>
  <c r="O405" i="62"/>
  <c r="L405" i="62"/>
  <c r="C405" i="62"/>
  <c r="K405" i="62"/>
  <c r="D405" i="62"/>
  <c r="F425" i="62"/>
  <c r="O425" i="62"/>
  <c r="D425" i="62"/>
  <c r="N425" i="62"/>
  <c r="G425" i="62"/>
  <c r="H425" i="62"/>
  <c r="L425" i="62"/>
  <c r="J425" i="62"/>
  <c r="I425" i="62"/>
  <c r="K425" i="62"/>
  <c r="E425" i="62"/>
  <c r="M425" i="62"/>
  <c r="C425" i="62"/>
  <c r="E428" i="62"/>
  <c r="I428" i="62"/>
  <c r="J428" i="62"/>
  <c r="F428" i="62"/>
  <c r="K428" i="62"/>
  <c r="L428" i="62"/>
  <c r="C428" i="62"/>
  <c r="N428" i="62"/>
  <c r="D428" i="62"/>
  <c r="O428" i="62"/>
  <c r="G428" i="62"/>
  <c r="H428" i="62"/>
  <c r="M428" i="62"/>
  <c r="L375" i="62"/>
  <c r="F375" i="62"/>
  <c r="J375" i="62"/>
  <c r="N375" i="62"/>
  <c r="K375" i="62"/>
  <c r="D375" i="62"/>
  <c r="G375" i="62"/>
  <c r="C375" i="62"/>
  <c r="M375" i="62"/>
  <c r="O375" i="62"/>
  <c r="H375" i="62"/>
  <c r="I375" i="62"/>
  <c r="E375" i="62"/>
  <c r="E420" i="62"/>
  <c r="H420" i="62"/>
  <c r="F420" i="62"/>
  <c r="G420" i="62"/>
  <c r="C420" i="62"/>
  <c r="I420" i="62"/>
  <c r="L420" i="62"/>
  <c r="N420" i="62"/>
  <c r="J420" i="62"/>
  <c r="K420" i="62"/>
  <c r="D420" i="62"/>
  <c r="O420" i="62"/>
  <c r="M420" i="62"/>
  <c r="F414" i="62"/>
  <c r="M414" i="62"/>
  <c r="I414" i="62"/>
  <c r="J414" i="62"/>
  <c r="D414" i="62"/>
  <c r="E414" i="62"/>
  <c r="G414" i="62"/>
  <c r="L414" i="62"/>
  <c r="O414" i="62"/>
  <c r="K414" i="62"/>
  <c r="N414" i="62"/>
  <c r="C414" i="62"/>
  <c r="H414" i="62"/>
  <c r="D188" i="62"/>
  <c r="M188" i="62"/>
  <c r="H188" i="62"/>
  <c r="C188" i="62"/>
  <c r="N188" i="62"/>
  <c r="E188" i="62"/>
  <c r="O188" i="62"/>
  <c r="F188" i="62"/>
  <c r="G188" i="62"/>
  <c r="J188" i="62"/>
  <c r="K188" i="62"/>
  <c r="L188" i="62"/>
  <c r="I188" i="62"/>
  <c r="E415" i="62"/>
  <c r="M415" i="62"/>
  <c r="J415" i="62"/>
  <c r="I415" i="62"/>
  <c r="K415" i="62"/>
  <c r="L415" i="62"/>
  <c r="C415" i="62"/>
  <c r="N415" i="62"/>
  <c r="F415" i="62"/>
  <c r="G415" i="62"/>
  <c r="D415" i="62"/>
  <c r="O415" i="62"/>
  <c r="H415" i="62"/>
  <c r="I265" i="62"/>
  <c r="J265" i="62"/>
  <c r="D265" i="62"/>
  <c r="H265" i="62"/>
  <c r="O265" i="62"/>
  <c r="G265" i="62"/>
  <c r="L265" i="62"/>
  <c r="M265" i="62"/>
  <c r="E265" i="62"/>
  <c r="K265" i="62"/>
  <c r="N265" i="62"/>
  <c r="C265" i="62"/>
  <c r="F265" i="62"/>
  <c r="F358" i="62"/>
  <c r="E358" i="62"/>
  <c r="H358" i="62"/>
  <c r="M358" i="62"/>
  <c r="J358" i="62"/>
  <c r="L358" i="62"/>
  <c r="I358" i="62"/>
  <c r="D358" i="62"/>
  <c r="N358" i="62"/>
  <c r="K358" i="62"/>
  <c r="O358" i="62"/>
  <c r="C358" i="62"/>
  <c r="G358" i="62"/>
  <c r="C346" i="62"/>
  <c r="G346" i="62"/>
  <c r="L346" i="62"/>
  <c r="J346" i="62"/>
  <c r="M346" i="62"/>
  <c r="N346" i="62"/>
  <c r="D346" i="62"/>
  <c r="O346" i="62"/>
  <c r="E346" i="62"/>
  <c r="F346" i="62"/>
  <c r="H346" i="62"/>
  <c r="I346" i="62"/>
  <c r="K346" i="62"/>
  <c r="C376" i="62"/>
  <c r="G376" i="62"/>
  <c r="F376" i="62"/>
  <c r="I376" i="62"/>
  <c r="N376" i="62"/>
  <c r="L376" i="62"/>
  <c r="E376" i="62"/>
  <c r="O376" i="62"/>
  <c r="H376" i="62"/>
  <c r="K376" i="62"/>
  <c r="D376" i="62"/>
  <c r="M376" i="62"/>
  <c r="J376" i="62"/>
  <c r="D434" i="62"/>
  <c r="M434" i="62"/>
  <c r="N434" i="62"/>
  <c r="J434" i="62"/>
  <c r="C434" i="62"/>
  <c r="I434" i="62"/>
  <c r="E434" i="62"/>
  <c r="F434" i="62"/>
  <c r="H434" i="62"/>
  <c r="K434" i="62"/>
  <c r="L434" i="62"/>
  <c r="O434" i="62"/>
  <c r="G434" i="62"/>
  <c r="C354" i="62"/>
  <c r="J354" i="62"/>
  <c r="M354" i="62"/>
  <c r="D354" i="62"/>
  <c r="N354" i="62"/>
  <c r="E354" i="62"/>
  <c r="O354" i="62"/>
  <c r="F354" i="62"/>
  <c r="G354" i="62"/>
  <c r="H354" i="62"/>
  <c r="I354" i="62"/>
  <c r="L354" i="62"/>
  <c r="K354" i="62"/>
  <c r="D328" i="62"/>
  <c r="C328" i="62"/>
  <c r="I328" i="62"/>
  <c r="K328" i="62"/>
  <c r="J328" i="62"/>
  <c r="F328" i="62"/>
  <c r="L328" i="62"/>
  <c r="E328" i="62"/>
  <c r="H328" i="62"/>
  <c r="N328" i="62"/>
  <c r="O328" i="62"/>
  <c r="G328" i="62"/>
  <c r="M328" i="62"/>
  <c r="G397" i="62"/>
  <c r="F397" i="62"/>
  <c r="N397" i="62"/>
  <c r="E397" i="62"/>
  <c r="M397" i="62"/>
  <c r="H397" i="62"/>
  <c r="J397" i="62"/>
  <c r="D397" i="62"/>
  <c r="K397" i="62"/>
  <c r="C397" i="62"/>
  <c r="L397" i="62"/>
  <c r="I397" i="62"/>
  <c r="O397" i="62"/>
  <c r="G333" i="62"/>
  <c r="I333" i="62"/>
  <c r="E333" i="62"/>
  <c r="O333" i="62"/>
  <c r="L333" i="62"/>
  <c r="M333" i="62"/>
  <c r="N333" i="62"/>
  <c r="D333" i="62"/>
  <c r="F333" i="62"/>
  <c r="H333" i="62"/>
  <c r="J333" i="62"/>
  <c r="K333" i="62"/>
  <c r="C333" i="62"/>
  <c r="H329" i="62"/>
  <c r="I329" i="62"/>
  <c r="J329" i="62"/>
  <c r="E329" i="62"/>
  <c r="K329" i="62"/>
  <c r="G329" i="62"/>
  <c r="C329" i="62"/>
  <c r="D329" i="62"/>
  <c r="L329" i="62"/>
  <c r="M329" i="62"/>
  <c r="F329" i="62"/>
  <c r="N329" i="62"/>
  <c r="O329" i="62"/>
  <c r="K278" i="62"/>
  <c r="G278" i="62"/>
  <c r="C278" i="62"/>
  <c r="N278" i="62"/>
  <c r="O278" i="62"/>
  <c r="E278" i="62"/>
  <c r="F278" i="62"/>
  <c r="M278" i="62"/>
  <c r="H278" i="62"/>
  <c r="J278" i="62"/>
  <c r="D278" i="62"/>
  <c r="L278" i="62"/>
  <c r="I278" i="62"/>
  <c r="H232" i="62"/>
  <c r="O232" i="62"/>
  <c r="G232" i="62"/>
  <c r="F232" i="62"/>
  <c r="K232" i="62"/>
  <c r="L232" i="62"/>
  <c r="C232" i="62"/>
  <c r="N232" i="62"/>
  <c r="M232" i="62"/>
  <c r="D232" i="62"/>
  <c r="I232" i="62"/>
  <c r="J232" i="62"/>
  <c r="E232" i="62"/>
  <c r="J289" i="62"/>
  <c r="M289" i="62"/>
  <c r="C289" i="62"/>
  <c r="O289" i="62"/>
  <c r="N289" i="62"/>
  <c r="D289" i="62"/>
  <c r="L289" i="62"/>
  <c r="E289" i="62"/>
  <c r="F289" i="62"/>
  <c r="G289" i="62"/>
  <c r="H289" i="62"/>
  <c r="I289" i="62"/>
  <c r="K289" i="62"/>
  <c r="H262" i="62"/>
  <c r="E262" i="62"/>
  <c r="L262" i="62"/>
  <c r="M262" i="62"/>
  <c r="F262" i="62"/>
  <c r="N262" i="62"/>
  <c r="I262" i="62"/>
  <c r="C262" i="62"/>
  <c r="J262" i="62"/>
  <c r="O262" i="62"/>
  <c r="K262" i="62"/>
  <c r="D262" i="62"/>
  <c r="G262" i="62"/>
  <c r="I315" i="62"/>
  <c r="H315" i="62"/>
  <c r="J315" i="62"/>
  <c r="L315" i="62"/>
  <c r="O315" i="62"/>
  <c r="G315" i="62"/>
  <c r="D315" i="62"/>
  <c r="C315" i="62"/>
  <c r="N315" i="62"/>
  <c r="F315" i="62"/>
  <c r="M315" i="62"/>
  <c r="E315" i="62"/>
  <c r="K315" i="62"/>
  <c r="D214" i="62"/>
  <c r="L214" i="62"/>
  <c r="I214" i="62"/>
  <c r="F214" i="62"/>
  <c r="G214" i="62"/>
  <c r="H214" i="62"/>
  <c r="J214" i="62"/>
  <c r="K214" i="62"/>
  <c r="M214" i="62"/>
  <c r="O214" i="62"/>
  <c r="C214" i="62"/>
  <c r="E214" i="62"/>
  <c r="N214" i="62"/>
  <c r="F222" i="62"/>
  <c r="N222" i="62"/>
  <c r="C222" i="62"/>
  <c r="K222" i="62"/>
  <c r="J222" i="62"/>
  <c r="L222" i="62"/>
  <c r="M222" i="62"/>
  <c r="D222" i="62"/>
  <c r="O222" i="62"/>
  <c r="E222" i="62"/>
  <c r="G222" i="62"/>
  <c r="H222" i="62"/>
  <c r="I222" i="62"/>
  <c r="C203" i="62"/>
  <c r="G203" i="62"/>
  <c r="O203" i="62"/>
  <c r="F203" i="62"/>
  <c r="H203" i="62"/>
  <c r="I203" i="62"/>
  <c r="J203" i="62"/>
  <c r="N203" i="62"/>
  <c r="M203" i="62"/>
  <c r="E203" i="62"/>
  <c r="K203" i="62"/>
  <c r="L203" i="62"/>
  <c r="D203" i="62"/>
  <c r="J277" i="62"/>
  <c r="G277" i="62"/>
  <c r="O277" i="62"/>
  <c r="I277" i="62"/>
  <c r="D277" i="62"/>
  <c r="E277" i="62"/>
  <c r="F277" i="62"/>
  <c r="H277" i="62"/>
  <c r="K277" i="62"/>
  <c r="C277" i="62"/>
  <c r="L277" i="62"/>
  <c r="M277" i="62"/>
  <c r="N277" i="62"/>
  <c r="C227" i="62"/>
  <c r="I227" i="62"/>
  <c r="F227" i="62"/>
  <c r="G227" i="62"/>
  <c r="H227" i="62"/>
  <c r="J227" i="62"/>
  <c r="N227" i="62"/>
  <c r="O227" i="62"/>
  <c r="D227" i="62"/>
  <c r="M227" i="62"/>
  <c r="E227" i="62"/>
  <c r="K227" i="62"/>
  <c r="L227" i="62"/>
  <c r="E244" i="62"/>
  <c r="H244" i="62"/>
  <c r="M244" i="62"/>
  <c r="C244" i="62"/>
  <c r="G244" i="62"/>
  <c r="K244" i="62"/>
  <c r="I244" i="62"/>
  <c r="N244" i="62"/>
  <c r="O244" i="62"/>
  <c r="F244" i="62"/>
  <c r="D244" i="62"/>
  <c r="L244" i="62"/>
  <c r="J244" i="62"/>
  <c r="C218" i="62"/>
  <c r="O218" i="62"/>
  <c r="G218" i="62"/>
  <c r="H218" i="62"/>
  <c r="I218" i="62"/>
  <c r="J218" i="62"/>
  <c r="L218" i="62"/>
  <c r="D218" i="62"/>
  <c r="K218" i="62"/>
  <c r="N218" i="62"/>
  <c r="F218" i="62"/>
  <c r="M218" i="62"/>
  <c r="E218" i="62"/>
  <c r="C181" i="62"/>
  <c r="J181" i="62"/>
  <c r="I181" i="62"/>
  <c r="N181" i="62"/>
  <c r="F181" i="62"/>
  <c r="M181" i="62"/>
  <c r="K181" i="62"/>
  <c r="O181" i="62"/>
  <c r="E181" i="62"/>
  <c r="L181" i="62"/>
  <c r="H181" i="62"/>
  <c r="D181" i="62"/>
  <c r="G181" i="62"/>
  <c r="J297" i="62"/>
  <c r="N297" i="62"/>
  <c r="F297" i="62"/>
  <c r="E297" i="62"/>
  <c r="D297" i="62"/>
  <c r="L297" i="62"/>
  <c r="M297" i="62"/>
  <c r="G297" i="62"/>
  <c r="O297" i="62"/>
  <c r="H297" i="62"/>
  <c r="C297" i="62"/>
  <c r="I297" i="62"/>
  <c r="K297" i="62"/>
  <c r="I445" i="62"/>
  <c r="D445" i="62"/>
  <c r="N445" i="62"/>
  <c r="C445" i="62"/>
  <c r="K445" i="62"/>
  <c r="E445" i="62"/>
  <c r="F445" i="62"/>
  <c r="L445" i="62"/>
  <c r="H445" i="62"/>
  <c r="J445" i="62"/>
  <c r="M445" i="62"/>
  <c r="O445" i="62"/>
  <c r="G445" i="62"/>
  <c r="G306" i="62"/>
  <c r="I306" i="62"/>
  <c r="E306" i="62"/>
  <c r="N306" i="62"/>
  <c r="D306" i="62"/>
  <c r="H306" i="62"/>
  <c r="J306" i="62"/>
  <c r="K306" i="62"/>
  <c r="L306" i="62"/>
  <c r="M306" i="62"/>
  <c r="F306" i="62"/>
  <c r="C306" i="62"/>
  <c r="O306" i="62"/>
  <c r="H192" i="62"/>
  <c r="G192" i="62"/>
  <c r="C192" i="62"/>
  <c r="K192" i="62"/>
  <c r="O192" i="62"/>
  <c r="N192" i="62"/>
  <c r="E192" i="62"/>
  <c r="I192" i="62"/>
  <c r="F192" i="62"/>
  <c r="J192" i="62"/>
  <c r="L192" i="62"/>
  <c r="M192" i="62"/>
  <c r="D192" i="62"/>
  <c r="I395" i="62"/>
  <c r="H395" i="62"/>
  <c r="O395" i="62"/>
  <c r="J395" i="62"/>
  <c r="G395" i="62"/>
  <c r="N395" i="62"/>
  <c r="D395" i="62"/>
  <c r="C395" i="62"/>
  <c r="M395" i="62"/>
  <c r="F395" i="62"/>
  <c r="E395" i="62"/>
  <c r="K395" i="62"/>
  <c r="L395" i="62"/>
  <c r="G198" i="62"/>
  <c r="I198" i="62"/>
  <c r="J198" i="62"/>
  <c r="N198" i="62"/>
  <c r="K198" i="62"/>
  <c r="E198" i="62"/>
  <c r="C198" i="62"/>
  <c r="L198" i="62"/>
  <c r="D198" i="62"/>
  <c r="M198" i="62"/>
  <c r="F198" i="62"/>
  <c r="H198" i="62"/>
  <c r="O198" i="62"/>
  <c r="J421" i="62"/>
  <c r="F421" i="62"/>
  <c r="C421" i="62"/>
  <c r="H421" i="62"/>
  <c r="E421" i="62"/>
  <c r="N421" i="62"/>
  <c r="K421" i="62"/>
  <c r="G421" i="62"/>
  <c r="L421" i="62"/>
  <c r="M421" i="62"/>
  <c r="I421" i="62"/>
  <c r="O421" i="62"/>
  <c r="D421" i="62"/>
  <c r="G364" i="62"/>
  <c r="L364" i="62"/>
  <c r="C364" i="62"/>
  <c r="K364" i="62"/>
  <c r="O364" i="62"/>
  <c r="H364" i="62"/>
  <c r="N364" i="62"/>
  <c r="I364" i="62"/>
  <c r="D364" i="62"/>
  <c r="J364" i="62"/>
  <c r="E364" i="62"/>
  <c r="M364" i="62"/>
  <c r="F364" i="62"/>
  <c r="I199" i="62"/>
  <c r="K199" i="62"/>
  <c r="L199" i="62"/>
  <c r="C199" i="62"/>
  <c r="M199" i="62"/>
  <c r="D199" i="62"/>
  <c r="O199" i="62"/>
  <c r="G199" i="62"/>
  <c r="E199" i="62"/>
  <c r="H199" i="62"/>
  <c r="J199" i="62"/>
  <c r="N199" i="62"/>
  <c r="F199" i="62"/>
  <c r="H324" i="62"/>
  <c r="J324" i="62"/>
  <c r="F324" i="62"/>
  <c r="I324" i="62"/>
  <c r="N324" i="62"/>
  <c r="O324" i="62"/>
  <c r="G324" i="62"/>
  <c r="C324" i="62"/>
  <c r="M324" i="62"/>
  <c r="E324" i="62"/>
  <c r="L324" i="62"/>
  <c r="D324" i="62"/>
  <c r="K324" i="62"/>
  <c r="J187" i="62"/>
  <c r="C187" i="62"/>
  <c r="K187" i="62"/>
  <c r="D187" i="62"/>
  <c r="L187" i="62"/>
  <c r="G187" i="62"/>
  <c r="E187" i="62"/>
  <c r="M187" i="62"/>
  <c r="O187" i="62"/>
  <c r="F187" i="62"/>
  <c r="N187" i="62"/>
  <c r="H187" i="62"/>
  <c r="I187" i="62"/>
  <c r="I403" i="62"/>
  <c r="J403" i="62"/>
  <c r="O403" i="62"/>
  <c r="G403" i="62"/>
  <c r="H403" i="62"/>
  <c r="M403" i="62"/>
  <c r="K403" i="62"/>
  <c r="L403" i="62"/>
  <c r="C403" i="62"/>
  <c r="F403" i="62"/>
  <c r="E403" i="62"/>
  <c r="D403" i="62"/>
  <c r="N403" i="62"/>
  <c r="C382" i="62"/>
  <c r="I382" i="62"/>
  <c r="J382" i="62"/>
  <c r="L382" i="62"/>
  <c r="H382" i="62"/>
  <c r="D382" i="62"/>
  <c r="O382" i="62"/>
  <c r="M382" i="62"/>
  <c r="N382" i="62"/>
  <c r="K382" i="62"/>
  <c r="E382" i="62"/>
  <c r="F382" i="62"/>
  <c r="G382" i="62"/>
  <c r="F350" i="62"/>
  <c r="E350" i="62"/>
  <c r="H350" i="62"/>
  <c r="J350" i="62"/>
  <c r="M350" i="62"/>
  <c r="G350" i="62"/>
  <c r="C350" i="62"/>
  <c r="O350" i="62"/>
  <c r="L350" i="62"/>
  <c r="I350" i="62"/>
  <c r="D350" i="62"/>
  <c r="K350" i="62"/>
  <c r="N350" i="62"/>
  <c r="F342" i="62"/>
  <c r="J342" i="62"/>
  <c r="M342" i="62"/>
  <c r="E342" i="62"/>
  <c r="H342" i="62"/>
  <c r="L342" i="62"/>
  <c r="D342" i="62"/>
  <c r="K342" i="62"/>
  <c r="N342" i="62"/>
  <c r="O342" i="62"/>
  <c r="G342" i="62"/>
  <c r="C342" i="62"/>
  <c r="I342" i="62"/>
  <c r="F366" i="62"/>
  <c r="E366" i="62"/>
  <c r="H366" i="62"/>
  <c r="I366" i="62"/>
  <c r="J366" i="62"/>
  <c r="M366" i="62"/>
  <c r="D366" i="62"/>
  <c r="C366" i="62"/>
  <c r="N366" i="62"/>
  <c r="O366" i="62"/>
  <c r="G366" i="62"/>
  <c r="L366" i="62"/>
  <c r="K366" i="62"/>
  <c r="G413" i="62"/>
  <c r="M413" i="62"/>
  <c r="H413" i="62"/>
  <c r="J413" i="62"/>
  <c r="E413" i="62"/>
  <c r="F413" i="62"/>
  <c r="N413" i="62"/>
  <c r="D413" i="62"/>
  <c r="O413" i="62"/>
  <c r="K413" i="62"/>
  <c r="L413" i="62"/>
  <c r="C413" i="62"/>
  <c r="I413" i="62"/>
  <c r="G349" i="62"/>
  <c r="J349" i="62"/>
  <c r="C349" i="62"/>
  <c r="E349" i="62"/>
  <c r="F349" i="62"/>
  <c r="I349" i="62"/>
  <c r="K349" i="62"/>
  <c r="M349" i="62"/>
  <c r="N349" i="62"/>
  <c r="D349" i="62"/>
  <c r="O349" i="62"/>
  <c r="H349" i="62"/>
  <c r="L349" i="62"/>
  <c r="G319" i="62"/>
  <c r="O319" i="62"/>
  <c r="D319" i="62"/>
  <c r="L319" i="62"/>
  <c r="I319" i="62"/>
  <c r="H319" i="62"/>
  <c r="J319" i="62"/>
  <c r="K319" i="62"/>
  <c r="M319" i="62"/>
  <c r="N319" i="62"/>
  <c r="C319" i="62"/>
  <c r="E319" i="62"/>
  <c r="F319" i="62"/>
  <c r="F390" i="62"/>
  <c r="O390" i="62"/>
  <c r="D390" i="62"/>
  <c r="L390" i="62"/>
  <c r="I390" i="62"/>
  <c r="J390" i="62"/>
  <c r="E390" i="62"/>
  <c r="G390" i="62"/>
  <c r="M390" i="62"/>
  <c r="H390" i="62"/>
  <c r="K390" i="62"/>
  <c r="N390" i="62"/>
  <c r="C390" i="62"/>
  <c r="I331" i="62"/>
  <c r="G331" i="62"/>
  <c r="O331" i="62"/>
  <c r="F331" i="62"/>
  <c r="N331" i="62"/>
  <c r="H331" i="62"/>
  <c r="J331" i="62"/>
  <c r="E331" i="62"/>
  <c r="M331" i="62"/>
  <c r="K331" i="62"/>
  <c r="C331" i="62"/>
  <c r="L331" i="62"/>
  <c r="D331" i="62"/>
  <c r="J321" i="62"/>
  <c r="N321" i="62"/>
  <c r="L321" i="62"/>
  <c r="E321" i="62"/>
  <c r="K321" i="62"/>
  <c r="H321" i="62"/>
  <c r="C321" i="62"/>
  <c r="D321" i="62"/>
  <c r="M321" i="62"/>
  <c r="F321" i="62"/>
  <c r="G321" i="62"/>
  <c r="O321" i="62"/>
  <c r="I321" i="62"/>
  <c r="O276" i="62"/>
  <c r="D276" i="62"/>
  <c r="M276" i="62"/>
  <c r="F276" i="62"/>
  <c r="H276" i="62"/>
  <c r="E276" i="62"/>
  <c r="N276" i="62"/>
  <c r="J276" i="62"/>
  <c r="C276" i="62"/>
  <c r="K276" i="62"/>
  <c r="G276" i="62"/>
  <c r="I276" i="62"/>
  <c r="L276" i="62"/>
  <c r="H225" i="62"/>
  <c r="J225" i="62"/>
  <c r="E225" i="62"/>
  <c r="I225" i="62"/>
  <c r="M225" i="62"/>
  <c r="F225" i="62"/>
  <c r="N225" i="62"/>
  <c r="C225" i="62"/>
  <c r="G225" i="62"/>
  <c r="K225" i="62"/>
  <c r="O225" i="62"/>
  <c r="D225" i="62"/>
  <c r="L225" i="62"/>
  <c r="F286" i="62"/>
  <c r="D286" i="62"/>
  <c r="O286" i="62"/>
  <c r="J286" i="62"/>
  <c r="M286" i="62"/>
  <c r="E286" i="62"/>
  <c r="G286" i="62"/>
  <c r="H286" i="62"/>
  <c r="I286" i="62"/>
  <c r="L286" i="62"/>
  <c r="N286" i="62"/>
  <c r="K286" i="62"/>
  <c r="C286" i="62"/>
  <c r="H240" i="62"/>
  <c r="D240" i="62"/>
  <c r="M240" i="62"/>
  <c r="J240" i="62"/>
  <c r="L240" i="62"/>
  <c r="G240" i="62"/>
  <c r="O240" i="62"/>
  <c r="C240" i="62"/>
  <c r="E240" i="62"/>
  <c r="F240" i="62"/>
  <c r="I240" i="62"/>
  <c r="K240" i="62"/>
  <c r="N240" i="62"/>
  <c r="F294" i="62"/>
  <c r="H294" i="62"/>
  <c r="M294" i="62"/>
  <c r="D294" i="62"/>
  <c r="E294" i="62"/>
  <c r="I294" i="62"/>
  <c r="J294" i="62"/>
  <c r="L294" i="62"/>
  <c r="C294" i="62"/>
  <c r="K294" i="62"/>
  <c r="N294" i="62"/>
  <c r="O294" i="62"/>
  <c r="G294" i="62"/>
  <c r="C234" i="62"/>
  <c r="K234" i="62"/>
  <c r="D234" i="62"/>
  <c r="H234" i="62"/>
  <c r="I234" i="62"/>
  <c r="M234" i="62"/>
  <c r="O234" i="62"/>
  <c r="E234" i="62"/>
  <c r="L234" i="62"/>
  <c r="F234" i="62"/>
  <c r="J234" i="62"/>
  <c r="G234" i="62"/>
  <c r="N234" i="62"/>
  <c r="C212" i="62"/>
  <c r="H212" i="62"/>
  <c r="E212" i="62"/>
  <c r="O212" i="62"/>
  <c r="N212" i="62"/>
  <c r="F212" i="62"/>
  <c r="G212" i="62"/>
  <c r="I212" i="62"/>
  <c r="J212" i="62"/>
  <c r="M212" i="62"/>
  <c r="D212" i="62"/>
  <c r="K212" i="62"/>
  <c r="L212" i="62"/>
  <c r="C338" i="62"/>
  <c r="L338" i="62"/>
  <c r="H338" i="62"/>
  <c r="J338" i="62"/>
  <c r="M338" i="62"/>
  <c r="N338" i="62"/>
  <c r="D338" i="62"/>
  <c r="O338" i="62"/>
  <c r="E338" i="62"/>
  <c r="F338" i="62"/>
  <c r="G338" i="62"/>
  <c r="I338" i="62"/>
  <c r="K338" i="62"/>
  <c r="O270" i="62"/>
  <c r="K270" i="62"/>
  <c r="J270" i="62"/>
  <c r="M270" i="62"/>
  <c r="N270" i="62"/>
  <c r="C270" i="62"/>
  <c r="E270" i="62"/>
  <c r="F270" i="62"/>
  <c r="G270" i="62"/>
  <c r="D270" i="62"/>
  <c r="L270" i="62"/>
  <c r="H270" i="62"/>
  <c r="I270" i="62"/>
  <c r="C207" i="62"/>
  <c r="J207" i="62"/>
  <c r="K207" i="62"/>
  <c r="G207" i="62"/>
  <c r="O207" i="62"/>
  <c r="H207" i="62"/>
  <c r="I207" i="62"/>
  <c r="E207" i="62"/>
  <c r="D207" i="62"/>
  <c r="M207" i="62"/>
  <c r="F207" i="62"/>
  <c r="N207" i="62"/>
  <c r="L207" i="62"/>
  <c r="H235" i="62"/>
  <c r="F235" i="62"/>
  <c r="L235" i="62"/>
  <c r="K235" i="62"/>
  <c r="G235" i="62"/>
  <c r="O235" i="62"/>
  <c r="N235" i="62"/>
  <c r="C235" i="62"/>
  <c r="D235" i="62"/>
  <c r="I235" i="62"/>
  <c r="J235" i="62"/>
  <c r="E235" i="62"/>
  <c r="M235" i="62"/>
  <c r="C213" i="62"/>
  <c r="L213" i="62"/>
  <c r="H213" i="62"/>
  <c r="J213" i="62"/>
  <c r="M213" i="62"/>
  <c r="N213" i="62"/>
  <c r="D213" i="62"/>
  <c r="O213" i="62"/>
  <c r="E213" i="62"/>
  <c r="F213" i="62"/>
  <c r="G213" i="62"/>
  <c r="I213" i="62"/>
  <c r="K213" i="62"/>
  <c r="I423" i="62"/>
  <c r="C423" i="62"/>
  <c r="L423" i="62"/>
  <c r="D423" i="62"/>
  <c r="M423" i="62"/>
  <c r="H423" i="62"/>
  <c r="J423" i="62"/>
  <c r="E423" i="62"/>
  <c r="N423" i="62"/>
  <c r="F423" i="62"/>
  <c r="O423" i="62"/>
  <c r="G423" i="62"/>
  <c r="K423" i="62"/>
  <c r="H200" i="62"/>
  <c r="D200" i="62"/>
  <c r="G200" i="62"/>
  <c r="K200" i="62"/>
  <c r="L200" i="62"/>
  <c r="O200" i="62"/>
  <c r="C200" i="62"/>
  <c r="N200" i="62"/>
  <c r="I200" i="62"/>
  <c r="F200" i="62"/>
  <c r="J200" i="62"/>
  <c r="M200" i="62"/>
  <c r="E200" i="62"/>
  <c r="C345" i="62"/>
  <c r="J345" i="62"/>
  <c r="F345" i="62"/>
  <c r="M345" i="62"/>
  <c r="K345" i="62"/>
  <c r="H345" i="62"/>
  <c r="O345" i="62"/>
  <c r="E345" i="62"/>
  <c r="I345" i="62"/>
  <c r="G345" i="62"/>
  <c r="N345" i="62"/>
  <c r="L345" i="62"/>
  <c r="D345" i="62"/>
  <c r="G174" i="62"/>
  <c r="I174" i="62"/>
  <c r="D174" i="62"/>
  <c r="N174" i="62"/>
  <c r="E174" i="62"/>
  <c r="F174" i="62"/>
  <c r="K174" i="62"/>
  <c r="H174" i="62"/>
  <c r="J174" i="62"/>
  <c r="M174" i="62"/>
  <c r="C174" i="62"/>
  <c r="L174" i="62"/>
  <c r="O174" i="62"/>
  <c r="I183" i="62"/>
  <c r="H183" i="62"/>
  <c r="J183" i="62"/>
  <c r="D183" i="62"/>
  <c r="K183" i="62"/>
  <c r="O183" i="62"/>
  <c r="L183" i="62"/>
  <c r="C183" i="62"/>
  <c r="M183" i="62"/>
  <c r="E183" i="62"/>
  <c r="G183" i="62"/>
  <c r="N183" i="62"/>
  <c r="F183" i="62"/>
  <c r="K392" i="62"/>
  <c r="G392" i="62"/>
  <c r="O392" i="62"/>
  <c r="D392" i="62"/>
  <c r="L392" i="62"/>
  <c r="H392" i="62"/>
  <c r="M392" i="62"/>
  <c r="F392" i="62"/>
  <c r="N392" i="62"/>
  <c r="I392" i="62"/>
  <c r="C392" i="62"/>
  <c r="J392" i="62"/>
  <c r="E392" i="62"/>
  <c r="D196" i="62"/>
  <c r="K196" i="62"/>
  <c r="N196" i="62"/>
  <c r="G196" i="62"/>
  <c r="O196" i="62"/>
  <c r="C196" i="62"/>
  <c r="F196" i="62"/>
  <c r="H196" i="62"/>
  <c r="J196" i="62"/>
  <c r="I196" i="62"/>
  <c r="M196" i="62"/>
  <c r="E196" i="62"/>
  <c r="L196" i="62"/>
  <c r="L417" i="62"/>
  <c r="G417" i="62"/>
  <c r="O417" i="62"/>
  <c r="J417" i="62"/>
  <c r="D417" i="62"/>
  <c r="F417" i="62"/>
  <c r="I417" i="62"/>
  <c r="N417" i="62"/>
  <c r="H417" i="62"/>
  <c r="C417" i="62"/>
  <c r="K417" i="62"/>
  <c r="E417" i="62"/>
  <c r="M417" i="62"/>
  <c r="E361" i="62"/>
  <c r="M361" i="62"/>
  <c r="D361" i="62"/>
  <c r="J361" i="62"/>
  <c r="C361" i="62"/>
  <c r="I361" i="62"/>
  <c r="K361" i="62"/>
  <c r="O361" i="62"/>
  <c r="N361" i="62"/>
  <c r="G361" i="62"/>
  <c r="H361" i="62"/>
  <c r="L361" i="62"/>
  <c r="F361" i="62"/>
  <c r="I191" i="62"/>
  <c r="M191" i="62"/>
  <c r="H191" i="62"/>
  <c r="C191" i="62"/>
  <c r="D191" i="62"/>
  <c r="E191" i="62"/>
  <c r="K191" i="62"/>
  <c r="L191" i="62"/>
  <c r="N191" i="62"/>
  <c r="O191" i="62"/>
  <c r="F191" i="62"/>
  <c r="J191" i="62"/>
  <c r="G191" i="62"/>
  <c r="H300" i="62"/>
  <c r="F300" i="62"/>
  <c r="N300" i="62"/>
  <c r="I300" i="62"/>
  <c r="J300" i="62"/>
  <c r="K300" i="62"/>
  <c r="O300" i="62"/>
  <c r="C300" i="62"/>
  <c r="G300" i="62"/>
  <c r="M300" i="62"/>
  <c r="L300" i="62"/>
  <c r="E300" i="62"/>
  <c r="D300" i="62"/>
  <c r="H184" i="62"/>
  <c r="G184" i="62"/>
  <c r="J184" i="62"/>
  <c r="O184" i="62"/>
  <c r="N184" i="62"/>
  <c r="F184" i="62"/>
  <c r="M184" i="62"/>
  <c r="K184" i="62"/>
  <c r="E184" i="62"/>
  <c r="C184" i="62"/>
  <c r="I184" i="62"/>
  <c r="L184" i="62"/>
  <c r="D184" i="62"/>
  <c r="D394" i="62"/>
  <c r="I394" i="62"/>
  <c r="F394" i="62"/>
  <c r="O394" i="62"/>
  <c r="L394" i="62"/>
  <c r="N394" i="62"/>
  <c r="K394" i="62"/>
  <c r="C394" i="62"/>
  <c r="E394" i="62"/>
  <c r="J394" i="62"/>
  <c r="G394" i="62"/>
  <c r="H394" i="62"/>
  <c r="M394" i="62"/>
  <c r="G369" i="62"/>
  <c r="N369" i="62"/>
  <c r="I369" i="62"/>
  <c r="J369" i="62"/>
  <c r="M369" i="62"/>
  <c r="O369" i="62"/>
  <c r="E369" i="62"/>
  <c r="H369" i="62"/>
  <c r="F369" i="62"/>
  <c r="L369" i="62"/>
  <c r="C369" i="62"/>
  <c r="K369" i="62"/>
  <c r="D369" i="62"/>
  <c r="H292" i="62"/>
  <c r="N292" i="62"/>
  <c r="G292" i="62"/>
  <c r="F292" i="62"/>
  <c r="J292" i="62"/>
  <c r="K292" i="62"/>
  <c r="O292" i="62"/>
  <c r="C292" i="62"/>
  <c r="E292" i="62"/>
  <c r="L292" i="62"/>
  <c r="M292" i="62"/>
  <c r="D292" i="62"/>
  <c r="I292" i="62"/>
  <c r="G341" i="62"/>
  <c r="E341" i="62"/>
  <c r="M341" i="62"/>
  <c r="J341" i="62"/>
  <c r="C341" i="62"/>
  <c r="F341" i="62"/>
  <c r="I341" i="62"/>
  <c r="K341" i="62"/>
  <c r="N341" i="62"/>
  <c r="L341" i="62"/>
  <c r="H341" i="62"/>
  <c r="O341" i="62"/>
  <c r="D341" i="62"/>
  <c r="E359" i="62"/>
  <c r="K359" i="62"/>
  <c r="L359" i="62"/>
  <c r="O359" i="62"/>
  <c r="C359" i="62"/>
  <c r="D359" i="62"/>
  <c r="G359" i="62"/>
  <c r="H359" i="62"/>
  <c r="I359" i="62"/>
  <c r="J359" i="62"/>
  <c r="M359" i="62"/>
  <c r="N359" i="62"/>
  <c r="F359" i="62"/>
  <c r="C408" i="62"/>
  <c r="J408" i="62"/>
  <c r="K408" i="62"/>
  <c r="D408" i="62"/>
  <c r="H408" i="62"/>
  <c r="M408" i="62"/>
  <c r="F408" i="62"/>
  <c r="L408" i="62"/>
  <c r="O408" i="62"/>
  <c r="I408" i="62"/>
  <c r="E408" i="62"/>
  <c r="N408" i="62"/>
  <c r="G408" i="62"/>
  <c r="D344" i="62"/>
  <c r="F344" i="62"/>
  <c r="J344" i="62"/>
  <c r="C344" i="62"/>
  <c r="H344" i="62"/>
  <c r="K344" i="62"/>
  <c r="N344" i="62"/>
  <c r="I344" i="62"/>
  <c r="O344" i="62"/>
  <c r="L344" i="62"/>
  <c r="M344" i="62"/>
  <c r="G344" i="62"/>
  <c r="E344" i="62"/>
  <c r="H316" i="62"/>
  <c r="F316" i="62"/>
  <c r="N316" i="62"/>
  <c r="C316" i="62"/>
  <c r="K316" i="62"/>
  <c r="O316" i="62"/>
  <c r="G316" i="62"/>
  <c r="I316" i="62"/>
  <c r="J316" i="62"/>
  <c r="E316" i="62"/>
  <c r="L316" i="62"/>
  <c r="D316" i="62"/>
  <c r="M316" i="62"/>
  <c r="C386" i="62"/>
  <c r="L386" i="62"/>
  <c r="E386" i="62"/>
  <c r="O386" i="62"/>
  <c r="F386" i="62"/>
  <c r="G386" i="62"/>
  <c r="H386" i="62"/>
  <c r="I386" i="62"/>
  <c r="J386" i="62"/>
  <c r="D386" i="62"/>
  <c r="M386" i="62"/>
  <c r="N386" i="62"/>
  <c r="K386" i="62"/>
  <c r="F302" i="62"/>
  <c r="I302" i="62"/>
  <c r="E302" i="62"/>
  <c r="O302" i="62"/>
  <c r="L302" i="62"/>
  <c r="M302" i="62"/>
  <c r="D302" i="62"/>
  <c r="G302" i="62"/>
  <c r="H302" i="62"/>
  <c r="J302" i="62"/>
  <c r="N302" i="62"/>
  <c r="K302" i="62"/>
  <c r="C302" i="62"/>
  <c r="G311" i="62"/>
  <c r="O311" i="62"/>
  <c r="D311" i="62"/>
  <c r="L311" i="62"/>
  <c r="K311" i="62"/>
  <c r="J311" i="62"/>
  <c r="M311" i="62"/>
  <c r="N311" i="62"/>
  <c r="C311" i="62"/>
  <c r="E311" i="62"/>
  <c r="F311" i="62"/>
  <c r="H311" i="62"/>
  <c r="I311" i="62"/>
  <c r="G264" i="62"/>
  <c r="D264" i="62"/>
  <c r="M264" i="62"/>
  <c r="J264" i="62"/>
  <c r="I264" i="62"/>
  <c r="E264" i="62"/>
  <c r="H264" i="62"/>
  <c r="K264" i="62"/>
  <c r="L264" i="62"/>
  <c r="C264" i="62"/>
  <c r="F264" i="62"/>
  <c r="N264" i="62"/>
  <c r="O264" i="62"/>
  <c r="C327" i="62"/>
  <c r="K327" i="62"/>
  <c r="H327" i="62"/>
  <c r="M327" i="62"/>
  <c r="D327" i="62"/>
  <c r="N327" i="62"/>
  <c r="E327" i="62"/>
  <c r="O327" i="62"/>
  <c r="F327" i="62"/>
  <c r="G327" i="62"/>
  <c r="I327" i="62"/>
  <c r="J327" i="62"/>
  <c r="L327" i="62"/>
  <c r="I282" i="62"/>
  <c r="C282" i="62"/>
  <c r="H282" i="62"/>
  <c r="K282" i="62"/>
  <c r="L282" i="62"/>
  <c r="N282" i="62"/>
  <c r="D282" i="62"/>
  <c r="E282" i="62"/>
  <c r="O282" i="62"/>
  <c r="F282" i="62"/>
  <c r="M282" i="62"/>
  <c r="J282" i="62"/>
  <c r="G282" i="62"/>
  <c r="C261" i="62"/>
  <c r="K261" i="62"/>
  <c r="H261" i="62"/>
  <c r="J261" i="62"/>
  <c r="F261" i="62"/>
  <c r="O261" i="62"/>
  <c r="D261" i="62"/>
  <c r="E261" i="62"/>
  <c r="G261" i="62"/>
  <c r="I261" i="62"/>
  <c r="L261" i="62"/>
  <c r="M261" i="62"/>
  <c r="N261" i="62"/>
  <c r="C284" i="62"/>
  <c r="K284" i="62"/>
  <c r="G284" i="62"/>
  <c r="N284" i="62"/>
  <c r="O284" i="62"/>
  <c r="F284" i="62"/>
  <c r="D284" i="62"/>
  <c r="M284" i="62"/>
  <c r="E284" i="62"/>
  <c r="J284" i="62"/>
  <c r="I284" i="62"/>
  <c r="L284" i="62"/>
  <c r="H284" i="62"/>
  <c r="C208" i="62"/>
  <c r="J208" i="62"/>
  <c r="K208" i="62"/>
  <c r="I208" i="62"/>
  <c r="N208" i="62"/>
  <c r="G208" i="62"/>
  <c r="O208" i="62"/>
  <c r="D208" i="62"/>
  <c r="H208" i="62"/>
  <c r="L208" i="62"/>
  <c r="E208" i="62"/>
  <c r="M208" i="62"/>
  <c r="F208" i="62"/>
  <c r="C211" i="62"/>
  <c r="N211" i="62"/>
  <c r="H211" i="62"/>
  <c r="F211" i="62"/>
  <c r="G211" i="62"/>
  <c r="I211" i="62"/>
  <c r="O211" i="62"/>
  <c r="J211" i="62"/>
  <c r="M211" i="62"/>
  <c r="L211" i="62"/>
  <c r="E211" i="62"/>
  <c r="D211" i="62"/>
  <c r="K211" i="62"/>
  <c r="J334" i="62"/>
  <c r="G334" i="62"/>
  <c r="O334" i="62"/>
  <c r="F334" i="62"/>
  <c r="H334" i="62"/>
  <c r="I334" i="62"/>
  <c r="K334" i="62"/>
  <c r="L334" i="62"/>
  <c r="D334" i="62"/>
  <c r="E334" i="62"/>
  <c r="M334" i="62"/>
  <c r="N334" i="62"/>
  <c r="C334" i="62"/>
  <c r="O263" i="62"/>
  <c r="F263" i="62"/>
  <c r="D263" i="62"/>
  <c r="C263" i="62"/>
  <c r="K263" i="62"/>
  <c r="L263" i="62"/>
  <c r="E263" i="62"/>
  <c r="M263" i="62"/>
  <c r="J263" i="62"/>
  <c r="G263" i="62"/>
  <c r="N263" i="62"/>
  <c r="H263" i="62"/>
  <c r="I263" i="62"/>
  <c r="H266" i="62"/>
  <c r="G266" i="62"/>
  <c r="O266" i="62"/>
  <c r="J266" i="62"/>
  <c r="C266" i="62"/>
  <c r="F266" i="62"/>
  <c r="I266" i="62"/>
  <c r="K266" i="62"/>
  <c r="N266" i="62"/>
  <c r="M266" i="62"/>
  <c r="E266" i="62"/>
  <c r="L266" i="62"/>
  <c r="D266" i="62"/>
  <c r="H217" i="62"/>
  <c r="L217" i="62"/>
  <c r="E217" i="62"/>
  <c r="M217" i="62"/>
  <c r="F217" i="62"/>
  <c r="N217" i="62"/>
  <c r="C217" i="62"/>
  <c r="G217" i="62"/>
  <c r="J217" i="62"/>
  <c r="K217" i="62"/>
  <c r="O217" i="62"/>
  <c r="I217" i="62"/>
  <c r="D217" i="62"/>
  <c r="C204" i="62"/>
  <c r="N204" i="62"/>
  <c r="I204" i="62"/>
  <c r="E204" i="62"/>
  <c r="F204" i="62"/>
  <c r="G204" i="62"/>
  <c r="H204" i="62"/>
  <c r="J204" i="62"/>
  <c r="M204" i="62"/>
  <c r="O204" i="62"/>
  <c r="K204" i="62"/>
  <c r="L204" i="62"/>
  <c r="D204" i="62"/>
  <c r="E399" i="62"/>
  <c r="F399" i="62"/>
  <c r="K399" i="62"/>
  <c r="H399" i="62"/>
  <c r="C399" i="62"/>
  <c r="O399" i="62"/>
  <c r="D399" i="62"/>
  <c r="L399" i="62"/>
  <c r="G399" i="62"/>
  <c r="I399" i="62"/>
  <c r="J399" i="62"/>
  <c r="M399" i="62"/>
  <c r="N399" i="62"/>
  <c r="F179" i="62"/>
  <c r="H179" i="62"/>
  <c r="M179" i="62"/>
  <c r="I179" i="62"/>
  <c r="J179" i="62"/>
  <c r="D179" i="62"/>
  <c r="K179" i="62"/>
  <c r="C179" i="62"/>
  <c r="L179" i="62"/>
  <c r="N179" i="62"/>
  <c r="O179" i="62"/>
  <c r="E179" i="62"/>
  <c r="G179" i="62"/>
  <c r="G238" i="62"/>
  <c r="O238" i="62"/>
  <c r="D238" i="62"/>
  <c r="L238" i="62"/>
  <c r="I238" i="62"/>
  <c r="E238" i="62"/>
  <c r="C238" i="62"/>
  <c r="F238" i="62"/>
  <c r="H238" i="62"/>
  <c r="M238" i="62"/>
  <c r="N238" i="62"/>
  <c r="J238" i="62"/>
  <c r="K238" i="62"/>
  <c r="H195" i="62"/>
  <c r="I195" i="62"/>
  <c r="J195" i="62"/>
  <c r="C195" i="62"/>
  <c r="K195" i="62"/>
  <c r="E195" i="62"/>
  <c r="D195" i="62"/>
  <c r="L195" i="62"/>
  <c r="M195" i="62"/>
  <c r="F195" i="62"/>
  <c r="G195" i="62"/>
  <c r="N195" i="62"/>
  <c r="O195" i="62"/>
  <c r="I411" i="62"/>
  <c r="J411" i="62"/>
  <c r="O411" i="62"/>
  <c r="G411" i="62"/>
  <c r="H411" i="62"/>
  <c r="D411" i="62"/>
  <c r="F411" i="62"/>
  <c r="C411" i="62"/>
  <c r="L411" i="62"/>
  <c r="N411" i="62"/>
  <c r="M411" i="62"/>
  <c r="K411" i="62"/>
  <c r="E411" i="62"/>
  <c r="G347" i="62"/>
  <c r="O347" i="62"/>
  <c r="D347" i="62"/>
  <c r="M347" i="62"/>
  <c r="E347" i="62"/>
  <c r="F347" i="62"/>
  <c r="H347" i="62"/>
  <c r="I347" i="62"/>
  <c r="J347" i="62"/>
  <c r="K347" i="62"/>
  <c r="N347" i="62"/>
  <c r="C347" i="62"/>
  <c r="L347" i="62"/>
  <c r="G447" i="62"/>
  <c r="D447" i="62"/>
  <c r="J447" i="62"/>
  <c r="L447" i="62"/>
  <c r="N447" i="62"/>
  <c r="F447" i="62"/>
  <c r="I447" i="62"/>
  <c r="O447" i="62"/>
  <c r="H447" i="62"/>
  <c r="M447" i="62"/>
  <c r="K447" i="62"/>
  <c r="E447" i="62"/>
  <c r="C447" i="62"/>
  <c r="I255" i="62"/>
  <c r="F255" i="62"/>
  <c r="L255" i="62"/>
  <c r="E255" i="62"/>
  <c r="M255" i="62"/>
  <c r="N255" i="62"/>
  <c r="G255" i="62"/>
  <c r="C255" i="62"/>
  <c r="O255" i="62"/>
  <c r="J255" i="62"/>
  <c r="K255" i="62"/>
  <c r="H255" i="62"/>
  <c r="D255" i="62"/>
  <c r="H442" i="62"/>
  <c r="K442" i="62"/>
  <c r="I442" i="62"/>
  <c r="C442" i="62"/>
  <c r="L442" i="62"/>
  <c r="D442" i="62"/>
  <c r="M442" i="62"/>
  <c r="G442" i="62"/>
  <c r="E442" i="62"/>
  <c r="N442" i="62"/>
  <c r="F442" i="62"/>
  <c r="O442" i="62"/>
  <c r="J442" i="62"/>
  <c r="F385" i="62"/>
  <c r="H385" i="62"/>
  <c r="J385" i="62"/>
  <c r="M385" i="62"/>
  <c r="N385" i="62"/>
  <c r="O385" i="62"/>
  <c r="E385" i="62"/>
  <c r="G385" i="62"/>
  <c r="K385" i="62"/>
  <c r="C385" i="62"/>
  <c r="D385" i="62"/>
  <c r="L385" i="62"/>
  <c r="I385" i="62"/>
  <c r="J353" i="62"/>
  <c r="C353" i="62"/>
  <c r="G353" i="62"/>
  <c r="D353" i="62"/>
  <c r="I353" i="62"/>
  <c r="L353" i="62"/>
  <c r="O353" i="62"/>
  <c r="M353" i="62"/>
  <c r="F353" i="62"/>
  <c r="N353" i="62"/>
  <c r="H353" i="62"/>
  <c r="K353" i="62"/>
  <c r="E353" i="62"/>
  <c r="H258" i="62"/>
  <c r="F258" i="62"/>
  <c r="N258" i="62"/>
  <c r="J258" i="62"/>
  <c r="I258" i="62"/>
  <c r="K258" i="62"/>
  <c r="O258" i="62"/>
  <c r="G258" i="62"/>
  <c r="C258" i="62"/>
  <c r="L258" i="62"/>
  <c r="M258" i="62"/>
  <c r="E258" i="62"/>
  <c r="D258" i="62"/>
  <c r="C337" i="62"/>
  <c r="J337" i="62"/>
  <c r="D337" i="62"/>
  <c r="F337" i="62"/>
  <c r="L337" i="62"/>
  <c r="H337" i="62"/>
  <c r="N337" i="62"/>
  <c r="M337" i="62"/>
  <c r="K337" i="62"/>
  <c r="E337" i="62"/>
  <c r="O337" i="62"/>
  <c r="I337" i="62"/>
  <c r="G337" i="62"/>
  <c r="G357" i="62"/>
  <c r="E357" i="62"/>
  <c r="N357" i="62"/>
  <c r="C357" i="62"/>
  <c r="F357" i="62"/>
  <c r="I357" i="62"/>
  <c r="J357" i="62"/>
  <c r="K357" i="62"/>
  <c r="M357" i="62"/>
  <c r="H357" i="62"/>
  <c r="L357" i="62"/>
  <c r="D357" i="62"/>
  <c r="O357" i="62"/>
  <c r="J407" i="62"/>
  <c r="G407" i="62"/>
  <c r="O407" i="62"/>
  <c r="I407" i="62"/>
  <c r="E407" i="62"/>
  <c r="K407" i="62"/>
  <c r="L407" i="62"/>
  <c r="F407" i="62"/>
  <c r="C407" i="62"/>
  <c r="M407" i="62"/>
  <c r="D407" i="62"/>
  <c r="N407" i="62"/>
  <c r="H407" i="62"/>
  <c r="D312" i="62"/>
  <c r="J312" i="62"/>
  <c r="C312" i="62"/>
  <c r="K312" i="62"/>
  <c r="F312" i="62"/>
  <c r="N312" i="62"/>
  <c r="I312" i="62"/>
  <c r="M312" i="62"/>
  <c r="L312" i="62"/>
  <c r="O312" i="62"/>
  <c r="E312" i="62"/>
  <c r="G312" i="62"/>
  <c r="H312" i="62"/>
  <c r="G314" i="62"/>
  <c r="D314" i="62"/>
  <c r="M314" i="62"/>
  <c r="J314" i="62"/>
  <c r="F314" i="62"/>
  <c r="I314" i="62"/>
  <c r="K314" i="62"/>
  <c r="L314" i="62"/>
  <c r="N314" i="62"/>
  <c r="C314" i="62"/>
  <c r="E314" i="62"/>
  <c r="H314" i="62"/>
  <c r="O314" i="62"/>
  <c r="C383" i="62"/>
  <c r="L383" i="62"/>
  <c r="O383" i="62"/>
  <c r="N383" i="62"/>
  <c r="E383" i="62"/>
  <c r="K383" i="62"/>
  <c r="M383" i="62"/>
  <c r="I383" i="62"/>
  <c r="F383" i="62"/>
  <c r="D383" i="62"/>
  <c r="G383" i="62"/>
  <c r="H383" i="62"/>
  <c r="J383" i="62"/>
  <c r="D299" i="62"/>
  <c r="L299" i="62"/>
  <c r="I299" i="62"/>
  <c r="F299" i="62"/>
  <c r="J299" i="62"/>
  <c r="K299" i="62"/>
  <c r="M299" i="62"/>
  <c r="N299" i="62"/>
  <c r="C299" i="62"/>
  <c r="O299" i="62"/>
  <c r="E299" i="62"/>
  <c r="G299" i="62"/>
  <c r="H299" i="62"/>
  <c r="F310" i="62"/>
  <c r="E310" i="62"/>
  <c r="L310" i="62"/>
  <c r="D310" i="62"/>
  <c r="O310" i="62"/>
  <c r="G310" i="62"/>
  <c r="H310" i="62"/>
  <c r="I310" i="62"/>
  <c r="J310" i="62"/>
  <c r="M310" i="62"/>
  <c r="K310" i="62"/>
  <c r="C310" i="62"/>
  <c r="N310" i="62"/>
  <c r="G259" i="62"/>
  <c r="J259" i="62"/>
  <c r="M259" i="62"/>
  <c r="E259" i="62"/>
  <c r="F259" i="62"/>
  <c r="N259" i="62"/>
  <c r="L259" i="62"/>
  <c r="H259" i="62"/>
  <c r="D259" i="62"/>
  <c r="K259" i="62"/>
  <c r="C259" i="62"/>
  <c r="O259" i="62"/>
  <c r="I259" i="62"/>
  <c r="J313" i="62"/>
  <c r="L313" i="62"/>
  <c r="I313" i="62"/>
  <c r="C313" i="62"/>
  <c r="O313" i="62"/>
  <c r="N313" i="62"/>
  <c r="D313" i="62"/>
  <c r="E313" i="62"/>
  <c r="M313" i="62"/>
  <c r="F313" i="62"/>
  <c r="G313" i="62"/>
  <c r="H313" i="62"/>
  <c r="K313" i="62"/>
  <c r="G280" i="62"/>
  <c r="C280" i="62"/>
  <c r="L280" i="62"/>
  <c r="I280" i="62"/>
  <c r="N280" i="62"/>
  <c r="D280" i="62"/>
  <c r="E280" i="62"/>
  <c r="F280" i="62"/>
  <c r="H280" i="62"/>
  <c r="J280" i="62"/>
  <c r="K280" i="62"/>
  <c r="M280" i="62"/>
  <c r="O280" i="62"/>
  <c r="G256" i="62"/>
  <c r="D256" i="62"/>
  <c r="M256" i="62"/>
  <c r="J256" i="62"/>
  <c r="C256" i="62"/>
  <c r="K256" i="62"/>
  <c r="E256" i="62"/>
  <c r="F256" i="62"/>
  <c r="I256" i="62"/>
  <c r="L256" i="62"/>
  <c r="N256" i="62"/>
  <c r="H256" i="62"/>
  <c r="O256" i="62"/>
  <c r="L281" i="62"/>
  <c r="C281" i="62"/>
  <c r="K281" i="62"/>
  <c r="I281" i="62"/>
  <c r="F281" i="62"/>
  <c r="E281" i="62"/>
  <c r="M281" i="62"/>
  <c r="H281" i="62"/>
  <c r="D281" i="62"/>
  <c r="J281" i="62"/>
  <c r="G281" i="62"/>
  <c r="N281" i="62"/>
  <c r="O281" i="62"/>
  <c r="H206" i="62"/>
  <c r="E206" i="62"/>
  <c r="M206" i="62"/>
  <c r="G206" i="62"/>
  <c r="I206" i="62"/>
  <c r="J206" i="62"/>
  <c r="K206" i="62"/>
  <c r="L206" i="62"/>
  <c r="C206" i="62"/>
  <c r="N206" i="62"/>
  <c r="F206" i="62"/>
  <c r="O206" i="62"/>
  <c r="D206" i="62"/>
  <c r="C205" i="62"/>
  <c r="G205" i="62"/>
  <c r="D205" i="62"/>
  <c r="M205" i="62"/>
  <c r="L205" i="62"/>
  <c r="N205" i="62"/>
  <c r="O205" i="62"/>
  <c r="E205" i="62"/>
  <c r="F205" i="62"/>
  <c r="H205" i="62"/>
  <c r="I205" i="62"/>
  <c r="J205" i="62"/>
  <c r="K205" i="62"/>
  <c r="C326" i="62"/>
  <c r="L326" i="62"/>
  <c r="H326" i="62"/>
  <c r="G326" i="62"/>
  <c r="I326" i="62"/>
  <c r="J326" i="62"/>
  <c r="M326" i="62"/>
  <c r="N326" i="62"/>
  <c r="D326" i="62"/>
  <c r="E326" i="62"/>
  <c r="F326" i="62"/>
  <c r="O326" i="62"/>
  <c r="K326" i="62"/>
  <c r="F260" i="62"/>
  <c r="J260" i="62"/>
  <c r="G260" i="62"/>
  <c r="L260" i="62"/>
  <c r="D260" i="62"/>
  <c r="E260" i="62"/>
  <c r="M260" i="62"/>
  <c r="O260" i="62"/>
  <c r="H260" i="62"/>
  <c r="I260" i="62"/>
  <c r="C260" i="62"/>
  <c r="K260" i="62"/>
  <c r="N260" i="62"/>
  <c r="I257" i="62"/>
  <c r="H257" i="62"/>
  <c r="J257" i="62"/>
  <c r="D257" i="62"/>
  <c r="G257" i="62"/>
  <c r="L257" i="62"/>
  <c r="O257" i="62"/>
  <c r="C257" i="62"/>
  <c r="N257" i="62"/>
  <c r="M257" i="62"/>
  <c r="F257" i="62"/>
  <c r="E257" i="62"/>
  <c r="K257" i="62"/>
  <c r="H209" i="62"/>
  <c r="J209" i="62"/>
  <c r="N209" i="62"/>
  <c r="C209" i="62"/>
  <c r="G209" i="62"/>
  <c r="K209" i="62"/>
  <c r="O209" i="62"/>
  <c r="D209" i="62"/>
  <c r="I209" i="62"/>
  <c r="L209" i="62"/>
  <c r="E209" i="62"/>
  <c r="M209" i="62"/>
  <c r="F209" i="62"/>
  <c r="C201" i="62"/>
  <c r="I201" i="62"/>
  <c r="H201" i="62"/>
  <c r="J201" i="62"/>
  <c r="M201" i="62"/>
  <c r="K201" i="62"/>
  <c r="E201" i="62"/>
  <c r="N201" i="62"/>
  <c r="F201" i="62"/>
  <c r="O201" i="62"/>
  <c r="G201" i="62"/>
  <c r="L201" i="62"/>
  <c r="D201" i="62"/>
  <c r="D320" i="62"/>
  <c r="J320" i="62"/>
  <c r="C320" i="62"/>
  <c r="K320" i="62"/>
  <c r="I320" i="62"/>
  <c r="H320" i="62"/>
  <c r="M320" i="62"/>
  <c r="L320" i="62"/>
  <c r="O320" i="62"/>
  <c r="E320" i="62"/>
  <c r="G320" i="62"/>
  <c r="N320" i="62"/>
  <c r="F320" i="62"/>
  <c r="O419" i="62"/>
  <c r="H419" i="62"/>
  <c r="J419" i="62"/>
  <c r="L419" i="62"/>
  <c r="G419" i="62"/>
  <c r="M419" i="62"/>
  <c r="E419" i="62"/>
  <c r="D419" i="62"/>
  <c r="N419" i="62"/>
  <c r="I419" i="62"/>
  <c r="C419" i="62"/>
  <c r="K419" i="62"/>
  <c r="F419" i="62"/>
  <c r="F448" i="62"/>
  <c r="C448" i="62"/>
  <c r="I448" i="62"/>
  <c r="J448" i="62"/>
  <c r="K448" i="62"/>
  <c r="M448" i="62"/>
  <c r="E448" i="62"/>
  <c r="L448" i="62"/>
  <c r="H448" i="62"/>
  <c r="D448" i="62"/>
  <c r="G448" i="62"/>
  <c r="N448" i="62"/>
  <c r="O448" i="62"/>
  <c r="D427" i="62"/>
  <c r="O427" i="62"/>
  <c r="N427" i="62"/>
  <c r="M427" i="62"/>
  <c r="H427" i="62"/>
  <c r="I427" i="62"/>
  <c r="L427" i="62"/>
  <c r="C427" i="62"/>
  <c r="G427" i="62"/>
  <c r="E427" i="62"/>
  <c r="K427" i="62"/>
  <c r="F427" i="62"/>
  <c r="J427" i="62"/>
  <c r="F178" i="62"/>
  <c r="J178" i="62"/>
  <c r="M178" i="62"/>
  <c r="E178" i="62"/>
  <c r="H178" i="62"/>
  <c r="I178" i="62"/>
  <c r="O178" i="62"/>
  <c r="K178" i="62"/>
  <c r="G178" i="62"/>
  <c r="C178" i="62"/>
  <c r="L178" i="62"/>
  <c r="D178" i="62"/>
  <c r="N178" i="62"/>
  <c r="D410" i="62"/>
  <c r="I410" i="62"/>
  <c r="F410" i="62"/>
  <c r="N410" i="62"/>
  <c r="E410" i="62"/>
  <c r="G410" i="62"/>
  <c r="M410" i="62"/>
  <c r="H410" i="62"/>
  <c r="J410" i="62"/>
  <c r="L410" i="62"/>
  <c r="K410" i="62"/>
  <c r="O410" i="62"/>
  <c r="C410" i="62"/>
  <c r="I175" i="62"/>
  <c r="H175" i="62"/>
  <c r="F175" i="62"/>
  <c r="L175" i="62"/>
  <c r="C175" i="62"/>
  <c r="D175" i="62"/>
  <c r="O175" i="62"/>
  <c r="G175" i="62"/>
  <c r="M175" i="62"/>
  <c r="J175" i="62"/>
  <c r="E175" i="62"/>
  <c r="K175" i="62"/>
  <c r="N175" i="62"/>
  <c r="I430" i="62"/>
  <c r="E430" i="62"/>
  <c r="G430" i="62"/>
  <c r="O430" i="62"/>
  <c r="D430" i="62"/>
  <c r="F430" i="62"/>
  <c r="N430" i="62"/>
  <c r="H430" i="62"/>
  <c r="C430" i="62"/>
  <c r="K430" i="62"/>
  <c r="J430" i="62"/>
  <c r="M430" i="62"/>
  <c r="L430" i="62"/>
  <c r="F194" i="62"/>
  <c r="J194" i="62"/>
  <c r="E194" i="62"/>
  <c r="I194" i="62"/>
  <c r="M194" i="62"/>
  <c r="K194" i="62"/>
  <c r="L194" i="62"/>
  <c r="C194" i="62"/>
  <c r="D194" i="62"/>
  <c r="O194" i="62"/>
  <c r="H194" i="62"/>
  <c r="G194" i="62"/>
  <c r="N194" i="62"/>
  <c r="I409" i="62"/>
  <c r="J409" i="62"/>
  <c r="K409" i="62"/>
  <c r="O409" i="62"/>
  <c r="F409" i="62"/>
  <c r="N409" i="62"/>
  <c r="E409" i="62"/>
  <c r="D409" i="62"/>
  <c r="L409" i="62"/>
  <c r="M409" i="62"/>
  <c r="G409" i="62"/>
  <c r="H409" i="62"/>
  <c r="C409" i="62"/>
  <c r="E343" i="62"/>
  <c r="K343" i="62"/>
  <c r="H343" i="62"/>
  <c r="L343" i="62"/>
  <c r="D343" i="62"/>
  <c r="G343" i="62"/>
  <c r="I343" i="62"/>
  <c r="J343" i="62"/>
  <c r="O343" i="62"/>
  <c r="C343" i="62"/>
  <c r="N343" i="62"/>
  <c r="M343" i="62"/>
  <c r="F343" i="62"/>
  <c r="H444" i="62"/>
  <c r="D444" i="62"/>
  <c r="M444" i="62"/>
  <c r="K444" i="62"/>
  <c r="L444" i="62"/>
  <c r="C444" i="62"/>
  <c r="N444" i="62"/>
  <c r="E444" i="62"/>
  <c r="O444" i="62"/>
  <c r="G444" i="62"/>
  <c r="F444" i="62"/>
  <c r="J444" i="62"/>
  <c r="I444" i="62"/>
  <c r="C370" i="62"/>
  <c r="G370" i="62"/>
  <c r="E370" i="62"/>
  <c r="O370" i="62"/>
  <c r="F370" i="62"/>
  <c r="H370" i="62"/>
  <c r="I370" i="62"/>
  <c r="J370" i="62"/>
  <c r="L370" i="62"/>
  <c r="M370" i="62"/>
  <c r="N370" i="62"/>
  <c r="D370" i="62"/>
  <c r="K370" i="62"/>
  <c r="E436" i="62"/>
  <c r="I436" i="62"/>
  <c r="L436" i="62"/>
  <c r="C436" i="62"/>
  <c r="N436" i="62"/>
  <c r="D436" i="62"/>
  <c r="O436" i="62"/>
  <c r="H436" i="62"/>
  <c r="F436" i="62"/>
  <c r="J436" i="62"/>
  <c r="G436" i="62"/>
  <c r="K436" i="62"/>
  <c r="M436" i="62"/>
  <c r="C381" i="62"/>
  <c r="J381" i="62"/>
  <c r="L381" i="62"/>
  <c r="E381" i="62"/>
  <c r="F381" i="62"/>
  <c r="M381" i="62"/>
  <c r="H381" i="62"/>
  <c r="N381" i="62"/>
  <c r="G381" i="62"/>
  <c r="D381" i="62"/>
  <c r="O381" i="62"/>
  <c r="I381" i="62"/>
  <c r="K381" i="62"/>
  <c r="D352" i="62"/>
  <c r="K352" i="62"/>
  <c r="J352" i="62"/>
  <c r="N352" i="62"/>
  <c r="C352" i="62"/>
  <c r="F352" i="62"/>
  <c r="H352" i="62"/>
  <c r="I352" i="62"/>
  <c r="O352" i="62"/>
  <c r="G352" i="62"/>
  <c r="M352" i="62"/>
  <c r="L352" i="62"/>
  <c r="E352" i="62"/>
  <c r="I388" i="62"/>
  <c r="C388" i="62"/>
  <c r="L388" i="62"/>
  <c r="J388" i="62"/>
  <c r="D388" i="62"/>
  <c r="N388" i="62"/>
  <c r="E388" i="62"/>
  <c r="O388" i="62"/>
  <c r="F388" i="62"/>
  <c r="G388" i="62"/>
  <c r="H388" i="62"/>
  <c r="K388" i="62"/>
  <c r="M388" i="62"/>
  <c r="I307" i="62"/>
  <c r="J307" i="62"/>
  <c r="G307" i="62"/>
  <c r="H307" i="62"/>
  <c r="L307" i="62"/>
  <c r="O307" i="62"/>
  <c r="D307" i="62"/>
  <c r="N307" i="62"/>
  <c r="F307" i="62"/>
  <c r="M307" i="62"/>
  <c r="E307" i="62"/>
  <c r="K307" i="62"/>
  <c r="C307" i="62"/>
  <c r="E351" i="62"/>
  <c r="D351" i="62"/>
  <c r="L351" i="62"/>
  <c r="O351" i="62"/>
  <c r="C351" i="62"/>
  <c r="G351" i="62"/>
  <c r="H351" i="62"/>
  <c r="I351" i="62"/>
  <c r="K351" i="62"/>
  <c r="J351" i="62"/>
  <c r="N351" i="62"/>
  <c r="M351" i="62"/>
  <c r="F351" i="62"/>
  <c r="E377" i="62"/>
  <c r="J377" i="62"/>
  <c r="I377" i="62"/>
  <c r="N377" i="62"/>
  <c r="L377" i="62"/>
  <c r="C377" i="62"/>
  <c r="G377" i="62"/>
  <c r="M377" i="62"/>
  <c r="D377" i="62"/>
  <c r="F377" i="62"/>
  <c r="H377" i="62"/>
  <c r="O377" i="62"/>
  <c r="K377" i="62"/>
  <c r="G272" i="62"/>
  <c r="C272" i="62"/>
  <c r="L272" i="62"/>
  <c r="I272" i="62"/>
  <c r="E272" i="62"/>
  <c r="F272" i="62"/>
  <c r="H272" i="62"/>
  <c r="J272" i="62"/>
  <c r="K272" i="62"/>
  <c r="M272" i="62"/>
  <c r="N272" i="62"/>
  <c r="D272" i="62"/>
  <c r="O272" i="62"/>
  <c r="G309" i="62"/>
  <c r="F309" i="62"/>
  <c r="N309" i="62"/>
  <c r="J309" i="62"/>
  <c r="M309" i="62"/>
  <c r="E309" i="62"/>
  <c r="K309" i="62"/>
  <c r="H309" i="62"/>
  <c r="I309" i="62"/>
  <c r="L309" i="62"/>
  <c r="O309" i="62"/>
  <c r="D309" i="62"/>
  <c r="C309" i="62"/>
  <c r="C373" i="62"/>
  <c r="I373" i="62"/>
  <c r="L373" i="62"/>
  <c r="N373" i="62"/>
  <c r="D373" i="62"/>
  <c r="E373" i="62"/>
  <c r="H373" i="62"/>
  <c r="J373" i="62"/>
  <c r="F373" i="62"/>
  <c r="G373" i="62"/>
  <c r="O373" i="62"/>
  <c r="M373" i="62"/>
  <c r="K373" i="62"/>
  <c r="E287" i="62"/>
  <c r="H287" i="62"/>
  <c r="C287" i="62"/>
  <c r="O287" i="62"/>
  <c r="L287" i="62"/>
  <c r="K287" i="62"/>
  <c r="D287" i="62"/>
  <c r="J287" i="62"/>
  <c r="G287" i="62"/>
  <c r="I287" i="62"/>
  <c r="N287" i="62"/>
  <c r="F287" i="62"/>
  <c r="M287" i="62"/>
  <c r="J305" i="62"/>
  <c r="K305" i="62"/>
  <c r="O305" i="62"/>
  <c r="L305" i="62"/>
  <c r="C305" i="62"/>
  <c r="H305" i="62"/>
  <c r="D305" i="62"/>
  <c r="E305" i="62"/>
  <c r="M305" i="62"/>
  <c r="F305" i="62"/>
  <c r="N305" i="62"/>
  <c r="G305" i="62"/>
  <c r="I305" i="62"/>
  <c r="C220" i="62"/>
  <c r="J220" i="62"/>
  <c r="G220" i="62"/>
  <c r="F220" i="62"/>
  <c r="H220" i="62"/>
  <c r="I220" i="62"/>
  <c r="M220" i="62"/>
  <c r="N220" i="62"/>
  <c r="O220" i="62"/>
  <c r="E220" i="62"/>
  <c r="L220" i="62"/>
  <c r="D220" i="62"/>
  <c r="K220" i="62"/>
  <c r="F271" i="62"/>
  <c r="J271" i="62"/>
  <c r="E271" i="62"/>
  <c r="I271" i="62"/>
  <c r="M271" i="62"/>
  <c r="N271" i="62"/>
  <c r="D271" i="62"/>
  <c r="G271" i="62"/>
  <c r="O271" i="62"/>
  <c r="C271" i="62"/>
  <c r="L271" i="62"/>
  <c r="K271" i="62"/>
  <c r="H271" i="62"/>
  <c r="C275" i="62"/>
  <c r="J275" i="62"/>
  <c r="M275" i="62"/>
  <c r="E275" i="62"/>
  <c r="I275" i="62"/>
  <c r="N275" i="62"/>
  <c r="F275" i="62"/>
  <c r="G275" i="62"/>
  <c r="O275" i="62"/>
  <c r="K275" i="62"/>
  <c r="D275" i="62"/>
  <c r="H275" i="62"/>
  <c r="L275" i="62"/>
  <c r="K239" i="62"/>
  <c r="D239" i="62"/>
  <c r="J239" i="62"/>
  <c r="C239" i="62"/>
  <c r="H239" i="62"/>
  <c r="L239" i="62"/>
  <c r="M239" i="62"/>
  <c r="E239" i="62"/>
  <c r="N239" i="62"/>
  <c r="F239" i="62"/>
  <c r="O239" i="62"/>
  <c r="I239" i="62"/>
  <c r="G239" i="62"/>
  <c r="M273" i="62"/>
  <c r="L273" i="62"/>
  <c r="C273" i="62"/>
  <c r="K273" i="62"/>
  <c r="J273" i="62"/>
  <c r="E273" i="62"/>
  <c r="D273" i="62"/>
  <c r="G273" i="62"/>
  <c r="I273" i="62"/>
  <c r="F273" i="62"/>
  <c r="N273" i="62"/>
  <c r="H273" i="62"/>
  <c r="O273" i="62"/>
  <c r="I230" i="62"/>
  <c r="F230" i="62"/>
  <c r="N230" i="62"/>
  <c r="H230" i="62"/>
  <c r="J230" i="62"/>
  <c r="K230" i="62"/>
  <c r="L230" i="62"/>
  <c r="C230" i="62"/>
  <c r="M230" i="62"/>
  <c r="D230" i="62"/>
  <c r="O230" i="62"/>
  <c r="E230" i="62"/>
  <c r="G230" i="62"/>
  <c r="C229" i="62"/>
  <c r="H229" i="62"/>
  <c r="E229" i="62"/>
  <c r="N229" i="62"/>
  <c r="M229" i="62"/>
  <c r="O229" i="62"/>
  <c r="D229" i="62"/>
  <c r="F229" i="62"/>
  <c r="G229" i="62"/>
  <c r="I229" i="62"/>
  <c r="L229" i="62"/>
  <c r="J229" i="62"/>
  <c r="K229" i="62"/>
  <c r="D304" i="62"/>
  <c r="J304" i="62"/>
  <c r="K304" i="62"/>
  <c r="C304" i="62"/>
  <c r="G304" i="62"/>
  <c r="I304" i="62"/>
  <c r="H304" i="62"/>
  <c r="N304" i="62"/>
  <c r="M304" i="62"/>
  <c r="O304" i="62"/>
  <c r="F304" i="62"/>
  <c r="E304" i="62"/>
  <c r="L304" i="62"/>
  <c r="H249" i="62"/>
  <c r="C249" i="62"/>
  <c r="M249" i="62"/>
  <c r="J249" i="62"/>
  <c r="K249" i="62"/>
  <c r="I249" i="62"/>
  <c r="L249" i="62"/>
  <c r="N249" i="62"/>
  <c r="D249" i="62"/>
  <c r="E249" i="62"/>
  <c r="F249" i="62"/>
  <c r="G249" i="62"/>
  <c r="O249" i="62"/>
  <c r="J254" i="62"/>
  <c r="C254" i="62"/>
  <c r="K254" i="62"/>
  <c r="D254" i="62"/>
  <c r="H254" i="62"/>
  <c r="E254" i="62"/>
  <c r="M254" i="62"/>
  <c r="F254" i="62"/>
  <c r="N254" i="62"/>
  <c r="G254" i="62"/>
  <c r="O254" i="62"/>
  <c r="I254" i="62"/>
  <c r="L254" i="62"/>
  <c r="H248" i="62"/>
  <c r="L248" i="62"/>
  <c r="I248" i="62"/>
  <c r="F248" i="62"/>
  <c r="C248" i="62"/>
  <c r="O248" i="62"/>
  <c r="K248" i="62"/>
  <c r="M248" i="62"/>
  <c r="N248" i="62"/>
  <c r="D248" i="62"/>
  <c r="E248" i="62"/>
  <c r="J248" i="62"/>
  <c r="G248" i="62"/>
  <c r="G182" i="62"/>
  <c r="F182" i="62"/>
  <c r="L182" i="62"/>
  <c r="H182" i="62"/>
  <c r="I182" i="62"/>
  <c r="C182" i="62"/>
  <c r="J182" i="62"/>
  <c r="K182" i="62"/>
  <c r="M182" i="62"/>
  <c r="N182" i="62"/>
  <c r="E182" i="62"/>
  <c r="D182" i="62"/>
  <c r="O182" i="62"/>
  <c r="C443" i="62"/>
  <c r="J443" i="62"/>
  <c r="E443" i="62"/>
  <c r="F443" i="62"/>
  <c r="N443" i="62"/>
  <c r="G443" i="62"/>
  <c r="H443" i="62"/>
  <c r="O443" i="62"/>
  <c r="M443" i="62"/>
  <c r="D443" i="62"/>
  <c r="I443" i="62"/>
  <c r="L443" i="62"/>
  <c r="K443" i="62"/>
  <c r="E396" i="62"/>
  <c r="J396" i="62"/>
  <c r="K396" i="62"/>
  <c r="G396" i="62"/>
  <c r="C396" i="62"/>
  <c r="D396" i="62"/>
  <c r="L396" i="62"/>
  <c r="F396" i="62"/>
  <c r="H396" i="62"/>
  <c r="N396" i="62"/>
  <c r="I396" i="62"/>
  <c r="O396" i="62"/>
  <c r="M396" i="62"/>
  <c r="D435" i="62"/>
  <c r="E435" i="62"/>
  <c r="O435" i="62"/>
  <c r="H435" i="62"/>
  <c r="F435" i="62"/>
  <c r="J435" i="62"/>
  <c r="L435" i="62"/>
  <c r="K435" i="62"/>
  <c r="G435" i="62"/>
  <c r="N435" i="62"/>
  <c r="I435" i="62"/>
  <c r="M435" i="62"/>
  <c r="C435" i="62"/>
  <c r="C437" i="62"/>
  <c r="N437" i="62"/>
  <c r="O437" i="62"/>
  <c r="I437" i="62"/>
  <c r="H437" i="62"/>
  <c r="F437" i="62"/>
  <c r="M437" i="62"/>
  <c r="D437" i="62"/>
  <c r="G437" i="62"/>
  <c r="L437" i="62"/>
  <c r="E437" i="62"/>
  <c r="K437" i="62"/>
  <c r="J437" i="62"/>
  <c r="D433" i="62"/>
  <c r="O433" i="62"/>
  <c r="G433" i="62"/>
  <c r="F433" i="62"/>
  <c r="J433" i="62"/>
  <c r="I433" i="62"/>
  <c r="H433" i="62"/>
  <c r="L433" i="62"/>
  <c r="E433" i="62"/>
  <c r="K433" i="62"/>
  <c r="M433" i="62"/>
  <c r="N433" i="62"/>
  <c r="C433" i="62"/>
  <c r="J424" i="62"/>
  <c r="E424" i="62"/>
  <c r="G424" i="62"/>
  <c r="H424" i="62"/>
  <c r="O424" i="62"/>
  <c r="C424" i="62"/>
  <c r="L424" i="62"/>
  <c r="K424" i="62"/>
  <c r="F424" i="62"/>
  <c r="D424" i="62"/>
  <c r="N424" i="62"/>
  <c r="M424" i="62"/>
  <c r="I424" i="62"/>
  <c r="G190" i="62"/>
  <c r="I190" i="62"/>
  <c r="J190" i="62"/>
  <c r="E190" i="62"/>
  <c r="K190" i="62"/>
  <c r="C190" i="62"/>
  <c r="L190" i="62"/>
  <c r="N190" i="62"/>
  <c r="D190" i="62"/>
  <c r="M190" i="62"/>
  <c r="F190" i="62"/>
  <c r="H190" i="62"/>
  <c r="O190" i="62"/>
  <c r="F406" i="62"/>
  <c r="I406" i="62"/>
  <c r="D406" i="62"/>
  <c r="O406" i="62"/>
  <c r="L406" i="62"/>
  <c r="E406" i="62"/>
  <c r="J406" i="62"/>
  <c r="G406" i="62"/>
  <c r="M406" i="62"/>
  <c r="C406" i="62"/>
  <c r="N406" i="62"/>
  <c r="K406" i="62"/>
  <c r="H406" i="62"/>
  <c r="I393" i="62"/>
  <c r="M393" i="62"/>
  <c r="J393" i="62"/>
  <c r="F393" i="62"/>
  <c r="N393" i="62"/>
  <c r="G393" i="62"/>
  <c r="L393" i="62"/>
  <c r="C393" i="62"/>
  <c r="K393" i="62"/>
  <c r="D393" i="62"/>
  <c r="E393" i="62"/>
  <c r="O393" i="62"/>
  <c r="H393" i="62"/>
  <c r="C440" i="62"/>
  <c r="O440" i="62"/>
  <c r="J440" i="62"/>
  <c r="D440" i="62"/>
  <c r="M440" i="62"/>
  <c r="L440" i="62"/>
  <c r="I440" i="62"/>
  <c r="G440" i="62"/>
  <c r="E440" i="62"/>
  <c r="H440" i="62"/>
  <c r="K440" i="62"/>
  <c r="F440" i="62"/>
  <c r="N440" i="62"/>
  <c r="C197" i="62"/>
  <c r="J197" i="62"/>
  <c r="H197" i="62"/>
  <c r="L197" i="62"/>
  <c r="O197" i="62"/>
  <c r="D197" i="62"/>
  <c r="I197" i="62"/>
  <c r="G197" i="62"/>
  <c r="M197" i="62"/>
  <c r="E197" i="62"/>
  <c r="K197" i="62"/>
  <c r="N197" i="62"/>
  <c r="F197" i="62"/>
  <c r="E404" i="62"/>
  <c r="G404" i="62"/>
  <c r="C404" i="62"/>
  <c r="L404" i="62"/>
  <c r="O404" i="62"/>
  <c r="D404" i="62"/>
  <c r="J404" i="62"/>
  <c r="F404" i="62"/>
  <c r="K404" i="62"/>
  <c r="H404" i="62"/>
  <c r="I404" i="62"/>
  <c r="N404" i="62"/>
  <c r="M404" i="62"/>
  <c r="E374" i="62"/>
  <c r="M374" i="62"/>
  <c r="H374" i="62"/>
  <c r="I374" i="62"/>
  <c r="K374" i="62"/>
  <c r="L374" i="62"/>
  <c r="C374" i="62"/>
  <c r="D374" i="62"/>
  <c r="N374" i="62"/>
  <c r="J374" i="62"/>
  <c r="G374" i="62"/>
  <c r="F374" i="62"/>
  <c r="O374" i="62"/>
  <c r="D387" i="62"/>
  <c r="L387" i="62"/>
  <c r="H387" i="62"/>
  <c r="I387" i="62"/>
  <c r="J387" i="62"/>
  <c r="K387" i="62"/>
  <c r="C387" i="62"/>
  <c r="M387" i="62"/>
  <c r="E387" i="62"/>
  <c r="N387" i="62"/>
  <c r="G387" i="62"/>
  <c r="O387" i="62"/>
  <c r="F387" i="62"/>
  <c r="H371" i="62"/>
  <c r="I371" i="62"/>
  <c r="J371" i="62"/>
  <c r="K371" i="62"/>
  <c r="C371" i="62"/>
  <c r="L371" i="62"/>
  <c r="D371" i="62"/>
  <c r="M371" i="62"/>
  <c r="E371" i="62"/>
  <c r="N371" i="62"/>
  <c r="F371" i="62"/>
  <c r="G371" i="62"/>
  <c r="O371" i="62"/>
  <c r="G301" i="62"/>
  <c r="J301" i="62"/>
  <c r="M301" i="62"/>
  <c r="N301" i="62"/>
  <c r="E301" i="62"/>
  <c r="F301" i="62"/>
  <c r="C301" i="62"/>
  <c r="L301" i="62"/>
  <c r="K301" i="62"/>
  <c r="D301" i="62"/>
  <c r="I301" i="62"/>
  <c r="H301" i="62"/>
  <c r="O301" i="62"/>
  <c r="G325" i="62"/>
  <c r="F325" i="62"/>
  <c r="N325" i="62"/>
  <c r="I325" i="62"/>
  <c r="J325" i="62"/>
  <c r="M325" i="62"/>
  <c r="E325" i="62"/>
  <c r="H325" i="62"/>
  <c r="O325" i="62"/>
  <c r="K325" i="62"/>
  <c r="C325" i="62"/>
  <c r="L325" i="62"/>
  <c r="D325" i="62"/>
  <c r="C372" i="62"/>
  <c r="L372" i="62"/>
  <c r="M372" i="62"/>
  <c r="K372" i="62"/>
  <c r="F372" i="62"/>
  <c r="N372" i="62"/>
  <c r="I372" i="62"/>
  <c r="G372" i="62"/>
  <c r="O372" i="62"/>
  <c r="J372" i="62"/>
  <c r="E372" i="62"/>
  <c r="D372" i="62"/>
  <c r="H372" i="62"/>
  <c r="F268" i="62"/>
  <c r="E268" i="62"/>
  <c r="L268" i="62"/>
  <c r="O268" i="62"/>
  <c r="I268" i="62"/>
  <c r="M268" i="62"/>
  <c r="D268" i="62"/>
  <c r="G268" i="62"/>
  <c r="H268" i="62"/>
  <c r="J268" i="62"/>
  <c r="K268" i="62"/>
  <c r="C268" i="62"/>
  <c r="N268" i="62"/>
  <c r="H291" i="62"/>
  <c r="E291" i="62"/>
  <c r="M291" i="62"/>
  <c r="D291" i="62"/>
  <c r="O291" i="62"/>
  <c r="I291" i="62"/>
  <c r="J291" i="62"/>
  <c r="K291" i="62"/>
  <c r="L291" i="62"/>
  <c r="N291" i="62"/>
  <c r="F291" i="62"/>
  <c r="G291" i="62"/>
  <c r="C291" i="62"/>
  <c r="G365" i="62"/>
  <c r="C365" i="62"/>
  <c r="F365" i="62"/>
  <c r="I365" i="62"/>
  <c r="J365" i="62"/>
  <c r="K365" i="62"/>
  <c r="N365" i="62"/>
  <c r="M365" i="62"/>
  <c r="D365" i="62"/>
  <c r="H365" i="62"/>
  <c r="L365" i="62"/>
  <c r="O365" i="62"/>
  <c r="E365" i="62"/>
  <c r="D233" i="62"/>
  <c r="K233" i="62"/>
  <c r="C233" i="62"/>
  <c r="H233" i="62"/>
  <c r="L233" i="62"/>
  <c r="F233" i="62"/>
  <c r="M233" i="62"/>
  <c r="G233" i="62"/>
  <c r="I233" i="62"/>
  <c r="N233" i="62"/>
  <c r="O233" i="62"/>
  <c r="J233" i="62"/>
  <c r="E233" i="62"/>
  <c r="D296" i="62"/>
  <c r="C296" i="62"/>
  <c r="J296" i="62"/>
  <c r="K296" i="62"/>
  <c r="F296" i="62"/>
  <c r="I296" i="62"/>
  <c r="H296" i="62"/>
  <c r="G296" i="62"/>
  <c r="N296" i="62"/>
  <c r="L296" i="62"/>
  <c r="M296" i="62"/>
  <c r="E296" i="62"/>
  <c r="O296" i="62"/>
  <c r="J335" i="62"/>
  <c r="G335" i="62"/>
  <c r="L335" i="62"/>
  <c r="N335" i="62"/>
  <c r="C335" i="62"/>
  <c r="O335" i="62"/>
  <c r="D335" i="62"/>
  <c r="F335" i="62"/>
  <c r="H335" i="62"/>
  <c r="I335" i="62"/>
  <c r="K335" i="62"/>
  <c r="M335" i="62"/>
  <c r="E335" i="62"/>
  <c r="C318" i="62"/>
  <c r="G318" i="62"/>
  <c r="D318" i="62"/>
  <c r="M318" i="62"/>
  <c r="O318" i="62"/>
  <c r="L318" i="62"/>
  <c r="N318" i="62"/>
  <c r="E318" i="62"/>
  <c r="F318" i="62"/>
  <c r="I318" i="62"/>
  <c r="J318" i="62"/>
  <c r="H318" i="62"/>
  <c r="K318" i="62"/>
  <c r="H269" i="62"/>
  <c r="E269" i="62"/>
  <c r="M269" i="62"/>
  <c r="J269" i="62"/>
  <c r="F269" i="62"/>
  <c r="L269" i="62"/>
  <c r="N269" i="62"/>
  <c r="O269" i="62"/>
  <c r="K269" i="62"/>
  <c r="C269" i="62"/>
  <c r="D269" i="62"/>
  <c r="G269" i="62"/>
  <c r="I269" i="62"/>
  <c r="C221" i="62"/>
  <c r="E221" i="62"/>
  <c r="N221" i="62"/>
  <c r="J221" i="62"/>
  <c r="D221" i="62"/>
  <c r="F221" i="62"/>
  <c r="G221" i="62"/>
  <c r="H221" i="62"/>
  <c r="I221" i="62"/>
  <c r="L221" i="62"/>
  <c r="M221" i="62"/>
  <c r="O221" i="62"/>
  <c r="K221" i="62"/>
  <c r="E267" i="62"/>
  <c r="H267" i="62"/>
  <c r="I267" i="62"/>
  <c r="L267" i="62"/>
  <c r="G267" i="62"/>
  <c r="O267" i="62"/>
  <c r="F267" i="62"/>
  <c r="C267" i="62"/>
  <c r="K267" i="62"/>
  <c r="N267" i="62"/>
  <c r="J267" i="62"/>
  <c r="D267" i="62"/>
  <c r="M267" i="62"/>
  <c r="C216" i="62"/>
  <c r="I216" i="62"/>
  <c r="L216" i="62"/>
  <c r="E216" i="62"/>
  <c r="M216" i="62"/>
  <c r="F216" i="62"/>
  <c r="N216" i="62"/>
  <c r="G216" i="62"/>
  <c r="O216" i="62"/>
  <c r="D216" i="62"/>
  <c r="J216" i="62"/>
  <c r="H216" i="62"/>
  <c r="K216" i="62"/>
  <c r="C226" i="62"/>
  <c r="O226" i="62"/>
  <c r="H226" i="62"/>
  <c r="G226" i="62"/>
  <c r="I226" i="62"/>
  <c r="J226" i="62"/>
  <c r="M226" i="62"/>
  <c r="E226" i="62"/>
  <c r="K226" i="62"/>
  <c r="N226" i="62"/>
  <c r="L226" i="62"/>
  <c r="F226" i="62"/>
  <c r="D226" i="62"/>
  <c r="J303" i="62"/>
  <c r="G303" i="62"/>
  <c r="O303" i="62"/>
  <c r="I303" i="62"/>
  <c r="H303" i="62"/>
  <c r="K303" i="62"/>
  <c r="L303" i="62"/>
  <c r="M303" i="62"/>
  <c r="C303" i="62"/>
  <c r="N303" i="62"/>
  <c r="D303" i="62"/>
  <c r="E303" i="62"/>
  <c r="F303" i="62"/>
  <c r="C243" i="62"/>
  <c r="F243" i="62"/>
  <c r="K243" i="62"/>
  <c r="O243" i="62"/>
  <c r="D243" i="62"/>
  <c r="E243" i="62"/>
  <c r="M243" i="62"/>
  <c r="G243" i="62"/>
  <c r="H243" i="62"/>
  <c r="L243" i="62"/>
  <c r="N243" i="62"/>
  <c r="J243" i="62"/>
  <c r="I243" i="62"/>
  <c r="E253" i="62"/>
  <c r="M253" i="62"/>
  <c r="J253" i="62"/>
  <c r="G253" i="62"/>
  <c r="C253" i="62"/>
  <c r="N253" i="62"/>
  <c r="L253" i="62"/>
  <c r="O253" i="62"/>
  <c r="I253" i="62"/>
  <c r="K253" i="62"/>
  <c r="D253" i="62"/>
  <c r="F253" i="62"/>
  <c r="H253" i="62"/>
  <c r="I247" i="62"/>
  <c r="M247" i="62"/>
  <c r="G247" i="62"/>
  <c r="D247" i="62"/>
  <c r="H247" i="62"/>
  <c r="K247" i="62"/>
  <c r="N247" i="62"/>
  <c r="J247" i="62"/>
  <c r="O247" i="62"/>
  <c r="E247" i="62"/>
  <c r="F247" i="62"/>
  <c r="L247" i="62"/>
  <c r="C247" i="62"/>
  <c r="F429" i="62"/>
  <c r="H429" i="62"/>
  <c r="J429" i="62"/>
  <c r="K429" i="62"/>
  <c r="N429" i="62"/>
  <c r="G429" i="62"/>
  <c r="M429" i="62"/>
  <c r="O429" i="62"/>
  <c r="L429" i="62"/>
  <c r="D429" i="62"/>
  <c r="I429" i="62"/>
  <c r="E429" i="62"/>
  <c r="C429" i="62"/>
  <c r="F186" i="62"/>
  <c r="E186" i="62"/>
  <c r="H186" i="62"/>
  <c r="I186" i="62"/>
  <c r="J186" i="62"/>
  <c r="M186" i="62"/>
  <c r="O186" i="62"/>
  <c r="N186" i="62"/>
  <c r="G186" i="62"/>
  <c r="L186" i="62"/>
  <c r="D186" i="62"/>
  <c r="K186" i="62"/>
  <c r="C186" i="62"/>
  <c r="K432" i="62"/>
  <c r="H432" i="62"/>
  <c r="O432" i="62"/>
  <c r="G432" i="62"/>
  <c r="J432" i="62"/>
  <c r="F432" i="62"/>
  <c r="N432" i="62"/>
  <c r="M432" i="62"/>
  <c r="D432" i="62"/>
  <c r="L432" i="62"/>
  <c r="I432" i="62"/>
  <c r="E432" i="62"/>
  <c r="C432" i="62"/>
  <c r="H389" i="62"/>
  <c r="E389" i="62"/>
  <c r="D389" i="62"/>
  <c r="M389" i="62"/>
  <c r="N389" i="62"/>
  <c r="K389" i="62"/>
  <c r="G389" i="62"/>
  <c r="J389" i="62"/>
  <c r="C389" i="62"/>
  <c r="O389" i="62"/>
  <c r="I389" i="62"/>
  <c r="F389" i="62"/>
  <c r="L389" i="62"/>
  <c r="D426" i="62"/>
  <c r="K426" i="62"/>
  <c r="I426" i="62"/>
  <c r="J426" i="62"/>
  <c r="M426" i="62"/>
  <c r="N426" i="62"/>
  <c r="E426" i="62"/>
  <c r="F426" i="62"/>
  <c r="C426" i="62"/>
  <c r="H426" i="62"/>
  <c r="O426" i="62"/>
  <c r="L426" i="62"/>
  <c r="G426" i="62"/>
  <c r="C378" i="62"/>
  <c r="F378" i="62"/>
  <c r="O378" i="62"/>
  <c r="E378" i="62"/>
  <c r="G378" i="62"/>
  <c r="H378" i="62"/>
  <c r="I378" i="62"/>
  <c r="J378" i="62"/>
  <c r="L378" i="62"/>
  <c r="M378" i="62"/>
  <c r="N378" i="62"/>
  <c r="D378" i="62"/>
  <c r="K378" i="62"/>
  <c r="D180" i="62"/>
  <c r="J180" i="62"/>
  <c r="K180" i="62"/>
  <c r="F180" i="62"/>
  <c r="M180" i="62"/>
  <c r="C180" i="62"/>
  <c r="N180" i="62"/>
  <c r="E180" i="62"/>
  <c r="O180" i="62"/>
  <c r="G180" i="62"/>
  <c r="H180" i="62"/>
  <c r="I180" i="62"/>
  <c r="L180" i="62"/>
  <c r="C400" i="62"/>
  <c r="J400" i="62"/>
  <c r="O400" i="62"/>
  <c r="D400" i="62"/>
  <c r="H400" i="62"/>
  <c r="N400" i="62"/>
  <c r="G400" i="62"/>
  <c r="M400" i="62"/>
  <c r="I400" i="62"/>
  <c r="K400" i="62"/>
  <c r="L400" i="62"/>
  <c r="E400" i="62"/>
  <c r="F400" i="62"/>
  <c r="G177" i="62"/>
  <c r="N177" i="62"/>
  <c r="J177" i="62"/>
  <c r="F177" i="62"/>
  <c r="I177" i="62"/>
  <c r="K177" i="62"/>
  <c r="O177" i="62"/>
  <c r="C177" i="62"/>
  <c r="H177" i="62"/>
  <c r="L177" i="62"/>
  <c r="D177" i="62"/>
  <c r="M177" i="62"/>
  <c r="E177" i="62"/>
  <c r="L438" i="62"/>
  <c r="G438" i="62"/>
  <c r="J438" i="62"/>
  <c r="M438" i="62"/>
  <c r="D438" i="62"/>
  <c r="E438" i="62"/>
  <c r="I438" i="62"/>
  <c r="O438" i="62"/>
  <c r="C438" i="62"/>
  <c r="F438" i="62"/>
  <c r="N438" i="62"/>
  <c r="H438" i="62"/>
  <c r="K438" i="62"/>
  <c r="I431" i="62"/>
  <c r="E431" i="62"/>
  <c r="N431" i="62"/>
  <c r="F431" i="62"/>
  <c r="O431" i="62"/>
  <c r="K431" i="62"/>
  <c r="L431" i="62"/>
  <c r="G431" i="62"/>
  <c r="H431" i="62"/>
  <c r="C431" i="62"/>
  <c r="J431" i="62"/>
  <c r="D431" i="62"/>
  <c r="M431" i="62"/>
  <c r="D402" i="62"/>
  <c r="C402" i="62"/>
  <c r="M402" i="62"/>
  <c r="I402" i="62"/>
  <c r="O402" i="62"/>
  <c r="E402" i="62"/>
  <c r="F402" i="62"/>
  <c r="J402" i="62"/>
  <c r="G402" i="62"/>
  <c r="K402" i="62"/>
  <c r="H402" i="62"/>
  <c r="N402" i="62"/>
  <c r="L402" i="62"/>
  <c r="D360" i="62"/>
  <c r="F360" i="62"/>
  <c r="H360" i="62"/>
  <c r="J360" i="62"/>
  <c r="K360" i="62"/>
  <c r="N360" i="62"/>
  <c r="O360" i="62"/>
  <c r="C360" i="62"/>
  <c r="G360" i="62"/>
  <c r="I360" i="62"/>
  <c r="L360" i="62"/>
  <c r="M360" i="62"/>
  <c r="E360" i="62"/>
  <c r="F379" i="62"/>
  <c r="N379" i="62"/>
  <c r="H379" i="62"/>
  <c r="I379" i="62"/>
  <c r="J379" i="62"/>
  <c r="K379" i="62"/>
  <c r="C379" i="62"/>
  <c r="L379" i="62"/>
  <c r="D379" i="62"/>
  <c r="M379" i="62"/>
  <c r="E379" i="62"/>
  <c r="G379" i="62"/>
  <c r="O379" i="62"/>
  <c r="D368" i="62"/>
  <c r="G368" i="62"/>
  <c r="K368" i="62"/>
  <c r="N368" i="62"/>
  <c r="O368" i="62"/>
  <c r="C368" i="62"/>
  <c r="F368" i="62"/>
  <c r="H368" i="62"/>
  <c r="I368" i="62"/>
  <c r="J368" i="62"/>
  <c r="E368" i="62"/>
  <c r="M368" i="62"/>
  <c r="L368" i="62"/>
  <c r="E283" i="62"/>
  <c r="N283" i="62"/>
  <c r="J283" i="62"/>
  <c r="C283" i="62"/>
  <c r="H283" i="62"/>
  <c r="I283" i="62"/>
  <c r="K283" i="62"/>
  <c r="M283" i="62"/>
  <c r="O283" i="62"/>
  <c r="F283" i="62"/>
  <c r="G283" i="62"/>
  <c r="D283" i="62"/>
  <c r="L283" i="62"/>
  <c r="G322" i="62"/>
  <c r="D322" i="62"/>
  <c r="M322" i="62"/>
  <c r="J322" i="62"/>
  <c r="C322" i="62"/>
  <c r="F322" i="62"/>
  <c r="H322" i="62"/>
  <c r="I322" i="62"/>
  <c r="K322" i="62"/>
  <c r="L322" i="62"/>
  <c r="E322" i="62"/>
  <c r="N322" i="62"/>
  <c r="O322" i="62"/>
  <c r="E367" i="62"/>
  <c r="L367" i="62"/>
  <c r="D367" i="62"/>
  <c r="G367" i="62"/>
  <c r="H367" i="62"/>
  <c r="I367" i="62"/>
  <c r="J367" i="62"/>
  <c r="O367" i="62"/>
  <c r="F367" i="62"/>
  <c r="M367" i="62"/>
  <c r="N367" i="62"/>
  <c r="K367" i="62"/>
  <c r="C367" i="62"/>
  <c r="C223" i="62"/>
  <c r="J223" i="62"/>
  <c r="K223" i="62"/>
  <c r="M223" i="62"/>
  <c r="F223" i="62"/>
  <c r="N223" i="62"/>
  <c r="D223" i="62"/>
  <c r="G223" i="62"/>
  <c r="O223" i="62"/>
  <c r="H223" i="62"/>
  <c r="I223" i="62"/>
  <c r="L223" i="62"/>
  <c r="E223" i="62"/>
  <c r="G285" i="62"/>
  <c r="F285" i="62"/>
  <c r="N285" i="62"/>
  <c r="E285" i="62"/>
  <c r="J285" i="62"/>
  <c r="M285" i="62"/>
  <c r="D285" i="62"/>
  <c r="L285" i="62"/>
  <c r="I285" i="62"/>
  <c r="H285" i="62"/>
  <c r="K285" i="62"/>
  <c r="C285" i="62"/>
  <c r="O285" i="62"/>
  <c r="H356" i="62"/>
  <c r="G356" i="62"/>
  <c r="J356" i="62"/>
  <c r="O356" i="62"/>
  <c r="C356" i="62"/>
  <c r="E356" i="62"/>
  <c r="D356" i="62"/>
  <c r="N356" i="62"/>
  <c r="F356" i="62"/>
  <c r="L356" i="62"/>
  <c r="I356" i="62"/>
  <c r="M356" i="62"/>
  <c r="K356" i="62"/>
  <c r="C228" i="62"/>
  <c r="F228" i="62"/>
  <c r="M228" i="62"/>
  <c r="E228" i="62"/>
  <c r="G228" i="62"/>
  <c r="H228" i="62"/>
  <c r="I228" i="62"/>
  <c r="J228" i="62"/>
  <c r="N228" i="62"/>
  <c r="O228" i="62"/>
  <c r="L228" i="62"/>
  <c r="D228" i="62"/>
  <c r="K228" i="62"/>
  <c r="C290" i="62"/>
  <c r="H290" i="62"/>
  <c r="E290" i="62"/>
  <c r="N290" i="62"/>
  <c r="J290" i="62"/>
  <c r="M290" i="62"/>
  <c r="O290" i="62"/>
  <c r="D290" i="62"/>
  <c r="F290" i="62"/>
  <c r="G290" i="62"/>
  <c r="I290" i="62"/>
  <c r="L290" i="62"/>
  <c r="K290" i="62"/>
  <c r="C298" i="62"/>
  <c r="D298" i="62"/>
  <c r="M298" i="62"/>
  <c r="I298" i="62"/>
  <c r="L298" i="62"/>
  <c r="O298" i="62"/>
  <c r="E298" i="62"/>
  <c r="F298" i="62"/>
  <c r="G298" i="62"/>
  <c r="H298" i="62"/>
  <c r="J298" i="62"/>
  <c r="N298" i="62"/>
  <c r="K298" i="62"/>
  <c r="G317" i="62"/>
  <c r="M317" i="62"/>
  <c r="H317" i="62"/>
  <c r="N317" i="62"/>
  <c r="E317" i="62"/>
  <c r="F317" i="62"/>
  <c r="I317" i="62"/>
  <c r="J317" i="62"/>
  <c r="K317" i="62"/>
  <c r="C317" i="62"/>
  <c r="O317" i="62"/>
  <c r="L317" i="62"/>
  <c r="D317" i="62"/>
  <c r="C242" i="62"/>
  <c r="J242" i="62"/>
  <c r="E242" i="62"/>
  <c r="D242" i="62"/>
  <c r="O242" i="62"/>
  <c r="M242" i="62"/>
  <c r="H242" i="62"/>
  <c r="K242" i="62"/>
  <c r="I242" i="62"/>
  <c r="G242" i="62"/>
  <c r="F242" i="62"/>
  <c r="N242" i="62"/>
  <c r="L242" i="62"/>
  <c r="E330" i="62"/>
  <c r="M330" i="62"/>
  <c r="J330" i="62"/>
  <c r="D330" i="62"/>
  <c r="O330" i="62"/>
  <c r="F330" i="62"/>
  <c r="G330" i="62"/>
  <c r="H330" i="62"/>
  <c r="I330" i="62"/>
  <c r="C330" i="62"/>
  <c r="K330" i="62"/>
  <c r="L330" i="62"/>
  <c r="N330" i="62"/>
  <c r="C251" i="62"/>
  <c r="O251" i="62"/>
  <c r="L251" i="62"/>
  <c r="M251" i="62"/>
  <c r="D251" i="62"/>
  <c r="N251" i="62"/>
  <c r="K251" i="62"/>
  <c r="F251" i="62"/>
  <c r="G251" i="62"/>
  <c r="H251" i="62"/>
  <c r="I251" i="62"/>
  <c r="E251" i="62"/>
  <c r="J251" i="62"/>
  <c r="C210" i="62"/>
  <c r="J210" i="62"/>
  <c r="G210" i="62"/>
  <c r="H210" i="62"/>
  <c r="I210" i="62"/>
  <c r="O210" i="62"/>
  <c r="N210" i="62"/>
  <c r="M210" i="62"/>
  <c r="L210" i="62"/>
  <c r="F210" i="62"/>
  <c r="E210" i="62"/>
  <c r="D210" i="62"/>
  <c r="K210" i="62"/>
  <c r="C224" i="62"/>
  <c r="J224" i="62"/>
  <c r="K224" i="62"/>
  <c r="E224" i="62"/>
  <c r="M224" i="62"/>
  <c r="I224" i="62"/>
  <c r="F224" i="62"/>
  <c r="N224" i="62"/>
  <c r="G224" i="62"/>
  <c r="O224" i="62"/>
  <c r="D224" i="62"/>
  <c r="H224" i="62"/>
  <c r="L224" i="62"/>
  <c r="E295" i="62"/>
  <c r="L295" i="62"/>
  <c r="I295" i="62"/>
  <c r="O295" i="62"/>
  <c r="C295" i="62"/>
  <c r="D295" i="62"/>
  <c r="G295" i="62"/>
  <c r="H295" i="62"/>
  <c r="J295" i="62"/>
  <c r="K295" i="62"/>
  <c r="F295" i="62"/>
  <c r="M295" i="62"/>
  <c r="N295" i="62"/>
  <c r="F237" i="62"/>
  <c r="M237" i="62"/>
  <c r="E237" i="62"/>
  <c r="N237" i="62"/>
  <c r="O237" i="62"/>
  <c r="G237" i="62"/>
  <c r="H237" i="62"/>
  <c r="C237" i="62"/>
  <c r="I237" i="62"/>
  <c r="K237" i="62"/>
  <c r="J237" i="62"/>
  <c r="D237" i="62"/>
  <c r="L237" i="62"/>
  <c r="D252" i="62"/>
  <c r="F252" i="62"/>
  <c r="N252" i="62"/>
  <c r="K252" i="62"/>
  <c r="M252" i="62"/>
  <c r="I252" i="62"/>
  <c r="C252" i="62"/>
  <c r="E252" i="62"/>
  <c r="G252" i="62"/>
  <c r="H252" i="62"/>
  <c r="J252" i="62"/>
  <c r="L252" i="62"/>
  <c r="O252" i="62"/>
  <c r="J246" i="62"/>
  <c r="G246" i="62"/>
  <c r="O246" i="62"/>
  <c r="I246" i="62"/>
  <c r="E246" i="62"/>
  <c r="D246" i="62"/>
  <c r="F246" i="62"/>
  <c r="H246" i="62"/>
  <c r="C246" i="62"/>
  <c r="K246" i="62"/>
  <c r="L246" i="62"/>
  <c r="M246" i="62"/>
  <c r="N246" i="62"/>
  <c r="N52" i="62"/>
  <c r="M52" i="62"/>
  <c r="L52" i="62"/>
  <c r="K52" i="62"/>
  <c r="J52" i="62"/>
  <c r="H52" i="62"/>
  <c r="I52" i="62"/>
  <c r="D52" i="62"/>
  <c r="E52" i="62"/>
  <c r="F52" i="62"/>
  <c r="G52" i="62"/>
  <c r="C52" i="62"/>
  <c r="N72" i="62"/>
  <c r="L72" i="62"/>
  <c r="K72" i="62"/>
  <c r="M72" i="62"/>
  <c r="I72" i="62"/>
  <c r="J72" i="62"/>
  <c r="G72" i="62"/>
  <c r="F72" i="62"/>
  <c r="D72" i="62"/>
  <c r="E72" i="62"/>
  <c r="C72" i="62"/>
  <c r="H72" i="62"/>
  <c r="M27" i="62"/>
  <c r="N27" i="62"/>
  <c r="L27" i="62"/>
  <c r="I27" i="62"/>
  <c r="G27" i="62"/>
  <c r="K27" i="62"/>
  <c r="H27" i="62"/>
  <c r="J27" i="62"/>
  <c r="F27" i="62"/>
  <c r="C27" i="62"/>
  <c r="E27" i="62"/>
  <c r="D27" i="62"/>
  <c r="M37" i="62"/>
  <c r="N37" i="62"/>
  <c r="I37" i="62"/>
  <c r="G37" i="62"/>
  <c r="E37" i="62"/>
  <c r="D37" i="62"/>
  <c r="H37" i="62"/>
  <c r="L37" i="62"/>
  <c r="K37" i="62"/>
  <c r="J37" i="62"/>
  <c r="F37" i="62"/>
  <c r="C37" i="62"/>
  <c r="L55" i="62"/>
  <c r="N55" i="62"/>
  <c r="H55" i="62"/>
  <c r="G55" i="62"/>
  <c r="F55" i="62"/>
  <c r="E55" i="62"/>
  <c r="I55" i="62"/>
  <c r="K55" i="62"/>
  <c r="J55" i="62"/>
  <c r="M55" i="62"/>
  <c r="C55" i="62"/>
  <c r="D55" i="62"/>
  <c r="M80" i="62"/>
  <c r="N80" i="62"/>
  <c r="J80" i="62"/>
  <c r="K80" i="62"/>
  <c r="H80" i="62"/>
  <c r="G80" i="62"/>
  <c r="I80" i="62"/>
  <c r="L80" i="62"/>
  <c r="F80" i="62"/>
  <c r="C80" i="62"/>
  <c r="E80" i="62"/>
  <c r="D80" i="62"/>
  <c r="K105" i="62"/>
  <c r="N105" i="62"/>
  <c r="H105" i="62"/>
  <c r="J105" i="62"/>
  <c r="M105" i="62"/>
  <c r="L105" i="62"/>
  <c r="G105" i="62"/>
  <c r="I105" i="62"/>
  <c r="E105" i="62"/>
  <c r="C105" i="62"/>
  <c r="F105" i="62"/>
  <c r="D105" i="62"/>
  <c r="N66" i="62"/>
  <c r="M66" i="62"/>
  <c r="L66" i="62"/>
  <c r="K66" i="62"/>
  <c r="J66" i="62"/>
  <c r="I66" i="62"/>
  <c r="H66" i="62"/>
  <c r="E66" i="62"/>
  <c r="F66" i="62"/>
  <c r="C66" i="62"/>
  <c r="G66" i="62"/>
  <c r="D66" i="62"/>
  <c r="O130" i="62"/>
  <c r="N130" i="62"/>
  <c r="M130" i="62"/>
  <c r="L130" i="62"/>
  <c r="K130" i="62"/>
  <c r="J130" i="62"/>
  <c r="I130" i="62"/>
  <c r="H130" i="62"/>
  <c r="E130" i="62"/>
  <c r="F130" i="62"/>
  <c r="C130" i="62"/>
  <c r="G130" i="62"/>
  <c r="D130" i="62"/>
  <c r="N19" i="62"/>
  <c r="M19" i="62"/>
  <c r="K19" i="62"/>
  <c r="I19" i="62"/>
  <c r="H19" i="62"/>
  <c r="L19" i="62"/>
  <c r="J19" i="62"/>
  <c r="G19" i="62"/>
  <c r="F19" i="62"/>
  <c r="C19" i="62"/>
  <c r="E19" i="62"/>
  <c r="D19" i="62"/>
  <c r="M70" i="62"/>
  <c r="N70" i="62"/>
  <c r="J70" i="62"/>
  <c r="H70" i="62"/>
  <c r="G70" i="62"/>
  <c r="F70" i="62"/>
  <c r="L70" i="62"/>
  <c r="K70" i="62"/>
  <c r="I70" i="62"/>
  <c r="D70" i="62"/>
  <c r="C70" i="62"/>
  <c r="E70" i="62"/>
  <c r="N8" i="62"/>
  <c r="K8" i="62"/>
  <c r="I8" i="62"/>
  <c r="F8" i="62"/>
  <c r="H8" i="62"/>
  <c r="L8" i="62"/>
  <c r="M8" i="62"/>
  <c r="J8" i="62"/>
  <c r="G8" i="62"/>
  <c r="E8" i="62"/>
  <c r="D8" i="62"/>
  <c r="C8" i="62"/>
  <c r="N58" i="62"/>
  <c r="M58" i="62"/>
  <c r="L58" i="62"/>
  <c r="K58" i="62"/>
  <c r="J58" i="62"/>
  <c r="I58" i="62"/>
  <c r="G58" i="62"/>
  <c r="F58" i="62"/>
  <c r="C58" i="62"/>
  <c r="H58" i="62"/>
  <c r="D58" i="62"/>
  <c r="E58" i="62"/>
  <c r="M91" i="62"/>
  <c r="N91" i="62"/>
  <c r="I91" i="62"/>
  <c r="J91" i="62"/>
  <c r="G91" i="62"/>
  <c r="H91" i="62"/>
  <c r="K91" i="62"/>
  <c r="E91" i="62"/>
  <c r="L91" i="62"/>
  <c r="F91" i="62"/>
  <c r="D91" i="62"/>
  <c r="C91" i="62"/>
  <c r="N124" i="62"/>
  <c r="M124" i="62"/>
  <c r="L124" i="62"/>
  <c r="H124" i="62"/>
  <c r="K124" i="62"/>
  <c r="J124" i="62"/>
  <c r="D124" i="62"/>
  <c r="I124" i="62"/>
  <c r="G124" i="62"/>
  <c r="E124" i="62"/>
  <c r="C124" i="62"/>
  <c r="F124" i="62"/>
  <c r="M101" i="62"/>
  <c r="L101" i="62"/>
  <c r="I101" i="62"/>
  <c r="N101" i="62"/>
  <c r="G101" i="62"/>
  <c r="J101" i="62"/>
  <c r="E101" i="62"/>
  <c r="D101" i="62"/>
  <c r="C101" i="62"/>
  <c r="K101" i="62"/>
  <c r="F101" i="62"/>
  <c r="H101" i="62"/>
  <c r="L142" i="62"/>
  <c r="O142" i="62"/>
  <c r="H142" i="62"/>
  <c r="G142" i="62"/>
  <c r="F142" i="62"/>
  <c r="M142" i="62"/>
  <c r="J142" i="62"/>
  <c r="N142" i="62"/>
  <c r="D142" i="62"/>
  <c r="C142" i="62"/>
  <c r="I142" i="62"/>
  <c r="K142" i="62"/>
  <c r="E142" i="62"/>
  <c r="L119" i="62"/>
  <c r="G119" i="62"/>
  <c r="F119" i="62"/>
  <c r="E119" i="62"/>
  <c r="I119" i="62"/>
  <c r="N119" i="62"/>
  <c r="M119" i="62"/>
  <c r="K119" i="62"/>
  <c r="J119" i="62"/>
  <c r="H119" i="62"/>
  <c r="C119" i="62"/>
  <c r="D119" i="62"/>
  <c r="M16" i="62"/>
  <c r="L16" i="62"/>
  <c r="J16" i="62"/>
  <c r="N16" i="62"/>
  <c r="K16" i="62"/>
  <c r="G16" i="62"/>
  <c r="F16" i="62"/>
  <c r="I16" i="62"/>
  <c r="H16" i="62"/>
  <c r="C16" i="62"/>
  <c r="E16" i="62"/>
  <c r="D16" i="62"/>
  <c r="O144" i="62"/>
  <c r="M144" i="62"/>
  <c r="N144" i="62"/>
  <c r="L144" i="62"/>
  <c r="J144" i="62"/>
  <c r="K144" i="62"/>
  <c r="G144" i="62"/>
  <c r="I144" i="62"/>
  <c r="F144" i="62"/>
  <c r="C144" i="62"/>
  <c r="H144" i="62"/>
  <c r="E144" i="62"/>
  <c r="D144" i="62"/>
  <c r="K41" i="62"/>
  <c r="L41" i="62"/>
  <c r="J41" i="62"/>
  <c r="N41" i="62"/>
  <c r="I41" i="62"/>
  <c r="H41" i="62"/>
  <c r="M41" i="62"/>
  <c r="G41" i="62"/>
  <c r="F41" i="62"/>
  <c r="E41" i="62"/>
  <c r="D41" i="62"/>
  <c r="C41" i="62"/>
  <c r="O170" i="62"/>
  <c r="N170" i="62"/>
  <c r="M170" i="62"/>
  <c r="L170" i="62"/>
  <c r="K170" i="62"/>
  <c r="J170" i="62"/>
  <c r="I170" i="62"/>
  <c r="H170" i="62"/>
  <c r="E170" i="62"/>
  <c r="F170" i="62"/>
  <c r="D170" i="62"/>
  <c r="G170" i="62"/>
  <c r="C170" i="62"/>
  <c r="N7" i="62"/>
  <c r="J7" i="62"/>
  <c r="H7" i="62"/>
  <c r="G7" i="62"/>
  <c r="F7" i="62"/>
  <c r="K7" i="62"/>
  <c r="M7" i="62"/>
  <c r="I7" i="62"/>
  <c r="L7" i="62"/>
  <c r="E7" i="62"/>
  <c r="D7" i="62"/>
  <c r="C7" i="62"/>
  <c r="L35" i="62"/>
  <c r="J35" i="62"/>
  <c r="N35" i="62"/>
  <c r="K35" i="62"/>
  <c r="F35" i="62"/>
  <c r="G35" i="62"/>
  <c r="I35" i="62"/>
  <c r="M35" i="62"/>
  <c r="E35" i="62"/>
  <c r="H35" i="62"/>
  <c r="D35" i="62"/>
  <c r="C35" i="62"/>
  <c r="L99" i="62"/>
  <c r="J99" i="62"/>
  <c r="M99" i="62"/>
  <c r="N99" i="62"/>
  <c r="K99" i="62"/>
  <c r="I99" i="62"/>
  <c r="F99" i="62"/>
  <c r="G99" i="62"/>
  <c r="C99" i="62"/>
  <c r="D99" i="62"/>
  <c r="E99" i="62"/>
  <c r="H99" i="62"/>
  <c r="O163" i="62"/>
  <c r="N163" i="62"/>
  <c r="L163" i="62"/>
  <c r="K163" i="62"/>
  <c r="F163" i="62"/>
  <c r="M163" i="62"/>
  <c r="H163" i="62"/>
  <c r="G163" i="62"/>
  <c r="I163" i="62"/>
  <c r="J163" i="62"/>
  <c r="D163" i="62"/>
  <c r="E163" i="62"/>
  <c r="C163" i="62"/>
  <c r="N68" i="62"/>
  <c r="M68" i="62"/>
  <c r="L68" i="62"/>
  <c r="G68" i="62"/>
  <c r="I68" i="62"/>
  <c r="D68" i="62"/>
  <c r="K68" i="62"/>
  <c r="J68" i="62"/>
  <c r="F68" i="62"/>
  <c r="H68" i="62"/>
  <c r="E68" i="62"/>
  <c r="C68" i="62"/>
  <c r="O132" i="62"/>
  <c r="N132" i="62"/>
  <c r="M132" i="62"/>
  <c r="L132" i="62"/>
  <c r="H132" i="62"/>
  <c r="G132" i="62"/>
  <c r="J132" i="62"/>
  <c r="D132" i="62"/>
  <c r="K132" i="62"/>
  <c r="I132" i="62"/>
  <c r="F132" i="62"/>
  <c r="C132" i="62"/>
  <c r="E132" i="62"/>
  <c r="L45" i="62"/>
  <c r="M45" i="62"/>
  <c r="I45" i="62"/>
  <c r="H45" i="62"/>
  <c r="F45" i="62"/>
  <c r="N45" i="62"/>
  <c r="D45" i="62"/>
  <c r="G45" i="62"/>
  <c r="E45" i="62"/>
  <c r="J45" i="62"/>
  <c r="K45" i="62"/>
  <c r="C45" i="62"/>
  <c r="L109" i="62"/>
  <c r="N109" i="62"/>
  <c r="I109" i="62"/>
  <c r="J109" i="62"/>
  <c r="M109" i="62"/>
  <c r="F109" i="62"/>
  <c r="D109" i="62"/>
  <c r="C109" i="62"/>
  <c r="G109" i="62"/>
  <c r="E109" i="62"/>
  <c r="K109" i="62"/>
  <c r="H109" i="62"/>
  <c r="N22" i="62"/>
  <c r="H22" i="62"/>
  <c r="G22" i="62"/>
  <c r="E22" i="62"/>
  <c r="D22" i="62"/>
  <c r="C22" i="62"/>
  <c r="M22" i="62"/>
  <c r="I22" i="62"/>
  <c r="K22" i="62"/>
  <c r="J22" i="62"/>
  <c r="L22" i="62"/>
  <c r="F22" i="62"/>
  <c r="L86" i="62"/>
  <c r="H86" i="62"/>
  <c r="G86" i="62"/>
  <c r="F86" i="62"/>
  <c r="M86" i="62"/>
  <c r="N86" i="62"/>
  <c r="I86" i="62"/>
  <c r="D86" i="62"/>
  <c r="C86" i="62"/>
  <c r="K86" i="62"/>
  <c r="J86" i="62"/>
  <c r="E86" i="62"/>
  <c r="H150" i="62"/>
  <c r="G150" i="62"/>
  <c r="F150" i="62"/>
  <c r="N150" i="62"/>
  <c r="O150" i="62"/>
  <c r="D150" i="62"/>
  <c r="C150" i="62"/>
  <c r="L150" i="62"/>
  <c r="J150" i="62"/>
  <c r="M150" i="62"/>
  <c r="K150" i="62"/>
  <c r="I150" i="62"/>
  <c r="E150" i="62"/>
  <c r="H63" i="62"/>
  <c r="G63" i="62"/>
  <c r="F63" i="62"/>
  <c r="E63" i="62"/>
  <c r="I63" i="62"/>
  <c r="M63" i="62"/>
  <c r="K63" i="62"/>
  <c r="J63" i="62"/>
  <c r="N63" i="62"/>
  <c r="L63" i="62"/>
  <c r="D63" i="62"/>
  <c r="C63" i="62"/>
  <c r="N127" i="62"/>
  <c r="G127" i="62"/>
  <c r="F127" i="62"/>
  <c r="E127" i="62"/>
  <c r="L127" i="62"/>
  <c r="I127" i="62"/>
  <c r="O127" i="62"/>
  <c r="K127" i="62"/>
  <c r="J127" i="62"/>
  <c r="M127" i="62"/>
  <c r="D127" i="62"/>
  <c r="C127" i="62"/>
  <c r="H127" i="62"/>
  <c r="L24" i="62"/>
  <c r="J24" i="62"/>
  <c r="I24" i="62"/>
  <c r="F24" i="62"/>
  <c r="K24" i="62"/>
  <c r="N24" i="62"/>
  <c r="M24" i="62"/>
  <c r="E24" i="62"/>
  <c r="D24" i="62"/>
  <c r="G24" i="62"/>
  <c r="C24" i="62"/>
  <c r="H24" i="62"/>
  <c r="L88" i="62"/>
  <c r="M88" i="62"/>
  <c r="N88" i="62"/>
  <c r="J88" i="62"/>
  <c r="F88" i="62"/>
  <c r="K88" i="62"/>
  <c r="H88" i="62"/>
  <c r="D88" i="62"/>
  <c r="C88" i="62"/>
  <c r="G88" i="62"/>
  <c r="E88" i="62"/>
  <c r="I88" i="62"/>
  <c r="L152" i="62"/>
  <c r="N152" i="62"/>
  <c r="J152" i="62"/>
  <c r="O152" i="62"/>
  <c r="H152" i="62"/>
  <c r="F152" i="62"/>
  <c r="M152" i="62"/>
  <c r="K152" i="62"/>
  <c r="I152" i="62"/>
  <c r="E152" i="62"/>
  <c r="D152" i="62"/>
  <c r="C152" i="62"/>
  <c r="G152" i="62"/>
  <c r="N49" i="62"/>
  <c r="K49" i="62"/>
  <c r="M49" i="62"/>
  <c r="L49" i="62"/>
  <c r="G49" i="62"/>
  <c r="I49" i="62"/>
  <c r="J49" i="62"/>
  <c r="C49" i="62"/>
  <c r="D49" i="62"/>
  <c r="E49" i="62"/>
  <c r="F49" i="62"/>
  <c r="H49" i="62"/>
  <c r="N113" i="62"/>
  <c r="K113" i="62"/>
  <c r="L113" i="62"/>
  <c r="H113" i="62"/>
  <c r="G113" i="62"/>
  <c r="I113" i="62"/>
  <c r="J113" i="62"/>
  <c r="M113" i="62"/>
  <c r="E113" i="62"/>
  <c r="D113" i="62"/>
  <c r="F113" i="62"/>
  <c r="C113" i="62"/>
  <c r="N10" i="62"/>
  <c r="M10" i="62"/>
  <c r="L10" i="62"/>
  <c r="K10" i="62"/>
  <c r="J10" i="62"/>
  <c r="I10" i="62"/>
  <c r="H10" i="62"/>
  <c r="E10" i="62"/>
  <c r="D10" i="62"/>
  <c r="C10" i="62"/>
  <c r="G10" i="62"/>
  <c r="F10" i="62"/>
  <c r="N74" i="62"/>
  <c r="M74" i="62"/>
  <c r="L74" i="62"/>
  <c r="K74" i="62"/>
  <c r="J74" i="62"/>
  <c r="I74" i="62"/>
  <c r="E74" i="62"/>
  <c r="F74" i="62"/>
  <c r="D74" i="62"/>
  <c r="G74" i="62"/>
  <c r="C74" i="62"/>
  <c r="H74" i="62"/>
  <c r="O138" i="62"/>
  <c r="N138" i="62"/>
  <c r="M138" i="62"/>
  <c r="L138" i="62"/>
  <c r="K138" i="62"/>
  <c r="J138" i="62"/>
  <c r="I138" i="62"/>
  <c r="H138" i="62"/>
  <c r="E138" i="62"/>
  <c r="F138" i="62"/>
  <c r="D138" i="62"/>
  <c r="G138" i="62"/>
  <c r="C138" i="62"/>
  <c r="N29" i="62"/>
  <c r="I29" i="62"/>
  <c r="L29" i="62"/>
  <c r="K29" i="62"/>
  <c r="H29" i="62"/>
  <c r="E29" i="62"/>
  <c r="D29" i="62"/>
  <c r="J29" i="62"/>
  <c r="M29" i="62"/>
  <c r="C29" i="62"/>
  <c r="F29" i="62"/>
  <c r="G29" i="62"/>
  <c r="N136" i="62"/>
  <c r="K136" i="62"/>
  <c r="O136" i="62"/>
  <c r="I136" i="62"/>
  <c r="J136" i="62"/>
  <c r="H136" i="62"/>
  <c r="M136" i="62"/>
  <c r="L136" i="62"/>
  <c r="G136" i="62"/>
  <c r="E136" i="62"/>
  <c r="F136" i="62"/>
  <c r="D136" i="62"/>
  <c r="C136" i="62"/>
  <c r="M6" i="62"/>
  <c r="N6" i="62"/>
  <c r="J6" i="62"/>
  <c r="H6" i="62"/>
  <c r="G6" i="62"/>
  <c r="K6" i="62"/>
  <c r="E6" i="62"/>
  <c r="D6" i="62"/>
  <c r="C6" i="62"/>
  <c r="F6" i="62"/>
  <c r="I6" i="62"/>
  <c r="L6" i="62"/>
  <c r="N12" i="62"/>
  <c r="M12" i="62"/>
  <c r="L12" i="62"/>
  <c r="K12" i="62"/>
  <c r="I12" i="62"/>
  <c r="E12" i="62"/>
  <c r="D12" i="62"/>
  <c r="J12" i="62"/>
  <c r="C12" i="62"/>
  <c r="G12" i="62"/>
  <c r="F12" i="62"/>
  <c r="H12" i="62"/>
  <c r="L43" i="62"/>
  <c r="J43" i="62"/>
  <c r="M43" i="62"/>
  <c r="K43" i="62"/>
  <c r="N43" i="62"/>
  <c r="F43" i="62"/>
  <c r="I43" i="62"/>
  <c r="H43" i="62"/>
  <c r="E43" i="62"/>
  <c r="D43" i="62"/>
  <c r="C43" i="62"/>
  <c r="G43" i="62"/>
  <c r="J107" i="62"/>
  <c r="N107" i="62"/>
  <c r="K107" i="62"/>
  <c r="M107" i="62"/>
  <c r="H107" i="62"/>
  <c r="F107" i="62"/>
  <c r="I107" i="62"/>
  <c r="L107" i="62"/>
  <c r="E107" i="62"/>
  <c r="C107" i="62"/>
  <c r="D107" i="62"/>
  <c r="G107" i="62"/>
  <c r="O172" i="62"/>
  <c r="N172" i="62"/>
  <c r="M172" i="62"/>
  <c r="L172" i="62"/>
  <c r="K172" i="62"/>
  <c r="I172" i="62"/>
  <c r="F172" i="62"/>
  <c r="D172" i="62"/>
  <c r="C172" i="62"/>
  <c r="J172" i="62"/>
  <c r="H172" i="62"/>
  <c r="G172" i="62"/>
  <c r="E172" i="62"/>
  <c r="N76" i="62"/>
  <c r="M76" i="62"/>
  <c r="L76" i="62"/>
  <c r="K76" i="62"/>
  <c r="H76" i="62"/>
  <c r="F76" i="62"/>
  <c r="D76" i="62"/>
  <c r="J76" i="62"/>
  <c r="I76" i="62"/>
  <c r="G76" i="62"/>
  <c r="C76" i="62"/>
  <c r="E76" i="62"/>
  <c r="O140" i="62"/>
  <c r="N140" i="62"/>
  <c r="M140" i="62"/>
  <c r="L140" i="62"/>
  <c r="H140" i="62"/>
  <c r="K140" i="62"/>
  <c r="F140" i="62"/>
  <c r="D140" i="62"/>
  <c r="I140" i="62"/>
  <c r="J140" i="62"/>
  <c r="G140" i="62"/>
  <c r="E140" i="62"/>
  <c r="C140" i="62"/>
  <c r="J53" i="62"/>
  <c r="N53" i="62"/>
  <c r="H53" i="62"/>
  <c r="K53" i="62"/>
  <c r="M53" i="62"/>
  <c r="I53" i="62"/>
  <c r="D53" i="62"/>
  <c r="F53" i="62"/>
  <c r="L53" i="62"/>
  <c r="G53" i="62"/>
  <c r="C53" i="62"/>
  <c r="E53" i="62"/>
  <c r="N117" i="62"/>
  <c r="J117" i="62"/>
  <c r="M117" i="62"/>
  <c r="L117" i="62"/>
  <c r="K117" i="62"/>
  <c r="D117" i="62"/>
  <c r="C117" i="62"/>
  <c r="F117" i="62"/>
  <c r="H117" i="62"/>
  <c r="G117" i="62"/>
  <c r="I117" i="62"/>
  <c r="E117" i="62"/>
  <c r="N30" i="62"/>
  <c r="L30" i="62"/>
  <c r="K30" i="62"/>
  <c r="H30" i="62"/>
  <c r="G30" i="62"/>
  <c r="M30" i="62"/>
  <c r="E30" i="62"/>
  <c r="D30" i="62"/>
  <c r="C30" i="62"/>
  <c r="J30" i="62"/>
  <c r="I30" i="62"/>
  <c r="F30" i="62"/>
  <c r="N94" i="62"/>
  <c r="K94" i="62"/>
  <c r="G94" i="62"/>
  <c r="F94" i="62"/>
  <c r="H94" i="62"/>
  <c r="D94" i="62"/>
  <c r="C94" i="62"/>
  <c r="L94" i="62"/>
  <c r="J94" i="62"/>
  <c r="I94" i="62"/>
  <c r="M94" i="62"/>
  <c r="E94" i="62"/>
  <c r="O158" i="62"/>
  <c r="N158" i="62"/>
  <c r="L158" i="62"/>
  <c r="K158" i="62"/>
  <c r="G158" i="62"/>
  <c r="F158" i="62"/>
  <c r="M158" i="62"/>
  <c r="H158" i="62"/>
  <c r="D158" i="62"/>
  <c r="C158" i="62"/>
  <c r="J158" i="62"/>
  <c r="I158" i="62"/>
  <c r="E158" i="62"/>
  <c r="N71" i="62"/>
  <c r="J71" i="62"/>
  <c r="H71" i="62"/>
  <c r="G71" i="62"/>
  <c r="F71" i="62"/>
  <c r="E71" i="62"/>
  <c r="L71" i="62"/>
  <c r="K71" i="62"/>
  <c r="M71" i="62"/>
  <c r="I71" i="62"/>
  <c r="D71" i="62"/>
  <c r="C71" i="62"/>
  <c r="N135" i="62"/>
  <c r="J135" i="62"/>
  <c r="G135" i="62"/>
  <c r="F135" i="62"/>
  <c r="E135" i="62"/>
  <c r="K135" i="62"/>
  <c r="O135" i="62"/>
  <c r="M135" i="62"/>
  <c r="L135" i="62"/>
  <c r="H135" i="62"/>
  <c r="I135" i="62"/>
  <c r="D135" i="62"/>
  <c r="C135" i="62"/>
  <c r="M32" i="62"/>
  <c r="J32" i="62"/>
  <c r="N32" i="62"/>
  <c r="K32" i="62"/>
  <c r="L32" i="62"/>
  <c r="H32" i="62"/>
  <c r="F32" i="62"/>
  <c r="G32" i="62"/>
  <c r="E32" i="62"/>
  <c r="D32" i="62"/>
  <c r="I32" i="62"/>
  <c r="C32" i="62"/>
  <c r="H96" i="62"/>
  <c r="L96" i="62"/>
  <c r="J96" i="62"/>
  <c r="N96" i="62"/>
  <c r="K96" i="62"/>
  <c r="I96" i="62"/>
  <c r="M96" i="62"/>
  <c r="F96" i="62"/>
  <c r="E96" i="62"/>
  <c r="G96" i="62"/>
  <c r="C96" i="62"/>
  <c r="D96" i="62"/>
  <c r="N160" i="62"/>
  <c r="M160" i="62"/>
  <c r="H160" i="62"/>
  <c r="O160" i="62"/>
  <c r="L160" i="62"/>
  <c r="K160" i="62"/>
  <c r="J160" i="62"/>
  <c r="I160" i="62"/>
  <c r="F160" i="62"/>
  <c r="G160" i="62"/>
  <c r="D160" i="62"/>
  <c r="E160" i="62"/>
  <c r="C160" i="62"/>
  <c r="M57" i="62"/>
  <c r="K57" i="62"/>
  <c r="L57" i="62"/>
  <c r="N57" i="62"/>
  <c r="I57" i="62"/>
  <c r="F57" i="62"/>
  <c r="E57" i="62"/>
  <c r="G57" i="62"/>
  <c r="J57" i="62"/>
  <c r="C57" i="62"/>
  <c r="H57" i="62"/>
  <c r="D57" i="62"/>
  <c r="M121" i="62"/>
  <c r="K121" i="62"/>
  <c r="H121" i="62"/>
  <c r="N121" i="62"/>
  <c r="F121" i="62"/>
  <c r="E121" i="62"/>
  <c r="G121" i="62"/>
  <c r="L121" i="62"/>
  <c r="J121" i="62"/>
  <c r="C121" i="62"/>
  <c r="I121" i="62"/>
  <c r="D121" i="62"/>
  <c r="N18" i="62"/>
  <c r="M18" i="62"/>
  <c r="L18" i="62"/>
  <c r="K18" i="62"/>
  <c r="J18" i="62"/>
  <c r="I18" i="62"/>
  <c r="H18" i="62"/>
  <c r="G18" i="62"/>
  <c r="F18" i="62"/>
  <c r="C18" i="62"/>
  <c r="E18" i="62"/>
  <c r="D18" i="62"/>
  <c r="N82" i="62"/>
  <c r="M82" i="62"/>
  <c r="L82" i="62"/>
  <c r="K82" i="62"/>
  <c r="J82" i="62"/>
  <c r="I82" i="62"/>
  <c r="E82" i="62"/>
  <c r="G82" i="62"/>
  <c r="H82" i="62"/>
  <c r="D82" i="62"/>
  <c r="C82" i="62"/>
  <c r="F82" i="62"/>
  <c r="O146" i="62"/>
  <c r="N146" i="62"/>
  <c r="M146" i="62"/>
  <c r="L146" i="62"/>
  <c r="K146" i="62"/>
  <c r="J146" i="62"/>
  <c r="I146" i="62"/>
  <c r="H146" i="62"/>
  <c r="E146" i="62"/>
  <c r="G146" i="62"/>
  <c r="D146" i="62"/>
  <c r="C146" i="62"/>
  <c r="F146" i="62"/>
  <c r="M5" i="62"/>
  <c r="N5" i="62"/>
  <c r="J5" i="62"/>
  <c r="L5" i="62"/>
  <c r="G5" i="62"/>
  <c r="E5" i="62"/>
  <c r="D5" i="62"/>
  <c r="K5" i="62"/>
  <c r="H5" i="62"/>
  <c r="F5" i="62"/>
  <c r="I5" i="62"/>
  <c r="C5" i="62"/>
  <c r="N93" i="62"/>
  <c r="I93" i="62"/>
  <c r="K93" i="62"/>
  <c r="M93" i="62"/>
  <c r="E93" i="62"/>
  <c r="D93" i="62"/>
  <c r="C93" i="62"/>
  <c r="L93" i="62"/>
  <c r="J93" i="62"/>
  <c r="H93" i="62"/>
  <c r="F93" i="62"/>
  <c r="G93" i="62"/>
  <c r="M47" i="62"/>
  <c r="I47" i="62"/>
  <c r="H47" i="62"/>
  <c r="G47" i="62"/>
  <c r="F47" i="62"/>
  <c r="E47" i="62"/>
  <c r="N47" i="62"/>
  <c r="L47" i="62"/>
  <c r="J47" i="62"/>
  <c r="K47" i="62"/>
  <c r="C47" i="62"/>
  <c r="D47" i="62"/>
  <c r="L161" i="62"/>
  <c r="K161" i="62"/>
  <c r="J161" i="62"/>
  <c r="O161" i="62"/>
  <c r="N161" i="62"/>
  <c r="M161" i="62"/>
  <c r="F161" i="62"/>
  <c r="I161" i="62"/>
  <c r="G161" i="62"/>
  <c r="D161" i="62"/>
  <c r="H161" i="62"/>
  <c r="E161" i="62"/>
  <c r="C161" i="62"/>
  <c r="N60" i="62"/>
  <c r="M60" i="62"/>
  <c r="L60" i="62"/>
  <c r="K60" i="62"/>
  <c r="J60" i="62"/>
  <c r="D60" i="62"/>
  <c r="G60" i="62"/>
  <c r="H60" i="62"/>
  <c r="I60" i="62"/>
  <c r="E60" i="62"/>
  <c r="C60" i="62"/>
  <c r="F60" i="62"/>
  <c r="L78" i="62"/>
  <c r="H78" i="62"/>
  <c r="G78" i="62"/>
  <c r="F78" i="62"/>
  <c r="J78" i="62"/>
  <c r="N78" i="62"/>
  <c r="D78" i="62"/>
  <c r="C78" i="62"/>
  <c r="M78" i="62"/>
  <c r="I78" i="62"/>
  <c r="K78" i="62"/>
  <c r="E78" i="62"/>
  <c r="L13" i="62"/>
  <c r="K13" i="62"/>
  <c r="I13" i="62"/>
  <c r="E13" i="62"/>
  <c r="D13" i="62"/>
  <c r="M13" i="62"/>
  <c r="G13" i="62"/>
  <c r="J13" i="62"/>
  <c r="N13" i="62"/>
  <c r="F13" i="62"/>
  <c r="H13" i="62"/>
  <c r="C13" i="62"/>
  <c r="N51" i="62"/>
  <c r="K51" i="62"/>
  <c r="J51" i="62"/>
  <c r="M51" i="62"/>
  <c r="H51" i="62"/>
  <c r="I51" i="62"/>
  <c r="L51" i="62"/>
  <c r="D51" i="62"/>
  <c r="E51" i="62"/>
  <c r="F51" i="62"/>
  <c r="G51" i="62"/>
  <c r="C51" i="62"/>
  <c r="N115" i="62"/>
  <c r="L115" i="62"/>
  <c r="H115" i="62"/>
  <c r="K115" i="62"/>
  <c r="M115" i="62"/>
  <c r="J115" i="62"/>
  <c r="I115" i="62"/>
  <c r="D115" i="62"/>
  <c r="F115" i="62"/>
  <c r="G115" i="62"/>
  <c r="C115" i="62"/>
  <c r="E115" i="62"/>
  <c r="N20" i="62"/>
  <c r="M20" i="62"/>
  <c r="L20" i="62"/>
  <c r="K20" i="62"/>
  <c r="I20" i="62"/>
  <c r="J20" i="62"/>
  <c r="E20" i="62"/>
  <c r="D20" i="62"/>
  <c r="H20" i="62"/>
  <c r="C20" i="62"/>
  <c r="G20" i="62"/>
  <c r="F20" i="62"/>
  <c r="N84" i="62"/>
  <c r="M84" i="62"/>
  <c r="L84" i="62"/>
  <c r="K84" i="62"/>
  <c r="I84" i="62"/>
  <c r="J84" i="62"/>
  <c r="E84" i="62"/>
  <c r="D84" i="62"/>
  <c r="H84" i="62"/>
  <c r="C84" i="62"/>
  <c r="F84" i="62"/>
  <c r="G84" i="62"/>
  <c r="O148" i="62"/>
  <c r="N148" i="62"/>
  <c r="M148" i="62"/>
  <c r="L148" i="62"/>
  <c r="K148" i="62"/>
  <c r="I148" i="62"/>
  <c r="E148" i="62"/>
  <c r="H148" i="62"/>
  <c r="D148" i="62"/>
  <c r="C148" i="62"/>
  <c r="J148" i="62"/>
  <c r="F148" i="62"/>
  <c r="G148" i="62"/>
  <c r="N61" i="62"/>
  <c r="M61" i="62"/>
  <c r="K61" i="62"/>
  <c r="J61" i="62"/>
  <c r="H61" i="62"/>
  <c r="L61" i="62"/>
  <c r="D61" i="62"/>
  <c r="C61" i="62"/>
  <c r="G61" i="62"/>
  <c r="I61" i="62"/>
  <c r="E61" i="62"/>
  <c r="F61" i="62"/>
  <c r="N125" i="62"/>
  <c r="K125" i="62"/>
  <c r="J125" i="62"/>
  <c r="O125" i="62"/>
  <c r="D125" i="62"/>
  <c r="C125" i="62"/>
  <c r="L125" i="62"/>
  <c r="I125" i="62"/>
  <c r="M125" i="62"/>
  <c r="H125" i="62"/>
  <c r="G125" i="62"/>
  <c r="E125" i="62"/>
  <c r="F125" i="62"/>
  <c r="M38" i="62"/>
  <c r="N38" i="62"/>
  <c r="I38" i="62"/>
  <c r="H38" i="62"/>
  <c r="G38" i="62"/>
  <c r="F38" i="62"/>
  <c r="K38" i="62"/>
  <c r="E38" i="62"/>
  <c r="D38" i="62"/>
  <c r="C38" i="62"/>
  <c r="L38" i="62"/>
  <c r="J38" i="62"/>
  <c r="M102" i="62"/>
  <c r="N102" i="62"/>
  <c r="L102" i="62"/>
  <c r="I102" i="62"/>
  <c r="G102" i="62"/>
  <c r="F102" i="62"/>
  <c r="K102" i="62"/>
  <c r="J102" i="62"/>
  <c r="E102" i="62"/>
  <c r="D102" i="62"/>
  <c r="C102" i="62"/>
  <c r="H102" i="62"/>
  <c r="O167" i="62"/>
  <c r="G167" i="62"/>
  <c r="F167" i="62"/>
  <c r="E167" i="62"/>
  <c r="K167" i="62"/>
  <c r="H167" i="62"/>
  <c r="N167" i="62"/>
  <c r="J167" i="62"/>
  <c r="M167" i="62"/>
  <c r="I167" i="62"/>
  <c r="L167" i="62"/>
  <c r="D167" i="62"/>
  <c r="C167" i="62"/>
  <c r="M79" i="62"/>
  <c r="H79" i="62"/>
  <c r="G79" i="62"/>
  <c r="F79" i="62"/>
  <c r="E79" i="62"/>
  <c r="J79" i="62"/>
  <c r="N79" i="62"/>
  <c r="L79" i="62"/>
  <c r="I79" i="62"/>
  <c r="K79" i="62"/>
  <c r="D79" i="62"/>
  <c r="C79" i="62"/>
  <c r="O143" i="62"/>
  <c r="M143" i="62"/>
  <c r="G143" i="62"/>
  <c r="F143" i="62"/>
  <c r="E143" i="62"/>
  <c r="L143" i="62"/>
  <c r="J143" i="62"/>
  <c r="N143" i="62"/>
  <c r="I143" i="62"/>
  <c r="K143" i="62"/>
  <c r="D143" i="62"/>
  <c r="C143" i="62"/>
  <c r="H143" i="62"/>
  <c r="N40" i="62"/>
  <c r="K40" i="62"/>
  <c r="L40" i="62"/>
  <c r="I40" i="62"/>
  <c r="H40" i="62"/>
  <c r="M40" i="62"/>
  <c r="J40" i="62"/>
  <c r="G40" i="62"/>
  <c r="E40" i="62"/>
  <c r="D40" i="62"/>
  <c r="C40" i="62"/>
  <c r="F40" i="62"/>
  <c r="N104" i="62"/>
  <c r="M104" i="62"/>
  <c r="K104" i="62"/>
  <c r="H104" i="62"/>
  <c r="L104" i="62"/>
  <c r="J104" i="62"/>
  <c r="G104" i="62"/>
  <c r="D104" i="62"/>
  <c r="I104" i="62"/>
  <c r="E104" i="62"/>
  <c r="C104" i="62"/>
  <c r="F104" i="62"/>
  <c r="O169" i="62"/>
  <c r="N169" i="62"/>
  <c r="K169" i="62"/>
  <c r="J169" i="62"/>
  <c r="H169" i="62"/>
  <c r="L169" i="62"/>
  <c r="M169" i="62"/>
  <c r="I169" i="62"/>
  <c r="G169" i="62"/>
  <c r="C169" i="62"/>
  <c r="E169" i="62"/>
  <c r="F169" i="62"/>
  <c r="D169" i="62"/>
  <c r="L65" i="62"/>
  <c r="K65" i="62"/>
  <c r="I65" i="62"/>
  <c r="N65" i="62"/>
  <c r="J65" i="62"/>
  <c r="H65" i="62"/>
  <c r="E65" i="62"/>
  <c r="F65" i="62"/>
  <c r="M65" i="62"/>
  <c r="D65" i="62"/>
  <c r="C65" i="62"/>
  <c r="G65" i="62"/>
  <c r="O129" i="62"/>
  <c r="L129" i="62"/>
  <c r="K129" i="62"/>
  <c r="I129" i="62"/>
  <c r="M129" i="62"/>
  <c r="N129" i="62"/>
  <c r="E129" i="62"/>
  <c r="F129" i="62"/>
  <c r="J129" i="62"/>
  <c r="D129" i="62"/>
  <c r="C129" i="62"/>
  <c r="H129" i="62"/>
  <c r="G129" i="62"/>
  <c r="N26" i="62"/>
  <c r="M26" i="62"/>
  <c r="L26" i="62"/>
  <c r="K26" i="62"/>
  <c r="J26" i="62"/>
  <c r="I26" i="62"/>
  <c r="F26" i="62"/>
  <c r="G26" i="62"/>
  <c r="D26" i="62"/>
  <c r="C26" i="62"/>
  <c r="H26" i="62"/>
  <c r="E26" i="62"/>
  <c r="N90" i="62"/>
  <c r="M90" i="62"/>
  <c r="L90" i="62"/>
  <c r="K90" i="62"/>
  <c r="J90" i="62"/>
  <c r="I90" i="62"/>
  <c r="H90" i="62"/>
  <c r="G90" i="62"/>
  <c r="F90" i="62"/>
  <c r="D90" i="62"/>
  <c r="C90" i="62"/>
  <c r="E90" i="62"/>
  <c r="O154" i="62"/>
  <c r="N154" i="62"/>
  <c r="M154" i="62"/>
  <c r="L154" i="62"/>
  <c r="K154" i="62"/>
  <c r="J154" i="62"/>
  <c r="I154" i="62"/>
  <c r="H154" i="62"/>
  <c r="G154" i="62"/>
  <c r="F154" i="62"/>
  <c r="E154" i="62"/>
  <c r="D154" i="62"/>
  <c r="C154" i="62"/>
  <c r="N83" i="62"/>
  <c r="K83" i="62"/>
  <c r="I83" i="62"/>
  <c r="L83" i="62"/>
  <c r="J83" i="62"/>
  <c r="E83" i="62"/>
  <c r="M83" i="62"/>
  <c r="G83" i="62"/>
  <c r="H83" i="62"/>
  <c r="D83" i="62"/>
  <c r="C83" i="62"/>
  <c r="F83" i="62"/>
  <c r="O157" i="62"/>
  <c r="N157" i="62"/>
  <c r="I157" i="62"/>
  <c r="L157" i="62"/>
  <c r="K157" i="62"/>
  <c r="J157" i="62"/>
  <c r="E157" i="62"/>
  <c r="D157" i="62"/>
  <c r="C157" i="62"/>
  <c r="M157" i="62"/>
  <c r="F157" i="62"/>
  <c r="G157" i="62"/>
  <c r="H157" i="62"/>
  <c r="M111" i="62"/>
  <c r="N111" i="62"/>
  <c r="I111" i="62"/>
  <c r="G111" i="62"/>
  <c r="F111" i="62"/>
  <c r="E111" i="62"/>
  <c r="K111" i="62"/>
  <c r="J111" i="62"/>
  <c r="L111" i="62"/>
  <c r="C111" i="62"/>
  <c r="H111" i="62"/>
  <c r="D111" i="62"/>
  <c r="N122" i="62"/>
  <c r="M122" i="62"/>
  <c r="L122" i="62"/>
  <c r="K122" i="62"/>
  <c r="J122" i="62"/>
  <c r="I122" i="62"/>
  <c r="H122" i="62"/>
  <c r="G122" i="62"/>
  <c r="F122" i="62"/>
  <c r="C122" i="62"/>
  <c r="E122" i="62"/>
  <c r="D122" i="62"/>
  <c r="O155" i="62"/>
  <c r="N155" i="62"/>
  <c r="M155" i="62"/>
  <c r="J155" i="62"/>
  <c r="L155" i="62"/>
  <c r="I155" i="62"/>
  <c r="G155" i="62"/>
  <c r="K155" i="62"/>
  <c r="E155" i="62"/>
  <c r="H155" i="62"/>
  <c r="C155" i="62"/>
  <c r="F155" i="62"/>
  <c r="D155" i="62"/>
  <c r="M165" i="62"/>
  <c r="O165" i="62"/>
  <c r="J165" i="62"/>
  <c r="I165" i="62"/>
  <c r="N165" i="62"/>
  <c r="L165" i="62"/>
  <c r="H165" i="62"/>
  <c r="G165" i="62"/>
  <c r="E165" i="62"/>
  <c r="D165" i="62"/>
  <c r="C165" i="62"/>
  <c r="K165" i="62"/>
  <c r="F165" i="62"/>
  <c r="L14" i="62"/>
  <c r="H14" i="62"/>
  <c r="G14" i="62"/>
  <c r="M14" i="62"/>
  <c r="J14" i="62"/>
  <c r="N14" i="62"/>
  <c r="E14" i="62"/>
  <c r="D14" i="62"/>
  <c r="C14" i="62"/>
  <c r="F14" i="62"/>
  <c r="K14" i="62"/>
  <c r="I14" i="62"/>
  <c r="M59" i="62"/>
  <c r="N59" i="62"/>
  <c r="L59" i="62"/>
  <c r="G59" i="62"/>
  <c r="J59" i="62"/>
  <c r="K59" i="62"/>
  <c r="I59" i="62"/>
  <c r="F59" i="62"/>
  <c r="H59" i="62"/>
  <c r="D59" i="62"/>
  <c r="E59" i="62"/>
  <c r="C59" i="62"/>
  <c r="M123" i="62"/>
  <c r="N123" i="62"/>
  <c r="H123" i="62"/>
  <c r="G123" i="62"/>
  <c r="L123" i="62"/>
  <c r="I123" i="62"/>
  <c r="K123" i="62"/>
  <c r="J123" i="62"/>
  <c r="F123" i="62"/>
  <c r="E123" i="62"/>
  <c r="D123" i="62"/>
  <c r="C123" i="62"/>
  <c r="N28" i="62"/>
  <c r="M28" i="62"/>
  <c r="L28" i="62"/>
  <c r="I28" i="62"/>
  <c r="K28" i="62"/>
  <c r="H28" i="62"/>
  <c r="E28" i="62"/>
  <c r="D28" i="62"/>
  <c r="J28" i="62"/>
  <c r="G28" i="62"/>
  <c r="C28" i="62"/>
  <c r="F28" i="62"/>
  <c r="N92" i="62"/>
  <c r="M92" i="62"/>
  <c r="L92" i="62"/>
  <c r="I92" i="62"/>
  <c r="K92" i="62"/>
  <c r="H92" i="62"/>
  <c r="E92" i="62"/>
  <c r="D92" i="62"/>
  <c r="J92" i="62"/>
  <c r="G92" i="62"/>
  <c r="F92" i="62"/>
  <c r="C92" i="62"/>
  <c r="O156" i="62"/>
  <c r="N156" i="62"/>
  <c r="M156" i="62"/>
  <c r="L156" i="62"/>
  <c r="J156" i="62"/>
  <c r="I156" i="62"/>
  <c r="K156" i="62"/>
  <c r="E156" i="62"/>
  <c r="D156" i="62"/>
  <c r="C156" i="62"/>
  <c r="G156" i="62"/>
  <c r="F156" i="62"/>
  <c r="H156" i="62"/>
  <c r="M69" i="62"/>
  <c r="N69" i="62"/>
  <c r="J69" i="62"/>
  <c r="H69" i="62"/>
  <c r="G69" i="62"/>
  <c r="I69" i="62"/>
  <c r="D69" i="62"/>
  <c r="C69" i="62"/>
  <c r="L69" i="62"/>
  <c r="K69" i="62"/>
  <c r="F69" i="62"/>
  <c r="E69" i="62"/>
  <c r="O133" i="62"/>
  <c r="M133" i="62"/>
  <c r="N133" i="62"/>
  <c r="H133" i="62"/>
  <c r="J133" i="62"/>
  <c r="L133" i="62"/>
  <c r="G133" i="62"/>
  <c r="D133" i="62"/>
  <c r="C133" i="62"/>
  <c r="K133" i="62"/>
  <c r="I133" i="62"/>
  <c r="F133" i="62"/>
  <c r="E133" i="62"/>
  <c r="L46" i="62"/>
  <c r="M46" i="62"/>
  <c r="I46" i="62"/>
  <c r="H46" i="62"/>
  <c r="G46" i="62"/>
  <c r="F46" i="62"/>
  <c r="N46" i="62"/>
  <c r="D46" i="62"/>
  <c r="C46" i="62"/>
  <c r="E46" i="62"/>
  <c r="J46" i="62"/>
  <c r="K46" i="62"/>
  <c r="L110" i="62"/>
  <c r="N110" i="62"/>
  <c r="I110" i="62"/>
  <c r="G110" i="62"/>
  <c r="F110" i="62"/>
  <c r="D110" i="62"/>
  <c r="C110" i="62"/>
  <c r="E110" i="62"/>
  <c r="K110" i="62"/>
  <c r="J110" i="62"/>
  <c r="M110" i="62"/>
  <c r="H110" i="62"/>
  <c r="L23" i="62"/>
  <c r="H23" i="62"/>
  <c r="G23" i="62"/>
  <c r="F23" i="62"/>
  <c r="J23" i="62"/>
  <c r="N23" i="62"/>
  <c r="M23" i="62"/>
  <c r="I23" i="62"/>
  <c r="K23" i="62"/>
  <c r="E23" i="62"/>
  <c r="D23" i="62"/>
  <c r="C23" i="62"/>
  <c r="L87" i="62"/>
  <c r="H87" i="62"/>
  <c r="G87" i="62"/>
  <c r="F87" i="62"/>
  <c r="E87" i="62"/>
  <c r="M87" i="62"/>
  <c r="N87" i="62"/>
  <c r="J87" i="62"/>
  <c r="K87" i="62"/>
  <c r="I87" i="62"/>
  <c r="D87" i="62"/>
  <c r="C87" i="62"/>
  <c r="L151" i="62"/>
  <c r="H151" i="62"/>
  <c r="G151" i="62"/>
  <c r="F151" i="62"/>
  <c r="E151" i="62"/>
  <c r="N151" i="62"/>
  <c r="O151" i="62"/>
  <c r="J151" i="62"/>
  <c r="M151" i="62"/>
  <c r="K151" i="62"/>
  <c r="I151" i="62"/>
  <c r="D151" i="62"/>
  <c r="C151" i="62"/>
  <c r="M48" i="62"/>
  <c r="N48" i="62"/>
  <c r="K48" i="62"/>
  <c r="J48" i="62"/>
  <c r="E48" i="62"/>
  <c r="L48" i="62"/>
  <c r="G48" i="62"/>
  <c r="F48" i="62"/>
  <c r="C48" i="62"/>
  <c r="D48" i="62"/>
  <c r="I48" i="62"/>
  <c r="H48" i="62"/>
  <c r="M112" i="62"/>
  <c r="N112" i="62"/>
  <c r="L112" i="62"/>
  <c r="K112" i="62"/>
  <c r="H112" i="62"/>
  <c r="E112" i="62"/>
  <c r="G112" i="62"/>
  <c r="I112" i="62"/>
  <c r="J112" i="62"/>
  <c r="F112" i="62"/>
  <c r="C112" i="62"/>
  <c r="D112" i="62"/>
  <c r="K9" i="62"/>
  <c r="I9" i="62"/>
  <c r="N9" i="62"/>
  <c r="H9" i="62"/>
  <c r="L9" i="62"/>
  <c r="M9" i="62"/>
  <c r="J9" i="62"/>
  <c r="E9" i="62"/>
  <c r="D9" i="62"/>
  <c r="C9" i="62"/>
  <c r="G9" i="62"/>
  <c r="F9" i="62"/>
  <c r="K73" i="62"/>
  <c r="N73" i="62"/>
  <c r="M73" i="62"/>
  <c r="I73" i="62"/>
  <c r="L73" i="62"/>
  <c r="E73" i="62"/>
  <c r="J73" i="62"/>
  <c r="F73" i="62"/>
  <c r="D73" i="62"/>
  <c r="G73" i="62"/>
  <c r="C73" i="62"/>
  <c r="H73" i="62"/>
  <c r="K137" i="62"/>
  <c r="N137" i="62"/>
  <c r="O137" i="62"/>
  <c r="I137" i="62"/>
  <c r="M137" i="62"/>
  <c r="J137" i="62"/>
  <c r="E137" i="62"/>
  <c r="L137" i="62"/>
  <c r="H137" i="62"/>
  <c r="F137" i="62"/>
  <c r="D137" i="62"/>
  <c r="G137" i="62"/>
  <c r="C137" i="62"/>
  <c r="N34" i="62"/>
  <c r="M34" i="62"/>
  <c r="L34" i="62"/>
  <c r="K34" i="62"/>
  <c r="J34" i="62"/>
  <c r="I34" i="62"/>
  <c r="F34" i="62"/>
  <c r="G34" i="62"/>
  <c r="E34" i="62"/>
  <c r="H34" i="62"/>
  <c r="D34" i="62"/>
  <c r="C34" i="62"/>
  <c r="N98" i="62"/>
  <c r="M98" i="62"/>
  <c r="L98" i="62"/>
  <c r="K98" i="62"/>
  <c r="J98" i="62"/>
  <c r="I98" i="62"/>
  <c r="H98" i="62"/>
  <c r="F98" i="62"/>
  <c r="G98" i="62"/>
  <c r="C98" i="62"/>
  <c r="D98" i="62"/>
  <c r="E98" i="62"/>
  <c r="O162" i="62"/>
  <c r="N162" i="62"/>
  <c r="M162" i="62"/>
  <c r="L162" i="62"/>
  <c r="K162" i="62"/>
  <c r="J162" i="62"/>
  <c r="I162" i="62"/>
  <c r="H162" i="62"/>
  <c r="F162" i="62"/>
  <c r="G162" i="62"/>
  <c r="D162" i="62"/>
  <c r="E162" i="62"/>
  <c r="C162" i="62"/>
  <c r="N116" i="62"/>
  <c r="M116" i="62"/>
  <c r="L116" i="62"/>
  <c r="K116" i="62"/>
  <c r="J116" i="62"/>
  <c r="D116" i="62"/>
  <c r="I116" i="62"/>
  <c r="F116" i="62"/>
  <c r="H116" i="62"/>
  <c r="G116" i="62"/>
  <c r="C116" i="62"/>
  <c r="E116" i="62"/>
  <c r="L33" i="62"/>
  <c r="K33" i="62"/>
  <c r="J33" i="62"/>
  <c r="N33" i="62"/>
  <c r="M33" i="62"/>
  <c r="F33" i="62"/>
  <c r="I33" i="62"/>
  <c r="G33" i="62"/>
  <c r="E33" i="62"/>
  <c r="H33" i="62"/>
  <c r="D33" i="62"/>
  <c r="C33" i="62"/>
  <c r="M15" i="62"/>
  <c r="H15" i="62"/>
  <c r="G15" i="62"/>
  <c r="F15" i="62"/>
  <c r="L15" i="62"/>
  <c r="J15" i="62"/>
  <c r="N15" i="62"/>
  <c r="K15" i="62"/>
  <c r="D15" i="62"/>
  <c r="I15" i="62"/>
  <c r="C15" i="62"/>
  <c r="E15" i="62"/>
  <c r="L67" i="62"/>
  <c r="N67" i="62"/>
  <c r="F67" i="62"/>
  <c r="G67" i="62"/>
  <c r="M67" i="62"/>
  <c r="I67" i="62"/>
  <c r="K67" i="62"/>
  <c r="J67" i="62"/>
  <c r="H67" i="62"/>
  <c r="E67" i="62"/>
  <c r="C67" i="62"/>
  <c r="D67" i="62"/>
  <c r="O131" i="62"/>
  <c r="L131" i="62"/>
  <c r="M131" i="62"/>
  <c r="N131" i="62"/>
  <c r="H131" i="62"/>
  <c r="I131" i="62"/>
  <c r="F131" i="62"/>
  <c r="G131" i="62"/>
  <c r="J131" i="62"/>
  <c r="K131" i="62"/>
  <c r="C131" i="62"/>
  <c r="E131" i="62"/>
  <c r="D131" i="62"/>
  <c r="N36" i="62"/>
  <c r="M36" i="62"/>
  <c r="L36" i="62"/>
  <c r="I36" i="62"/>
  <c r="J36" i="62"/>
  <c r="G36" i="62"/>
  <c r="E36" i="62"/>
  <c r="D36" i="62"/>
  <c r="K36" i="62"/>
  <c r="F36" i="62"/>
  <c r="H36" i="62"/>
  <c r="C36" i="62"/>
  <c r="N100" i="62"/>
  <c r="M100" i="62"/>
  <c r="L100" i="62"/>
  <c r="I100" i="62"/>
  <c r="J100" i="62"/>
  <c r="G100" i="62"/>
  <c r="E100" i="62"/>
  <c r="D100" i="62"/>
  <c r="K100" i="62"/>
  <c r="F100" i="62"/>
  <c r="C100" i="62"/>
  <c r="H100" i="62"/>
  <c r="O164" i="62"/>
  <c r="N164" i="62"/>
  <c r="M164" i="62"/>
  <c r="L164" i="62"/>
  <c r="J164" i="62"/>
  <c r="I164" i="62"/>
  <c r="H164" i="62"/>
  <c r="G164" i="62"/>
  <c r="E164" i="62"/>
  <c r="D164" i="62"/>
  <c r="C164" i="62"/>
  <c r="K164" i="62"/>
  <c r="F164" i="62"/>
  <c r="L77" i="62"/>
  <c r="H77" i="62"/>
  <c r="N77" i="62"/>
  <c r="M77" i="62"/>
  <c r="K77" i="62"/>
  <c r="F77" i="62"/>
  <c r="D77" i="62"/>
  <c r="C77" i="62"/>
  <c r="J77" i="62"/>
  <c r="G77" i="62"/>
  <c r="I77" i="62"/>
  <c r="E77" i="62"/>
  <c r="L141" i="62"/>
  <c r="O141" i="62"/>
  <c r="H141" i="62"/>
  <c r="N141" i="62"/>
  <c r="K141" i="62"/>
  <c r="F141" i="62"/>
  <c r="D141" i="62"/>
  <c r="C141" i="62"/>
  <c r="I141" i="62"/>
  <c r="G141" i="62"/>
  <c r="M141" i="62"/>
  <c r="J141" i="62"/>
  <c r="E141" i="62"/>
  <c r="N54" i="62"/>
  <c r="H54" i="62"/>
  <c r="G54" i="62"/>
  <c r="F54" i="62"/>
  <c r="L54" i="62"/>
  <c r="I54" i="62"/>
  <c r="D54" i="62"/>
  <c r="C54" i="62"/>
  <c r="K54" i="62"/>
  <c r="E54" i="62"/>
  <c r="J54" i="62"/>
  <c r="M54" i="62"/>
  <c r="M118" i="62"/>
  <c r="G118" i="62"/>
  <c r="F118" i="62"/>
  <c r="I118" i="62"/>
  <c r="N118" i="62"/>
  <c r="J118" i="62"/>
  <c r="D118" i="62"/>
  <c r="C118" i="62"/>
  <c r="K118" i="62"/>
  <c r="H118" i="62"/>
  <c r="E118" i="62"/>
  <c r="L118" i="62"/>
  <c r="H31" i="62"/>
  <c r="G31" i="62"/>
  <c r="F31" i="62"/>
  <c r="M31" i="62"/>
  <c r="N31" i="62"/>
  <c r="L31" i="62"/>
  <c r="K31" i="62"/>
  <c r="J31" i="62"/>
  <c r="C31" i="62"/>
  <c r="E31" i="62"/>
  <c r="D31" i="62"/>
  <c r="I31" i="62"/>
  <c r="N95" i="62"/>
  <c r="G95" i="62"/>
  <c r="F95" i="62"/>
  <c r="E95" i="62"/>
  <c r="H95" i="62"/>
  <c r="K95" i="62"/>
  <c r="L95" i="62"/>
  <c r="J95" i="62"/>
  <c r="I95" i="62"/>
  <c r="M95" i="62"/>
  <c r="C95" i="62"/>
  <c r="D95" i="62"/>
  <c r="N159" i="62"/>
  <c r="O159" i="62"/>
  <c r="G159" i="62"/>
  <c r="F159" i="62"/>
  <c r="E159" i="62"/>
  <c r="M159" i="62"/>
  <c r="H159" i="62"/>
  <c r="L159" i="62"/>
  <c r="K159" i="62"/>
  <c r="J159" i="62"/>
  <c r="I159" i="62"/>
  <c r="D159" i="62"/>
  <c r="C159" i="62"/>
  <c r="L56" i="62"/>
  <c r="I56" i="62"/>
  <c r="M56" i="62"/>
  <c r="N56" i="62"/>
  <c r="F56" i="62"/>
  <c r="E56" i="62"/>
  <c r="J56" i="62"/>
  <c r="K56" i="62"/>
  <c r="H56" i="62"/>
  <c r="G56" i="62"/>
  <c r="C56" i="62"/>
  <c r="D56" i="62"/>
  <c r="L120" i="62"/>
  <c r="I120" i="62"/>
  <c r="N120" i="62"/>
  <c r="J120" i="62"/>
  <c r="H120" i="62"/>
  <c r="F120" i="62"/>
  <c r="E120" i="62"/>
  <c r="M120" i="62"/>
  <c r="K120" i="62"/>
  <c r="G120" i="62"/>
  <c r="C120" i="62"/>
  <c r="D120" i="62"/>
  <c r="N17" i="62"/>
  <c r="K17" i="62"/>
  <c r="M17" i="62"/>
  <c r="I17" i="62"/>
  <c r="L17" i="62"/>
  <c r="G17" i="62"/>
  <c r="F17" i="62"/>
  <c r="J17" i="62"/>
  <c r="H17" i="62"/>
  <c r="C17" i="62"/>
  <c r="E17" i="62"/>
  <c r="D17" i="62"/>
  <c r="N81" i="62"/>
  <c r="K81" i="62"/>
  <c r="I81" i="62"/>
  <c r="J81" i="62"/>
  <c r="M81" i="62"/>
  <c r="G81" i="62"/>
  <c r="L81" i="62"/>
  <c r="H81" i="62"/>
  <c r="F81" i="62"/>
  <c r="E81" i="62"/>
  <c r="D81" i="62"/>
  <c r="C81" i="62"/>
  <c r="N145" i="62"/>
  <c r="K145" i="62"/>
  <c r="J145" i="62"/>
  <c r="O145" i="62"/>
  <c r="M145" i="62"/>
  <c r="I145" i="62"/>
  <c r="L145" i="62"/>
  <c r="G145" i="62"/>
  <c r="F145" i="62"/>
  <c r="H145" i="62"/>
  <c r="E145" i="62"/>
  <c r="D145" i="62"/>
  <c r="C145" i="62"/>
  <c r="N42" i="62"/>
  <c r="M42" i="62"/>
  <c r="L42" i="62"/>
  <c r="K42" i="62"/>
  <c r="J42" i="62"/>
  <c r="I42" i="62"/>
  <c r="H42" i="62"/>
  <c r="F42" i="62"/>
  <c r="E42" i="62"/>
  <c r="D42" i="62"/>
  <c r="C42" i="62"/>
  <c r="G42" i="62"/>
  <c r="N106" i="62"/>
  <c r="M106" i="62"/>
  <c r="L106" i="62"/>
  <c r="K106" i="62"/>
  <c r="J106" i="62"/>
  <c r="I106" i="62"/>
  <c r="H106" i="62"/>
  <c r="E106" i="62"/>
  <c r="C106" i="62"/>
  <c r="O106" i="62" s="1"/>
  <c r="F106" i="62"/>
  <c r="D106" i="62"/>
  <c r="G106" i="62"/>
  <c r="O171" i="62"/>
  <c r="N171" i="62"/>
  <c r="K171" i="62"/>
  <c r="L171" i="62"/>
  <c r="M171" i="62"/>
  <c r="I171" i="62"/>
  <c r="F171" i="62"/>
  <c r="J171" i="62"/>
  <c r="H171" i="62"/>
  <c r="D171" i="62"/>
  <c r="G171" i="62"/>
  <c r="C171" i="62"/>
  <c r="E171" i="62"/>
  <c r="O147" i="62"/>
  <c r="N147" i="62"/>
  <c r="M147" i="62"/>
  <c r="K147" i="62"/>
  <c r="I147" i="62"/>
  <c r="J147" i="62"/>
  <c r="E147" i="62"/>
  <c r="H147" i="62"/>
  <c r="L147" i="62"/>
  <c r="G147" i="62"/>
  <c r="D147" i="62"/>
  <c r="C147" i="62"/>
  <c r="F147" i="62"/>
  <c r="M134" i="62"/>
  <c r="N134" i="62"/>
  <c r="O134" i="62"/>
  <c r="J134" i="62"/>
  <c r="G134" i="62"/>
  <c r="F134" i="62"/>
  <c r="K134" i="62"/>
  <c r="D134" i="62"/>
  <c r="C134" i="62"/>
  <c r="L134" i="62"/>
  <c r="H134" i="62"/>
  <c r="I134" i="62"/>
  <c r="E134" i="62"/>
  <c r="L97" i="62"/>
  <c r="K97" i="62"/>
  <c r="J97" i="62"/>
  <c r="N97" i="62"/>
  <c r="I97" i="62"/>
  <c r="M97" i="62"/>
  <c r="F97" i="62"/>
  <c r="H97" i="62"/>
  <c r="E97" i="62"/>
  <c r="G97" i="62"/>
  <c r="C97" i="62"/>
  <c r="D97" i="62"/>
  <c r="I11" i="62"/>
  <c r="L11" i="62"/>
  <c r="K11" i="62"/>
  <c r="M11" i="62"/>
  <c r="J11" i="62"/>
  <c r="N11" i="62"/>
  <c r="E11" i="62"/>
  <c r="D11" i="62"/>
  <c r="C11" i="62"/>
  <c r="G11" i="62"/>
  <c r="F11" i="62"/>
  <c r="H11" i="62"/>
  <c r="M75" i="62"/>
  <c r="I75" i="62"/>
  <c r="N75" i="62"/>
  <c r="K75" i="62"/>
  <c r="E75" i="62"/>
  <c r="L75" i="62"/>
  <c r="H75" i="62"/>
  <c r="F75" i="62"/>
  <c r="J75" i="62"/>
  <c r="D75" i="62"/>
  <c r="G75" i="62"/>
  <c r="C75" i="62"/>
  <c r="O139" i="62"/>
  <c r="I139" i="62"/>
  <c r="L139" i="62"/>
  <c r="N139" i="62"/>
  <c r="K139" i="62"/>
  <c r="J139" i="62"/>
  <c r="E139" i="62"/>
  <c r="F139" i="62"/>
  <c r="M139" i="62"/>
  <c r="D139" i="62"/>
  <c r="G139" i="62"/>
  <c r="C139" i="62"/>
  <c r="H139" i="62"/>
  <c r="N44" i="62"/>
  <c r="M44" i="62"/>
  <c r="L44" i="62"/>
  <c r="J44" i="62"/>
  <c r="F44" i="62"/>
  <c r="D44" i="62"/>
  <c r="K44" i="62"/>
  <c r="E44" i="62"/>
  <c r="C44" i="62"/>
  <c r="I44" i="62"/>
  <c r="G44" i="62"/>
  <c r="H44" i="62"/>
  <c r="N108" i="62"/>
  <c r="M108" i="62"/>
  <c r="L108" i="62"/>
  <c r="J108" i="62"/>
  <c r="H108" i="62"/>
  <c r="F108" i="62"/>
  <c r="D108" i="62"/>
  <c r="I108" i="62"/>
  <c r="K108" i="62"/>
  <c r="E108" i="62"/>
  <c r="C108" i="62"/>
  <c r="G108" i="62"/>
  <c r="N21" i="62"/>
  <c r="M21" i="62"/>
  <c r="K21" i="62"/>
  <c r="L21" i="62"/>
  <c r="E21" i="62"/>
  <c r="D21" i="62"/>
  <c r="I21" i="62"/>
  <c r="J21" i="62"/>
  <c r="H21" i="62"/>
  <c r="C21" i="62"/>
  <c r="G21" i="62"/>
  <c r="F21" i="62"/>
  <c r="N85" i="62"/>
  <c r="L85" i="62"/>
  <c r="H85" i="62"/>
  <c r="K85" i="62"/>
  <c r="I85" i="62"/>
  <c r="D85" i="62"/>
  <c r="C85" i="62"/>
  <c r="F85" i="62"/>
  <c r="M85" i="62"/>
  <c r="J85" i="62"/>
  <c r="G85" i="62"/>
  <c r="E85" i="62"/>
  <c r="N149" i="62"/>
  <c r="H149" i="62"/>
  <c r="O149" i="62"/>
  <c r="M149" i="62"/>
  <c r="K149" i="62"/>
  <c r="D149" i="62"/>
  <c r="C149" i="62"/>
  <c r="F149" i="62"/>
  <c r="L149" i="62"/>
  <c r="J149" i="62"/>
  <c r="I149" i="62"/>
  <c r="E149" i="62"/>
  <c r="G149" i="62"/>
  <c r="N62" i="62"/>
  <c r="M62" i="62"/>
  <c r="K62" i="62"/>
  <c r="J62" i="62"/>
  <c r="H62" i="62"/>
  <c r="G62" i="62"/>
  <c r="F62" i="62"/>
  <c r="D62" i="62"/>
  <c r="C62" i="62"/>
  <c r="I62" i="62"/>
  <c r="L62" i="62"/>
  <c r="E62" i="62"/>
  <c r="N126" i="62"/>
  <c r="K126" i="62"/>
  <c r="J126" i="62"/>
  <c r="G126" i="62"/>
  <c r="F126" i="62"/>
  <c r="L126" i="62"/>
  <c r="O126" i="62"/>
  <c r="D126" i="62"/>
  <c r="C126" i="62"/>
  <c r="I126" i="62"/>
  <c r="M126" i="62"/>
  <c r="H126" i="62"/>
  <c r="E126" i="62"/>
  <c r="N39" i="62"/>
  <c r="H39" i="62"/>
  <c r="G39" i="62"/>
  <c r="F39" i="62"/>
  <c r="E39" i="62"/>
  <c r="K39" i="62"/>
  <c r="L39" i="62"/>
  <c r="I39" i="62"/>
  <c r="M39" i="62"/>
  <c r="J39" i="62"/>
  <c r="D39" i="62"/>
  <c r="C39" i="62"/>
  <c r="N103" i="62"/>
  <c r="G103" i="62"/>
  <c r="F103" i="62"/>
  <c r="E103" i="62"/>
  <c r="M103" i="62"/>
  <c r="K103" i="62"/>
  <c r="H103" i="62"/>
  <c r="L103" i="62"/>
  <c r="J103" i="62"/>
  <c r="I103" i="62"/>
  <c r="D103" i="62"/>
  <c r="C103" i="62"/>
  <c r="O168" i="62"/>
  <c r="N168" i="62"/>
  <c r="K168" i="62"/>
  <c r="H168" i="62"/>
  <c r="L168" i="62"/>
  <c r="I168" i="62"/>
  <c r="J168" i="62"/>
  <c r="M168" i="62"/>
  <c r="G168" i="62"/>
  <c r="D168" i="62"/>
  <c r="C168" i="62"/>
  <c r="E168" i="62"/>
  <c r="F168" i="62"/>
  <c r="I64" i="62"/>
  <c r="N64" i="62"/>
  <c r="J64" i="62"/>
  <c r="H64" i="62"/>
  <c r="E64" i="62"/>
  <c r="L64" i="62"/>
  <c r="M64" i="62"/>
  <c r="K64" i="62"/>
  <c r="D64" i="62"/>
  <c r="C64" i="62"/>
  <c r="F64" i="62"/>
  <c r="G64" i="62"/>
  <c r="O128" i="62"/>
  <c r="L128" i="62"/>
  <c r="I128" i="62"/>
  <c r="M128" i="62"/>
  <c r="N128" i="62"/>
  <c r="E128" i="62"/>
  <c r="K128" i="62"/>
  <c r="J128" i="62"/>
  <c r="D128" i="62"/>
  <c r="C128" i="62"/>
  <c r="F128" i="62"/>
  <c r="H128" i="62"/>
  <c r="G128" i="62"/>
  <c r="M25" i="62"/>
  <c r="K25" i="62"/>
  <c r="J25" i="62"/>
  <c r="I25" i="62"/>
  <c r="F25" i="62"/>
  <c r="G25" i="62"/>
  <c r="N25" i="62"/>
  <c r="L25" i="62"/>
  <c r="E25" i="62"/>
  <c r="D25" i="62"/>
  <c r="C25" i="62"/>
  <c r="H25" i="62"/>
  <c r="M89" i="62"/>
  <c r="K89" i="62"/>
  <c r="N89" i="62"/>
  <c r="J89" i="62"/>
  <c r="L89" i="62"/>
  <c r="F89" i="62"/>
  <c r="H89" i="62"/>
  <c r="G89" i="62"/>
  <c r="D89" i="62"/>
  <c r="C89" i="62"/>
  <c r="E89" i="62"/>
  <c r="I89" i="62"/>
  <c r="M153" i="62"/>
  <c r="K153" i="62"/>
  <c r="J153" i="62"/>
  <c r="O153" i="62"/>
  <c r="N153" i="62"/>
  <c r="F153" i="62"/>
  <c r="L153" i="62"/>
  <c r="I153" i="62"/>
  <c r="G153" i="62"/>
  <c r="H153" i="62"/>
  <c r="E153" i="62"/>
  <c r="D153" i="62"/>
  <c r="C153" i="62"/>
  <c r="N50" i="62"/>
  <c r="M50" i="62"/>
  <c r="L50" i="62"/>
  <c r="K50" i="62"/>
  <c r="J50" i="62"/>
  <c r="I50" i="62"/>
  <c r="H50" i="62"/>
  <c r="G50" i="62"/>
  <c r="D50" i="62"/>
  <c r="E50" i="62"/>
  <c r="F50" i="62"/>
  <c r="C50" i="62"/>
  <c r="N114" i="62"/>
  <c r="M114" i="62"/>
  <c r="L114" i="62"/>
  <c r="K114" i="62"/>
  <c r="J114" i="62"/>
  <c r="I114" i="62"/>
  <c r="H114" i="62"/>
  <c r="G114" i="62"/>
  <c r="D114" i="62"/>
  <c r="F114" i="62"/>
  <c r="C114" i="62"/>
  <c r="E114" i="62"/>
  <c r="M166" i="62"/>
  <c r="O166" i="62"/>
  <c r="J166" i="62"/>
  <c r="I166" i="62"/>
  <c r="G166" i="62"/>
  <c r="F166" i="62"/>
  <c r="K166" i="62"/>
  <c r="N166" i="62"/>
  <c r="E166" i="62"/>
  <c r="D166" i="62"/>
  <c r="C166" i="62"/>
  <c r="L166" i="62"/>
  <c r="H166" i="62"/>
  <c r="B136" i="41" a="1"/>
  <c r="B136" i="74" a="1"/>
  <c r="D140" i="74" s="1"/>
  <c r="B136" i="64" a="1"/>
  <c r="B136" i="70" a="1"/>
  <c r="D140" i="70" s="1"/>
  <c r="B136" i="68" a="1"/>
  <c r="D140" i="68" s="1"/>
  <c r="B136" i="69" a="1"/>
  <c r="B136" i="69" s="1"/>
  <c r="B136" i="65" a="1"/>
  <c r="B136" i="65" s="1"/>
  <c r="B136" i="71" a="1"/>
  <c r="B136" i="66" a="1"/>
  <c r="B136" i="72" a="1"/>
  <c r="B96" i="61" a="1"/>
  <c r="B96" i="61" s="1"/>
  <c r="B136" i="67" a="1"/>
  <c r="B136" i="67" s="1"/>
  <c r="B136" i="73" a="1"/>
  <c r="B136" i="73" s="1"/>
  <c r="B87" i="61" a="1"/>
  <c r="N130" i="61"/>
  <c r="M130" i="61"/>
  <c r="L4" i="54"/>
  <c r="L130" i="61"/>
  <c r="K130" i="61"/>
  <c r="J130" i="61"/>
  <c r="I130" i="61"/>
  <c r="H130" i="61"/>
  <c r="G130" i="61"/>
  <c r="F130" i="61"/>
  <c r="E130" i="61"/>
  <c r="D130" i="61"/>
  <c r="N4" i="54"/>
  <c r="L5" i="54"/>
  <c r="M5" i="54"/>
  <c r="M6" i="54"/>
  <c r="N6" i="54"/>
  <c r="O17" i="62" l="1"/>
  <c r="O77" i="62"/>
  <c r="O121" i="62"/>
  <c r="O43" i="62"/>
  <c r="O74" i="62"/>
  <c r="O101" i="62"/>
  <c r="O37" i="62"/>
  <c r="O64" i="62"/>
  <c r="O102" i="62"/>
  <c r="O11" i="62"/>
  <c r="O26" i="62"/>
  <c r="O65" i="62"/>
  <c r="O93" i="62"/>
  <c r="O57" i="62"/>
  <c r="O32" i="62"/>
  <c r="O24" i="62"/>
  <c r="O63" i="62"/>
  <c r="O41" i="62"/>
  <c r="O19" i="62"/>
  <c r="O72" i="62"/>
  <c r="O75" i="62"/>
  <c r="O42" i="62"/>
  <c r="O81" i="62"/>
  <c r="O116" i="62"/>
  <c r="O73" i="62"/>
  <c r="O69" i="62"/>
  <c r="O14" i="62"/>
  <c r="O104" i="62"/>
  <c r="O84" i="62"/>
  <c r="O115" i="62"/>
  <c r="O51" i="62"/>
  <c r="O82" i="62"/>
  <c r="O86" i="62"/>
  <c r="O66" i="62"/>
  <c r="O80" i="62"/>
  <c r="O123" i="62"/>
  <c r="O92" i="62"/>
  <c r="O83" i="62"/>
  <c r="O53" i="62"/>
  <c r="O107" i="62"/>
  <c r="O99" i="62"/>
  <c r="O50" i="62"/>
  <c r="O21" i="62"/>
  <c r="O120" i="62"/>
  <c r="O118" i="62"/>
  <c r="O67" i="62"/>
  <c r="O28" i="62"/>
  <c r="O90" i="62"/>
  <c r="O20" i="62"/>
  <c r="O71" i="62"/>
  <c r="O35" i="62"/>
  <c r="O16" i="62"/>
  <c r="O70" i="62"/>
  <c r="O52" i="62"/>
  <c r="O89" i="62"/>
  <c r="O34" i="62"/>
  <c r="O114" i="62"/>
  <c r="O85" i="62"/>
  <c r="O36" i="62"/>
  <c r="O112" i="62"/>
  <c r="O23" i="62"/>
  <c r="O111" i="62"/>
  <c r="O78" i="62"/>
  <c r="O76" i="62"/>
  <c r="O10" i="62"/>
  <c r="O109" i="62"/>
  <c r="O124" i="62"/>
  <c r="O55" i="62"/>
  <c r="O39" i="62"/>
  <c r="O108" i="62"/>
  <c r="O31" i="62"/>
  <c r="O100" i="62"/>
  <c r="O87" i="62"/>
  <c r="O110" i="62"/>
  <c r="O40" i="62"/>
  <c r="O79" i="62"/>
  <c r="O38" i="62"/>
  <c r="O61" i="62"/>
  <c r="O13" i="62"/>
  <c r="O18" i="62"/>
  <c r="O49" i="62"/>
  <c r="O22" i="62"/>
  <c r="O58" i="62"/>
  <c r="O27" i="62"/>
  <c r="O25" i="62"/>
  <c r="O103" i="62"/>
  <c r="O62" i="62"/>
  <c r="O56" i="62"/>
  <c r="O54" i="62"/>
  <c r="O15" i="62"/>
  <c r="O59" i="62"/>
  <c r="O122" i="62"/>
  <c r="O60" i="62"/>
  <c r="O117" i="62"/>
  <c r="X117" i="62" s="1"/>
  <c r="O12" i="62"/>
  <c r="O113" i="62"/>
  <c r="O88" i="62"/>
  <c r="O68" i="62"/>
  <c r="O119" i="62"/>
  <c r="O91" i="62"/>
  <c r="O105" i="62"/>
  <c r="O6" i="62"/>
  <c r="O44" i="62"/>
  <c r="O8" i="62"/>
  <c r="O46" i="62"/>
  <c r="O95" i="62"/>
  <c r="O33" i="62"/>
  <c r="O98" i="62"/>
  <c r="O96" i="62"/>
  <c r="O5" i="62"/>
  <c r="O29" i="62"/>
  <c r="O9" i="62"/>
  <c r="O94" i="62"/>
  <c r="O47" i="62"/>
  <c r="O97" i="62"/>
  <c r="O48" i="62"/>
  <c r="O30" i="62"/>
  <c r="O45" i="62"/>
  <c r="O7" i="62"/>
  <c r="D140" i="64"/>
  <c r="B136" i="70"/>
  <c r="B136" i="64"/>
  <c r="B136" i="74"/>
  <c r="B136" i="68"/>
  <c r="D140" i="69"/>
  <c r="B136" i="41"/>
  <c r="D140" i="41"/>
  <c r="D140" i="66"/>
  <c r="B136" i="66"/>
  <c r="D140" i="73"/>
  <c r="D140" i="67"/>
  <c r="D140" i="71"/>
  <c r="D140" i="65"/>
  <c r="D140" i="72"/>
  <c r="B136" i="71"/>
  <c r="B87" i="61"/>
  <c r="E91" i="61"/>
  <c r="L91" i="61"/>
  <c r="M91" i="61"/>
  <c r="C91" i="61"/>
  <c r="G91" i="61"/>
  <c r="H91" i="61"/>
  <c r="O91" i="61"/>
  <c r="C100" i="61" s="1"/>
  <c r="N91" i="61"/>
  <c r="K91" i="61"/>
  <c r="I91" i="61"/>
  <c r="D91" i="61"/>
  <c r="F91" i="61"/>
  <c r="J91" i="61"/>
  <c r="B136" i="72"/>
  <c r="L7" i="54"/>
  <c r="X6" i="62" l="1"/>
  <c r="X45" i="62"/>
  <c r="X5" i="62"/>
  <c r="X108" i="62"/>
  <c r="X105" i="62"/>
  <c r="X98" i="62"/>
  <c r="X122" i="62"/>
  <c r="X33" i="62"/>
  <c r="X59" i="62"/>
  <c r="X124" i="62"/>
  <c r="X95" i="62"/>
  <c r="X15" i="62"/>
  <c r="X110" i="62"/>
  <c r="X85" i="62"/>
  <c r="X66" i="62"/>
  <c r="X41" i="62"/>
  <c r="X17" i="62"/>
  <c r="X46" i="62"/>
  <c r="X7" i="62"/>
  <c r="X29" i="62"/>
  <c r="X44" i="62"/>
  <c r="X12" i="62"/>
  <c r="X62" i="62"/>
  <c r="X13" i="62"/>
  <c r="X31" i="62"/>
  <c r="X78" i="62"/>
  <c r="X89" i="62"/>
  <c r="X28" i="62"/>
  <c r="X53" i="62"/>
  <c r="X51" i="62"/>
  <c r="X81" i="62"/>
  <c r="X32" i="62"/>
  <c r="X37" i="62"/>
  <c r="X111" i="62"/>
  <c r="X52" i="62"/>
  <c r="X67" i="62"/>
  <c r="X83" i="62"/>
  <c r="X115" i="62"/>
  <c r="X42" i="62"/>
  <c r="X57" i="62"/>
  <c r="X101" i="62"/>
  <c r="X96" i="62"/>
  <c r="X25" i="62"/>
  <c r="X38" i="62"/>
  <c r="X39" i="62"/>
  <c r="X23" i="62"/>
  <c r="X70" i="62"/>
  <c r="X118" i="62"/>
  <c r="X92" i="62"/>
  <c r="X84" i="62"/>
  <c r="X75" i="62"/>
  <c r="X93" i="62"/>
  <c r="X74" i="62"/>
  <c r="X61" i="62"/>
  <c r="X48" i="62"/>
  <c r="X79" i="62"/>
  <c r="X55" i="62"/>
  <c r="X112" i="62"/>
  <c r="X16" i="62"/>
  <c r="X120" i="62"/>
  <c r="X123" i="62"/>
  <c r="X104" i="62"/>
  <c r="X72" i="62"/>
  <c r="X65" i="62"/>
  <c r="X43" i="62"/>
  <c r="X58" i="62"/>
  <c r="X36" i="62"/>
  <c r="X35" i="62"/>
  <c r="X21" i="62"/>
  <c r="X80" i="62"/>
  <c r="X14" i="62"/>
  <c r="X19" i="62"/>
  <c r="X26" i="62"/>
  <c r="X121" i="62"/>
  <c r="X30" i="62"/>
  <c r="X27" i="62"/>
  <c r="X54" i="62"/>
  <c r="X103" i="62"/>
  <c r="X60" i="62"/>
  <c r="X91" i="62"/>
  <c r="X97" i="62"/>
  <c r="X119" i="62"/>
  <c r="X40" i="62"/>
  <c r="X47" i="62"/>
  <c r="X68" i="62"/>
  <c r="X22" i="62"/>
  <c r="X109" i="62"/>
  <c r="X71" i="62"/>
  <c r="X50" i="62"/>
  <c r="X69" i="62"/>
  <c r="X11" i="62"/>
  <c r="X94" i="62"/>
  <c r="X88" i="62"/>
  <c r="X49" i="62"/>
  <c r="X87" i="62"/>
  <c r="X10" i="62"/>
  <c r="X114" i="62"/>
  <c r="X20" i="62"/>
  <c r="X99" i="62"/>
  <c r="X86" i="62"/>
  <c r="X73" i="62"/>
  <c r="X63" i="62"/>
  <c r="X102" i="62"/>
  <c r="X106" i="62"/>
  <c r="X9" i="62"/>
  <c r="X8" i="62"/>
  <c r="X113" i="62"/>
  <c r="X56" i="62"/>
  <c r="X18" i="62"/>
  <c r="X100" i="62"/>
  <c r="X76" i="62"/>
  <c r="X34" i="62"/>
  <c r="X90" i="62"/>
  <c r="X107" i="62"/>
  <c r="X82" i="62"/>
  <c r="X116" i="62"/>
  <c r="X24" i="62"/>
  <c r="X64" i="62"/>
  <c r="X77" i="62"/>
  <c r="M7" i="54"/>
  <c r="R237" i="62" l="1"/>
  <c r="S237" i="62" s="1"/>
  <c r="R443" i="62"/>
  <c r="S443" i="62" s="1"/>
  <c r="R393" i="62"/>
  <c r="S393" i="62" s="1"/>
  <c r="R423" i="62"/>
  <c r="S423" i="62" s="1"/>
  <c r="R436" i="62"/>
  <c r="S436" i="62" s="1"/>
  <c r="R411" i="62"/>
  <c r="S411" i="62" s="1"/>
  <c r="R200" i="62"/>
  <c r="S200" i="62" s="1"/>
  <c r="R177" i="62"/>
  <c r="S177" i="62" s="1"/>
  <c r="R367" i="62"/>
  <c r="S367" i="62" s="1"/>
  <c r="R182" i="62"/>
  <c r="S182" i="62" s="1"/>
  <c r="R408" i="62"/>
  <c r="S408" i="62" s="1"/>
  <c r="R397" i="62"/>
  <c r="S397" i="62" s="1"/>
  <c r="R319" i="62"/>
  <c r="S319" i="62" s="1"/>
  <c r="R322" i="62"/>
  <c r="S322" i="62" s="1"/>
  <c r="R303" i="62"/>
  <c r="S303" i="62" s="1"/>
  <c r="R352" i="62"/>
  <c r="S352" i="62" s="1"/>
  <c r="R446" i="62"/>
  <c r="S446" i="62" s="1"/>
  <c r="R416" i="62"/>
  <c r="S416" i="62" s="1"/>
  <c r="R358" i="62"/>
  <c r="S358" i="62" s="1"/>
  <c r="R338" i="62"/>
  <c r="S338" i="62" s="1"/>
  <c r="R272" i="62"/>
  <c r="S272" i="62" s="1"/>
  <c r="R351" i="62"/>
  <c r="S351" i="62" s="1"/>
  <c r="R305" i="62"/>
  <c r="S305" i="62" s="1"/>
  <c r="R320" i="62"/>
  <c r="S320" i="62" s="1"/>
  <c r="R285" i="62"/>
  <c r="S285" i="62" s="1"/>
  <c r="R312" i="62"/>
  <c r="S312" i="62" s="1"/>
  <c r="R253" i="62"/>
  <c r="S253" i="62" s="1"/>
  <c r="R337" i="62"/>
  <c r="S337" i="62" s="1"/>
  <c r="R255" i="62"/>
  <c r="S255" i="62" s="1"/>
  <c r="R213" i="62"/>
  <c r="S213" i="62" s="1"/>
  <c r="R346" i="62"/>
  <c r="S346" i="62" s="1"/>
  <c r="R289" i="62"/>
  <c r="S289" i="62" s="1"/>
  <c r="R234" i="62"/>
  <c r="S234" i="62" s="1"/>
  <c r="R261" i="62"/>
  <c r="S261" i="62" s="1"/>
  <c r="R241" i="62"/>
  <c r="S241" i="62" s="1"/>
  <c r="R437" i="62"/>
  <c r="S437" i="62" s="1"/>
  <c r="R248" i="62"/>
  <c r="S248" i="62" s="1"/>
  <c r="R409" i="62"/>
  <c r="S409" i="62" s="1"/>
  <c r="R430" i="62"/>
  <c r="S430" i="62" s="1"/>
  <c r="R428" i="62"/>
  <c r="S428" i="62" s="1"/>
  <c r="R186" i="62"/>
  <c r="S186" i="62" s="1"/>
  <c r="R174" i="62"/>
  <c r="S174" i="62" s="1"/>
  <c r="R356" i="62"/>
  <c r="S356" i="62" s="1"/>
  <c r="R179" i="62"/>
  <c r="S179" i="62" s="1"/>
  <c r="R405" i="62"/>
  <c r="S405" i="62" s="1"/>
  <c r="R388" i="62"/>
  <c r="S388" i="62" s="1"/>
  <c r="R270" i="62"/>
  <c r="S270" i="62" s="1"/>
  <c r="R273" i="62"/>
  <c r="S273" i="62" s="1"/>
  <c r="R279" i="62"/>
  <c r="S279" i="62" s="1"/>
  <c r="R288" i="62"/>
  <c r="S288" i="62" s="1"/>
  <c r="R442" i="62"/>
  <c r="S442" i="62" s="1"/>
  <c r="R404" i="62"/>
  <c r="S404" i="62" s="1"/>
  <c r="R349" i="62"/>
  <c r="S349" i="62" s="1"/>
  <c r="R329" i="62"/>
  <c r="S329" i="62" s="1"/>
  <c r="R271" i="62"/>
  <c r="S271" i="62" s="1"/>
  <c r="R348" i="62"/>
  <c r="S348" i="62" s="1"/>
  <c r="R284" i="62"/>
  <c r="S284" i="62" s="1"/>
  <c r="R317" i="62"/>
  <c r="S317" i="62" s="1"/>
  <c r="R275" i="62"/>
  <c r="S275" i="62" s="1"/>
  <c r="R300" i="62"/>
  <c r="S300" i="62" s="1"/>
  <c r="R217" i="62"/>
  <c r="S217" i="62" s="1"/>
  <c r="R335" i="62"/>
  <c r="S335" i="62" s="1"/>
  <c r="R246" i="62"/>
  <c r="S246" i="62" s="1"/>
  <c r="R232" i="62"/>
  <c r="S232" i="62" s="1"/>
  <c r="R332" i="62"/>
  <c r="S332" i="62" s="1"/>
  <c r="R267" i="62"/>
  <c r="S267" i="62" s="1"/>
  <c r="R223" i="62"/>
  <c r="S223" i="62" s="1"/>
  <c r="R245" i="62"/>
  <c r="S245" i="62" s="1"/>
  <c r="R170" i="62"/>
  <c r="S170" i="62" s="1"/>
  <c r="R41" i="62"/>
  <c r="S41" i="62" s="1"/>
  <c r="R183" i="62"/>
  <c r="S183" i="62" s="1"/>
  <c r="R199" i="62"/>
  <c r="S199" i="62" s="1"/>
  <c r="R180" i="62"/>
  <c r="S180" i="62" s="1"/>
  <c r="R419" i="62"/>
  <c r="S419" i="62" s="1"/>
  <c r="R415" i="62"/>
  <c r="S415" i="62" s="1"/>
  <c r="R447" i="62"/>
  <c r="S447" i="62" s="1"/>
  <c r="R434" i="62"/>
  <c r="S434" i="62" s="1"/>
  <c r="R403" i="62"/>
  <c r="S403" i="62" s="1"/>
  <c r="R445" i="62"/>
  <c r="S445" i="62" s="1"/>
  <c r="R396" i="62"/>
  <c r="S396" i="62" s="1"/>
  <c r="R376" i="62"/>
  <c r="S376" i="62" s="1"/>
  <c r="R385" i="62"/>
  <c r="S385" i="62" s="1"/>
  <c r="R264" i="62"/>
  <c r="S264" i="62" s="1"/>
  <c r="R251" i="62"/>
  <c r="S251" i="62" s="1"/>
  <c r="R250" i="62"/>
  <c r="S250" i="62" s="1"/>
  <c r="R435" i="62"/>
  <c r="S435" i="62" s="1"/>
  <c r="R400" i="62"/>
  <c r="S400" i="62" s="1"/>
  <c r="R347" i="62"/>
  <c r="S347" i="62" s="1"/>
  <c r="R323" i="62"/>
  <c r="S323" i="62" s="1"/>
  <c r="R220" i="62"/>
  <c r="S220" i="62" s="1"/>
  <c r="R333" i="62"/>
  <c r="S333" i="62" s="1"/>
  <c r="R316" i="62"/>
  <c r="S316" i="62" s="1"/>
  <c r="R309" i="62"/>
  <c r="S309" i="62" s="1"/>
  <c r="R247" i="62"/>
  <c r="S247" i="62" s="1"/>
  <c r="R299" i="62"/>
  <c r="S299" i="62" s="1"/>
  <c r="R203" i="62"/>
  <c r="S203" i="62" s="1"/>
  <c r="R331" i="62"/>
  <c r="S331" i="62" s="1"/>
  <c r="R238" i="62"/>
  <c r="S238" i="62" s="1"/>
  <c r="R233" i="62"/>
  <c r="S233" i="62" s="1"/>
  <c r="R318" i="62"/>
  <c r="S318" i="62" s="1"/>
  <c r="R260" i="62"/>
  <c r="S260" i="62" s="1"/>
  <c r="R221" i="62"/>
  <c r="S221" i="62" s="1"/>
  <c r="R236" i="62"/>
  <c r="S236" i="62" s="1"/>
  <c r="R235" i="62"/>
  <c r="S235" i="62" s="1"/>
  <c r="R112" i="62"/>
  <c r="S112" i="62" s="1"/>
  <c r="R42" i="62"/>
  <c r="S42" i="62" s="1"/>
  <c r="R387" i="62"/>
  <c r="S387" i="62" s="1"/>
  <c r="R185" i="62"/>
  <c r="S185" i="62" s="1"/>
  <c r="R429" i="62"/>
  <c r="S429" i="62" s="1"/>
  <c r="R375" i="62"/>
  <c r="S375" i="62" s="1"/>
  <c r="R379" i="62"/>
  <c r="S379" i="62" s="1"/>
  <c r="R407" i="62"/>
  <c r="S407" i="62" s="1"/>
  <c r="R425" i="62"/>
  <c r="S425" i="62" s="1"/>
  <c r="R175" i="62"/>
  <c r="S175" i="62" s="1"/>
  <c r="R438" i="62"/>
  <c r="S438" i="62" s="1"/>
  <c r="R390" i="62"/>
  <c r="S390" i="62" s="1"/>
  <c r="R362" i="62"/>
  <c r="S362" i="62" s="1"/>
  <c r="R374" i="62"/>
  <c r="S374" i="62" s="1"/>
  <c r="R383" i="62"/>
  <c r="S383" i="62" s="1"/>
  <c r="R230" i="62"/>
  <c r="S230" i="62" s="1"/>
  <c r="R386" i="62"/>
  <c r="S386" i="62" s="1"/>
  <c r="R432" i="62"/>
  <c r="S432" i="62" s="1"/>
  <c r="R395" i="62"/>
  <c r="S395" i="62" s="1"/>
  <c r="R345" i="62"/>
  <c r="S345" i="62" s="1"/>
  <c r="R321" i="62"/>
  <c r="S321" i="62" s="1"/>
  <c r="R391" i="62"/>
  <c r="S391" i="62" s="1"/>
  <c r="R325" i="62"/>
  <c r="S325" i="62" s="1"/>
  <c r="R313" i="62"/>
  <c r="S313" i="62" s="1"/>
  <c r="R304" i="62"/>
  <c r="S304" i="62" s="1"/>
  <c r="R242" i="62"/>
  <c r="S242" i="62" s="1"/>
  <c r="R297" i="62"/>
  <c r="S297" i="62" s="1"/>
  <c r="R265" i="62"/>
  <c r="S265" i="62" s="1"/>
  <c r="R327" i="62"/>
  <c r="S327" i="62" s="1"/>
  <c r="R226" i="62"/>
  <c r="S226" i="62" s="1"/>
  <c r="R229" i="62"/>
  <c r="S229" i="62" s="1"/>
  <c r="R310" i="62"/>
  <c r="S310" i="62" s="1"/>
  <c r="R258" i="62"/>
  <c r="S258" i="62" s="1"/>
  <c r="R214" i="62"/>
  <c r="S214" i="62" s="1"/>
  <c r="R207" i="62"/>
  <c r="S207" i="62" s="1"/>
  <c r="R231" i="62"/>
  <c r="S231" i="62" s="1"/>
  <c r="R194" i="62"/>
  <c r="S194" i="62" s="1"/>
  <c r="R197" i="62"/>
  <c r="S197" i="62" s="1"/>
  <c r="R184" i="62"/>
  <c r="S184" i="62" s="1"/>
  <c r="R422" i="62"/>
  <c r="S422" i="62" s="1"/>
  <c r="R364" i="62"/>
  <c r="S364" i="62" s="1"/>
  <c r="R365" i="62"/>
  <c r="S365" i="62" s="1"/>
  <c r="R173" i="62"/>
  <c r="S173" i="62" s="1"/>
  <c r="R417" i="62"/>
  <c r="S417" i="62" s="1"/>
  <c r="R398" i="62"/>
  <c r="S398" i="62" s="1"/>
  <c r="R420" i="62"/>
  <c r="S420" i="62" s="1"/>
  <c r="R353" i="62"/>
  <c r="S353" i="62" s="1"/>
  <c r="R360" i="62"/>
  <c r="S360" i="62" s="1"/>
  <c r="R372" i="62"/>
  <c r="S372" i="62" s="1"/>
  <c r="R377" i="62"/>
  <c r="S377" i="62" s="1"/>
  <c r="R384" i="62"/>
  <c r="S384" i="62" s="1"/>
  <c r="R357" i="62"/>
  <c r="S357" i="62" s="1"/>
  <c r="R427" i="62"/>
  <c r="S427" i="62" s="1"/>
  <c r="R392" i="62"/>
  <c r="S392" i="62" s="1"/>
  <c r="R341" i="62"/>
  <c r="S341" i="62" s="1"/>
  <c r="R314" i="62"/>
  <c r="S314" i="62" s="1"/>
  <c r="R380" i="62"/>
  <c r="S380" i="62" s="1"/>
  <c r="R324" i="62"/>
  <c r="S324" i="62" s="1"/>
  <c r="R290" i="62"/>
  <c r="S290" i="62" s="1"/>
  <c r="R298" i="62"/>
  <c r="S298" i="62" s="1"/>
  <c r="R328" i="62"/>
  <c r="S328" i="62" s="1"/>
  <c r="R295" i="62"/>
  <c r="S295" i="62" s="1"/>
  <c r="R240" i="62"/>
  <c r="S240" i="62" s="1"/>
  <c r="R302" i="62"/>
  <c r="S302" i="62" s="1"/>
  <c r="R218" i="62"/>
  <c r="S218" i="62" s="1"/>
  <c r="R215" i="62"/>
  <c r="S215" i="62" s="1"/>
  <c r="R307" i="62"/>
  <c r="S307" i="62" s="1"/>
  <c r="R257" i="62"/>
  <c r="S257" i="62" s="1"/>
  <c r="R211" i="62"/>
  <c r="S211" i="62" s="1"/>
  <c r="R268" i="62"/>
  <c r="S268" i="62" s="1"/>
  <c r="R228" i="62"/>
  <c r="S228" i="62" s="1"/>
  <c r="R190" i="62"/>
  <c r="S190" i="62" s="1"/>
  <c r="R189" i="62"/>
  <c r="S189" i="62" s="1"/>
  <c r="R448" i="62"/>
  <c r="S448" i="62" s="1"/>
  <c r="R196" i="62"/>
  <c r="S196" i="62" s="1"/>
  <c r="R350" i="62"/>
  <c r="S350" i="62" s="1"/>
  <c r="R176" i="62"/>
  <c r="S176" i="62" s="1"/>
  <c r="R191" i="62"/>
  <c r="S191" i="62" s="1"/>
  <c r="R402" i="62"/>
  <c r="S402" i="62" s="1"/>
  <c r="R266" i="62"/>
  <c r="S266" i="62" s="1"/>
  <c r="R414" i="62"/>
  <c r="S414" i="62" s="1"/>
  <c r="R412" i="62"/>
  <c r="S412" i="62" s="1"/>
  <c r="R344" i="62"/>
  <c r="S344" i="62" s="1"/>
  <c r="R369" i="62"/>
  <c r="S369" i="62" s="1"/>
  <c r="R373" i="62"/>
  <c r="S373" i="62" s="1"/>
  <c r="R381" i="62"/>
  <c r="S381" i="62" s="1"/>
  <c r="R306" i="62"/>
  <c r="S306" i="62" s="1"/>
  <c r="R424" i="62"/>
  <c r="S424" i="62" s="1"/>
  <c r="R382" i="62"/>
  <c r="S382" i="62" s="1"/>
  <c r="R340" i="62"/>
  <c r="S340" i="62" s="1"/>
  <c r="R282" i="62"/>
  <c r="S282" i="62" s="1"/>
  <c r="R371" i="62"/>
  <c r="S371" i="62" s="1"/>
  <c r="R315" i="62"/>
  <c r="S315" i="62" s="1"/>
  <c r="R243" i="62"/>
  <c r="S243" i="62" s="1"/>
  <c r="R293" i="62"/>
  <c r="S293" i="62" s="1"/>
  <c r="R280" i="62"/>
  <c r="S280" i="62" s="1"/>
  <c r="R292" i="62"/>
  <c r="S292" i="62" s="1"/>
  <c r="R252" i="62"/>
  <c r="S252" i="62" s="1"/>
  <c r="R294" i="62"/>
  <c r="S294" i="62" s="1"/>
  <c r="R224" i="62"/>
  <c r="S224" i="62" s="1"/>
  <c r="R209" i="62"/>
  <c r="S209" i="62" s="1"/>
  <c r="R301" i="62"/>
  <c r="S301" i="62" s="1"/>
  <c r="R256" i="62"/>
  <c r="S256" i="62" s="1"/>
  <c r="R210" i="62"/>
  <c r="S210" i="62" s="1"/>
  <c r="R262" i="62"/>
  <c r="S262" i="62" s="1"/>
  <c r="R219" i="62"/>
  <c r="S219" i="62" s="1"/>
  <c r="R187" i="62"/>
  <c r="S187" i="62" s="1"/>
  <c r="R198" i="62"/>
  <c r="S198" i="62" s="1"/>
  <c r="R444" i="62"/>
  <c r="S444" i="62" s="1"/>
  <c r="R188" i="62"/>
  <c r="S188" i="62" s="1"/>
  <c r="R441" i="62"/>
  <c r="S441" i="62" s="1"/>
  <c r="R431" i="62"/>
  <c r="S431" i="62" s="1"/>
  <c r="R181" i="62"/>
  <c r="S181" i="62" s="1"/>
  <c r="R394" i="62"/>
  <c r="S394" i="62" s="1"/>
  <c r="R195" i="62"/>
  <c r="S195" i="62" s="1"/>
  <c r="R413" i="62"/>
  <c r="S413" i="62" s="1"/>
  <c r="R406" i="62"/>
  <c r="S406" i="62" s="1"/>
  <c r="R343" i="62"/>
  <c r="S343" i="62" s="1"/>
  <c r="R363" i="62"/>
  <c r="S363" i="62" s="1"/>
  <c r="R368" i="62"/>
  <c r="S368" i="62" s="1"/>
  <c r="R359" i="62"/>
  <c r="S359" i="62" s="1"/>
  <c r="R244" i="62"/>
  <c r="S244" i="62" s="1"/>
  <c r="R421" i="62"/>
  <c r="S421" i="62" s="1"/>
  <c r="R378" i="62"/>
  <c r="S378" i="62" s="1"/>
  <c r="R336" i="62"/>
  <c r="S336" i="62" s="1"/>
  <c r="R281" i="62"/>
  <c r="S281" i="62" s="1"/>
  <c r="R370" i="62"/>
  <c r="S370" i="62" s="1"/>
  <c r="R311" i="62"/>
  <c r="S311" i="62" s="1"/>
  <c r="R227" i="62"/>
  <c r="S227" i="62" s="1"/>
  <c r="R287" i="62"/>
  <c r="S287" i="62" s="1"/>
  <c r="R277" i="62"/>
  <c r="S277" i="62" s="1"/>
  <c r="R283" i="62"/>
  <c r="S283" i="62" s="1"/>
  <c r="R225" i="62"/>
  <c r="S225" i="62" s="1"/>
  <c r="R276" i="62"/>
  <c r="S276" i="62" s="1"/>
  <c r="R222" i="62"/>
  <c r="S222" i="62" s="1"/>
  <c r="R201" i="62"/>
  <c r="S201" i="62" s="1"/>
  <c r="R296" i="62"/>
  <c r="S296" i="62" s="1"/>
  <c r="R249" i="62"/>
  <c r="S249" i="62" s="1"/>
  <c r="R204" i="62"/>
  <c r="S204" i="62" s="1"/>
  <c r="R259" i="62"/>
  <c r="S259" i="62" s="1"/>
  <c r="R206" i="62"/>
  <c r="S206" i="62" s="1"/>
  <c r="R193" i="62"/>
  <c r="S193" i="62" s="1"/>
  <c r="R439" i="62"/>
  <c r="S439" i="62" s="1"/>
  <c r="R426" i="62"/>
  <c r="S426" i="62" s="1"/>
  <c r="R440" i="62"/>
  <c r="S440" i="62" s="1"/>
  <c r="R433" i="62"/>
  <c r="S433" i="62" s="1"/>
  <c r="R401" i="62"/>
  <c r="S401" i="62" s="1"/>
  <c r="R178" i="62"/>
  <c r="S178" i="62" s="1"/>
  <c r="R389" i="62"/>
  <c r="S389" i="62" s="1"/>
  <c r="R192" i="62"/>
  <c r="S192" i="62" s="1"/>
  <c r="R410" i="62"/>
  <c r="S410" i="62" s="1"/>
  <c r="R399" i="62"/>
  <c r="S399" i="62" s="1"/>
  <c r="R342" i="62"/>
  <c r="S342" i="62" s="1"/>
  <c r="R334" i="62"/>
  <c r="S334" i="62" s="1"/>
  <c r="R354" i="62"/>
  <c r="S354" i="62" s="1"/>
  <c r="R355" i="62"/>
  <c r="S355" i="62" s="1"/>
  <c r="R208" i="62"/>
  <c r="S208" i="62" s="1"/>
  <c r="R418" i="62"/>
  <c r="S418" i="62" s="1"/>
  <c r="R361" i="62"/>
  <c r="S361" i="62" s="1"/>
  <c r="R326" i="62"/>
  <c r="S326" i="62" s="1"/>
  <c r="R274" i="62"/>
  <c r="S274" i="62" s="1"/>
  <c r="R366" i="62"/>
  <c r="S366" i="62" s="1"/>
  <c r="R308" i="62"/>
  <c r="S308" i="62" s="1"/>
  <c r="R330" i="62"/>
  <c r="S330" i="62" s="1"/>
  <c r="R286" i="62"/>
  <c r="S286" i="62" s="1"/>
  <c r="R263" i="62"/>
  <c r="S263" i="62" s="1"/>
  <c r="R278" i="62"/>
  <c r="S278" i="62" s="1"/>
  <c r="R339" i="62"/>
  <c r="S339" i="62" s="1"/>
  <c r="R269" i="62"/>
  <c r="S269" i="62" s="1"/>
  <c r="R216" i="62"/>
  <c r="S216" i="62" s="1"/>
  <c r="R212" i="62"/>
  <c r="S212" i="62" s="1"/>
  <c r="R291" i="62"/>
  <c r="S291" i="62" s="1"/>
  <c r="R239" i="62"/>
  <c r="S239" i="62" s="1"/>
  <c r="R202" i="62"/>
  <c r="S202" i="62" s="1"/>
  <c r="R254" i="62"/>
  <c r="S254" i="62" s="1"/>
  <c r="R205" i="62"/>
  <c r="S205" i="62" s="1"/>
  <c r="R9" i="62"/>
  <c r="S9" i="62" s="1"/>
  <c r="R95" i="62"/>
  <c r="S95" i="62" s="1"/>
  <c r="R22" i="62"/>
  <c r="S22" i="62" s="1"/>
  <c r="R108" i="62"/>
  <c r="S108" i="62" s="1"/>
  <c r="R33" i="62"/>
  <c r="S33" i="62" s="1"/>
  <c r="R119" i="62"/>
  <c r="S119" i="62" s="1"/>
  <c r="R46" i="62"/>
  <c r="S46" i="62" s="1"/>
  <c r="R132" i="62"/>
  <c r="S132" i="62" s="1"/>
  <c r="R47" i="62"/>
  <c r="S47" i="62" s="1"/>
  <c r="R133" i="62"/>
  <c r="S133" i="62" s="1"/>
  <c r="R48" i="62"/>
  <c r="S48" i="62" s="1"/>
  <c r="R134" i="62"/>
  <c r="S134" i="62" s="1"/>
  <c r="R49" i="62"/>
  <c r="S49" i="62" s="1"/>
  <c r="R135" i="62"/>
  <c r="S135" i="62" s="1"/>
  <c r="R62" i="62"/>
  <c r="S62" i="62" s="1"/>
  <c r="R149" i="62"/>
  <c r="S149" i="62" s="1"/>
  <c r="R59" i="62"/>
  <c r="S59" i="62" s="1"/>
  <c r="R123" i="62"/>
  <c r="S123" i="62" s="1"/>
  <c r="R156" i="62"/>
  <c r="S156" i="62" s="1"/>
  <c r="R50" i="62"/>
  <c r="S50" i="62" s="1"/>
  <c r="R114" i="62"/>
  <c r="S114" i="62" s="1"/>
  <c r="R21" i="62"/>
  <c r="S21" i="62" s="1"/>
  <c r="R105" i="62"/>
  <c r="S105" i="62" s="1"/>
  <c r="R32" i="62"/>
  <c r="S32" i="62" s="1"/>
  <c r="R118" i="62"/>
  <c r="S118" i="62" s="1"/>
  <c r="R45" i="62"/>
  <c r="S45" i="62" s="1"/>
  <c r="R129" i="62"/>
  <c r="S129" i="62" s="1"/>
  <c r="R56" i="62"/>
  <c r="S56" i="62" s="1"/>
  <c r="R142" i="62"/>
  <c r="S142" i="62" s="1"/>
  <c r="R57" i="62"/>
  <c r="S57" i="62" s="1"/>
  <c r="R143" i="62"/>
  <c r="S143" i="62" s="1"/>
  <c r="R60" i="62"/>
  <c r="S60" i="62" s="1"/>
  <c r="R144" i="62"/>
  <c r="S144" i="62" s="1"/>
  <c r="R61" i="62"/>
  <c r="S61" i="62" s="1"/>
  <c r="R145" i="62"/>
  <c r="S145" i="62" s="1"/>
  <c r="R72" i="62"/>
  <c r="S72" i="62" s="1"/>
  <c r="R160" i="62"/>
  <c r="S160" i="62" s="1"/>
  <c r="R67" i="62"/>
  <c r="S67" i="62" s="1"/>
  <c r="R131" i="62"/>
  <c r="S131" i="62" s="1"/>
  <c r="R164" i="62"/>
  <c r="S164" i="62" s="1"/>
  <c r="R58" i="62"/>
  <c r="S58" i="62" s="1"/>
  <c r="R122" i="62"/>
  <c r="S122" i="62" s="1"/>
  <c r="R31" i="62"/>
  <c r="S31" i="62" s="1"/>
  <c r="R117" i="62"/>
  <c r="S117" i="62" s="1"/>
  <c r="R44" i="62"/>
  <c r="S44" i="62" s="1"/>
  <c r="R128" i="62"/>
  <c r="S128" i="62" s="1"/>
  <c r="R55" i="62"/>
  <c r="S55" i="62" s="1"/>
  <c r="R141" i="62"/>
  <c r="S141" i="62" s="1"/>
  <c r="R68" i="62"/>
  <c r="S68" i="62" s="1"/>
  <c r="R153" i="62"/>
  <c r="S153" i="62" s="1"/>
  <c r="R69" i="62"/>
  <c r="S69" i="62" s="1"/>
  <c r="R157" i="62"/>
  <c r="S157" i="62" s="1"/>
  <c r="R70" i="62"/>
  <c r="S70" i="62" s="1"/>
  <c r="R158" i="62"/>
  <c r="S158" i="62" s="1"/>
  <c r="R71" i="62"/>
  <c r="S71" i="62" s="1"/>
  <c r="R159" i="62"/>
  <c r="S159" i="62" s="1"/>
  <c r="R84" i="62"/>
  <c r="S84" i="62" s="1"/>
  <c r="R11" i="62"/>
  <c r="S11" i="62" s="1"/>
  <c r="R75" i="62"/>
  <c r="S75" i="62" s="1"/>
  <c r="R139" i="62"/>
  <c r="S139" i="62" s="1"/>
  <c r="R172" i="62"/>
  <c r="S172" i="62" s="1"/>
  <c r="R66" i="62"/>
  <c r="S66" i="62" s="1"/>
  <c r="R130" i="62"/>
  <c r="S130" i="62" s="1"/>
  <c r="R127" i="62"/>
  <c r="S127" i="62" s="1"/>
  <c r="R54" i="62"/>
  <c r="S54" i="62" s="1"/>
  <c r="R140" i="62"/>
  <c r="S140" i="62" s="1"/>
  <c r="R65" i="62"/>
  <c r="S65" i="62" s="1"/>
  <c r="R152" i="62"/>
  <c r="S152" i="62" s="1"/>
  <c r="R78" i="62"/>
  <c r="S78" i="62" s="1"/>
  <c r="R167" i="62"/>
  <c r="S167" i="62" s="1"/>
  <c r="R79" i="62"/>
  <c r="S79" i="62" s="1"/>
  <c r="R168" i="62"/>
  <c r="S168" i="62" s="1"/>
  <c r="R80" i="62"/>
  <c r="S80" i="62" s="1"/>
  <c r="R169" i="62"/>
  <c r="S169" i="62" s="1"/>
  <c r="R81" i="62"/>
  <c r="S81" i="62" s="1"/>
  <c r="R8" i="62"/>
  <c r="S8" i="62" s="1"/>
  <c r="R94" i="62"/>
  <c r="S94" i="62" s="1"/>
  <c r="R19" i="62"/>
  <c r="S19" i="62" s="1"/>
  <c r="R83" i="62"/>
  <c r="S83" i="62" s="1"/>
  <c r="R147" i="62"/>
  <c r="S147" i="62" s="1"/>
  <c r="R10" i="62"/>
  <c r="S10" i="62" s="1"/>
  <c r="R74" i="62"/>
  <c r="S74" i="62" s="1"/>
  <c r="R138" i="62"/>
  <c r="S138" i="62" s="1"/>
  <c r="R53" i="62"/>
  <c r="S53" i="62" s="1"/>
  <c r="R137" i="62"/>
  <c r="S137" i="62" s="1"/>
  <c r="R64" i="62"/>
  <c r="S64" i="62" s="1"/>
  <c r="R151" i="62"/>
  <c r="S151" i="62" s="1"/>
  <c r="R77" i="62"/>
  <c r="S77" i="62" s="1"/>
  <c r="R166" i="62"/>
  <c r="S166" i="62" s="1"/>
  <c r="R88" i="62"/>
  <c r="S88" i="62" s="1"/>
  <c r="R5" i="62"/>
  <c r="S5" i="62" s="1"/>
  <c r="R89" i="62"/>
  <c r="S89" i="62" s="1"/>
  <c r="R6" i="62"/>
  <c r="S6" i="62" s="1"/>
  <c r="R92" i="62"/>
  <c r="S92" i="62" s="1"/>
  <c r="R7" i="62"/>
  <c r="S7" i="62" s="1"/>
  <c r="R93" i="62"/>
  <c r="S93" i="62" s="1"/>
  <c r="R20" i="62"/>
  <c r="S20" i="62" s="1"/>
  <c r="R104" i="62"/>
  <c r="S104" i="62" s="1"/>
  <c r="R27" i="62"/>
  <c r="S27" i="62" s="1"/>
  <c r="R91" i="62"/>
  <c r="S91" i="62" s="1"/>
  <c r="R155" i="62"/>
  <c r="S155" i="62" s="1"/>
  <c r="R18" i="62"/>
  <c r="S18" i="62" s="1"/>
  <c r="R82" i="62"/>
  <c r="S82" i="62" s="1"/>
  <c r="R146" i="62"/>
  <c r="S146" i="62" s="1"/>
  <c r="R63" i="62"/>
  <c r="S63" i="62" s="1"/>
  <c r="R150" i="62"/>
  <c r="S150" i="62" s="1"/>
  <c r="R76" i="62"/>
  <c r="S76" i="62" s="1"/>
  <c r="R165" i="62"/>
  <c r="S165" i="62" s="1"/>
  <c r="R87" i="62"/>
  <c r="S87" i="62" s="1"/>
  <c r="R14" i="62"/>
  <c r="S14" i="62" s="1"/>
  <c r="R100" i="62"/>
  <c r="S100" i="62" s="1"/>
  <c r="R15" i="62"/>
  <c r="S15" i="62" s="1"/>
  <c r="R101" i="62"/>
  <c r="S101" i="62" s="1"/>
  <c r="R16" i="62"/>
  <c r="S16" i="62" s="1"/>
  <c r="R102" i="62"/>
  <c r="S102" i="62" s="1"/>
  <c r="R17" i="62"/>
  <c r="S17" i="62" s="1"/>
  <c r="R103" i="62"/>
  <c r="S103" i="62" s="1"/>
  <c r="R30" i="62"/>
  <c r="S30" i="62" s="1"/>
  <c r="R116" i="62"/>
  <c r="S116" i="62" s="1"/>
  <c r="R35" i="62"/>
  <c r="S35" i="62" s="1"/>
  <c r="R99" i="62"/>
  <c r="S99" i="62" s="1"/>
  <c r="R163" i="62"/>
  <c r="S163" i="62" s="1"/>
  <c r="R26" i="62"/>
  <c r="S26" i="62" s="1"/>
  <c r="R90" i="62"/>
  <c r="S90" i="62" s="1"/>
  <c r="R154" i="62"/>
  <c r="S154" i="62" s="1"/>
  <c r="R73" i="62"/>
  <c r="S73" i="62" s="1"/>
  <c r="R161" i="62"/>
  <c r="S161" i="62" s="1"/>
  <c r="R86" i="62"/>
  <c r="S86" i="62" s="1"/>
  <c r="R13" i="62"/>
  <c r="S13" i="62" s="1"/>
  <c r="R97" i="62"/>
  <c r="S97" i="62" s="1"/>
  <c r="R24" i="62"/>
  <c r="S24" i="62" s="1"/>
  <c r="R110" i="62"/>
  <c r="S110" i="62" s="1"/>
  <c r="R25" i="62"/>
  <c r="S25" i="62" s="1"/>
  <c r="R111" i="62"/>
  <c r="S111" i="62" s="1"/>
  <c r="R28" i="62"/>
  <c r="S28" i="62" s="1"/>
  <c r="R29" i="62"/>
  <c r="S29" i="62" s="1"/>
  <c r="R113" i="62"/>
  <c r="S113" i="62" s="1"/>
  <c r="R40" i="62"/>
  <c r="S40" i="62" s="1"/>
  <c r="R126" i="62"/>
  <c r="S126" i="62" s="1"/>
  <c r="R43" i="62"/>
  <c r="S43" i="62" s="1"/>
  <c r="R107" i="62"/>
  <c r="S107" i="62" s="1"/>
  <c r="R171" i="62"/>
  <c r="S171" i="62" s="1"/>
  <c r="R34" i="62"/>
  <c r="S34" i="62" s="1"/>
  <c r="R98" i="62"/>
  <c r="S98" i="62" s="1"/>
  <c r="R162" i="62"/>
  <c r="S162" i="62" s="1"/>
  <c r="R85" i="62"/>
  <c r="S85" i="62" s="1"/>
  <c r="R12" i="62"/>
  <c r="S12" i="62" s="1"/>
  <c r="R96" i="62"/>
  <c r="S96" i="62" s="1"/>
  <c r="R23" i="62"/>
  <c r="S23" i="62" s="1"/>
  <c r="R109" i="62"/>
  <c r="S109" i="62" s="1"/>
  <c r="R36" i="62"/>
  <c r="S36" i="62" s="1"/>
  <c r="R120" i="62"/>
  <c r="S120" i="62" s="1"/>
  <c r="R37" i="62"/>
  <c r="S37" i="62" s="1"/>
  <c r="R121" i="62"/>
  <c r="S121" i="62" s="1"/>
  <c r="R38" i="62"/>
  <c r="S38" i="62" s="1"/>
  <c r="R124" i="62"/>
  <c r="S124" i="62" s="1"/>
  <c r="R39" i="62"/>
  <c r="S39" i="62" s="1"/>
  <c r="R125" i="62"/>
  <c r="S125" i="62" s="1"/>
  <c r="R52" i="62"/>
  <c r="S52" i="62" s="1"/>
  <c r="R136" i="62"/>
  <c r="S136" i="62" s="1"/>
  <c r="R51" i="62"/>
  <c r="S51" i="62" s="1"/>
  <c r="R115" i="62"/>
  <c r="S115" i="62" s="1"/>
  <c r="R148" i="62"/>
  <c r="S148" i="62" s="1"/>
  <c r="R106" i="62"/>
  <c r="S106" i="62" s="1"/>
  <c r="B173" i="74" a="1"/>
  <c r="D169" i="74"/>
  <c r="B143" i="74"/>
  <c r="B123" i="74"/>
  <c r="B110" i="74" a="1"/>
  <c r="B108" i="74"/>
  <c r="B95" i="74" a="1"/>
  <c r="B67" i="74" a="1"/>
  <c r="H56" i="74"/>
  <c r="D55" i="74"/>
  <c r="C1" i="74"/>
  <c r="D1" i="74" s="1"/>
  <c r="B173" i="73" a="1"/>
  <c r="G185" i="73" s="1"/>
  <c r="D168" i="73"/>
  <c r="D167" i="73"/>
  <c r="D166" i="73"/>
  <c r="D165" i="73"/>
  <c r="D164" i="73"/>
  <c r="D163" i="73"/>
  <c r="D162" i="73"/>
  <c r="D161" i="73"/>
  <c r="D160" i="73"/>
  <c r="D159" i="73"/>
  <c r="D158" i="73"/>
  <c r="D157" i="73"/>
  <c r="D156" i="73"/>
  <c r="D155" i="73"/>
  <c r="D154" i="73"/>
  <c r="D153" i="73"/>
  <c r="D152" i="73"/>
  <c r="D151" i="73"/>
  <c r="D150" i="73"/>
  <c r="D149" i="73"/>
  <c r="D148" i="73"/>
  <c r="D147" i="73"/>
  <c r="D146" i="73"/>
  <c r="D145" i="73"/>
  <c r="B143" i="73"/>
  <c r="B123" i="73"/>
  <c r="B110" i="73" a="1"/>
  <c r="D117" i="73" s="1"/>
  <c r="B108" i="73"/>
  <c r="B95" i="73" a="1"/>
  <c r="D105" i="73" s="1"/>
  <c r="B67" i="73" a="1"/>
  <c r="G81" i="73" s="1"/>
  <c r="H55" i="73"/>
  <c r="H54" i="73"/>
  <c r="D54" i="73"/>
  <c r="H53" i="73"/>
  <c r="D53" i="73"/>
  <c r="C1" i="73"/>
  <c r="D1" i="73" s="1"/>
  <c r="B173" i="72" a="1"/>
  <c r="G185" i="72" s="1"/>
  <c r="D168" i="72"/>
  <c r="D167" i="72"/>
  <c r="D166" i="72"/>
  <c r="D165" i="72"/>
  <c r="D164" i="72"/>
  <c r="D163" i="72"/>
  <c r="D162" i="72"/>
  <c r="D161" i="72"/>
  <c r="D160" i="72"/>
  <c r="D159" i="72"/>
  <c r="D158" i="72"/>
  <c r="D157" i="72"/>
  <c r="D156" i="72"/>
  <c r="D155" i="72"/>
  <c r="D154" i="72"/>
  <c r="D153" i="72"/>
  <c r="D152" i="72"/>
  <c r="D151" i="72"/>
  <c r="D150" i="72"/>
  <c r="D149" i="72"/>
  <c r="D148" i="72"/>
  <c r="D147" i="72"/>
  <c r="D146" i="72"/>
  <c r="D145" i="72"/>
  <c r="B143" i="72"/>
  <c r="B123" i="72"/>
  <c r="B110" i="72" a="1"/>
  <c r="D117" i="72" s="1"/>
  <c r="B108" i="72"/>
  <c r="B95" i="72" a="1"/>
  <c r="D105" i="72" s="1"/>
  <c r="B67" i="72" a="1"/>
  <c r="G81" i="72" s="1"/>
  <c r="H55" i="72"/>
  <c r="H54" i="72"/>
  <c r="D54" i="72"/>
  <c r="H53" i="72"/>
  <c r="D53" i="72"/>
  <c r="D131" i="72"/>
  <c r="C1" i="72"/>
  <c r="D1" i="72" s="1"/>
  <c r="B173" i="71" a="1"/>
  <c r="G196" i="71" s="1"/>
  <c r="D168" i="71"/>
  <c r="D167" i="71"/>
  <c r="D166" i="71"/>
  <c r="D165" i="71"/>
  <c r="D164" i="71"/>
  <c r="D163" i="71"/>
  <c r="D162" i="71"/>
  <c r="D161" i="71"/>
  <c r="D160" i="71"/>
  <c r="D159" i="71"/>
  <c r="D158" i="71"/>
  <c r="D157" i="71"/>
  <c r="D156" i="71"/>
  <c r="D155" i="71"/>
  <c r="D154" i="71"/>
  <c r="D153" i="71"/>
  <c r="D152" i="71"/>
  <c r="D151" i="71"/>
  <c r="D150" i="71"/>
  <c r="D149" i="71"/>
  <c r="D148" i="71"/>
  <c r="D147" i="71"/>
  <c r="D146" i="71"/>
  <c r="D145" i="71"/>
  <c r="B143" i="71"/>
  <c r="B123" i="71"/>
  <c r="B110" i="71" a="1"/>
  <c r="D117" i="71" s="1"/>
  <c r="B108" i="71"/>
  <c r="B95" i="71" a="1"/>
  <c r="D105" i="71" s="1"/>
  <c r="B67" i="71" a="1"/>
  <c r="G80" i="71" s="1"/>
  <c r="H55" i="71"/>
  <c r="H54" i="71"/>
  <c r="D54" i="71"/>
  <c r="H53" i="71"/>
  <c r="D53" i="71"/>
  <c r="C1" i="71"/>
  <c r="D1" i="71" s="1"/>
  <c r="B173" i="70" a="1"/>
  <c r="G185" i="70" s="1"/>
  <c r="D168" i="70"/>
  <c r="D167" i="70"/>
  <c r="D166" i="70"/>
  <c r="D165" i="70"/>
  <c r="D164" i="70"/>
  <c r="D163" i="70"/>
  <c r="D162" i="70"/>
  <c r="D161" i="70"/>
  <c r="D160" i="70"/>
  <c r="D159" i="70"/>
  <c r="D158" i="70"/>
  <c r="D157" i="70"/>
  <c r="D156" i="70"/>
  <c r="D155" i="70"/>
  <c r="D154" i="70"/>
  <c r="D153" i="70"/>
  <c r="D152" i="70"/>
  <c r="D151" i="70"/>
  <c r="D150" i="70"/>
  <c r="D149" i="70"/>
  <c r="D148" i="70"/>
  <c r="D147" i="70"/>
  <c r="D146" i="70"/>
  <c r="D145" i="70"/>
  <c r="B143" i="70"/>
  <c r="B123" i="70"/>
  <c r="B110" i="70" a="1"/>
  <c r="D117" i="70" s="1"/>
  <c r="B108" i="70"/>
  <c r="B95" i="70" a="1"/>
  <c r="D105" i="70" s="1"/>
  <c r="B67" i="70" a="1"/>
  <c r="G80" i="70" s="1"/>
  <c r="H55" i="70"/>
  <c r="H54" i="70"/>
  <c r="D54" i="70"/>
  <c r="H53" i="70"/>
  <c r="D53" i="70"/>
  <c r="C1" i="70"/>
  <c r="D1" i="70" s="1"/>
  <c r="B173" i="69" a="1"/>
  <c r="G185" i="69" s="1"/>
  <c r="D168" i="69"/>
  <c r="D167" i="69"/>
  <c r="D166" i="69"/>
  <c r="D165" i="69"/>
  <c r="D164" i="69"/>
  <c r="D163" i="69"/>
  <c r="D162" i="69"/>
  <c r="D161" i="69"/>
  <c r="D160" i="69"/>
  <c r="D159" i="69"/>
  <c r="D158" i="69"/>
  <c r="D157" i="69"/>
  <c r="D156" i="69"/>
  <c r="D155" i="69"/>
  <c r="D154" i="69"/>
  <c r="D153" i="69"/>
  <c r="D152" i="69"/>
  <c r="D151" i="69"/>
  <c r="D150" i="69"/>
  <c r="D149" i="69"/>
  <c r="D148" i="69"/>
  <c r="D147" i="69"/>
  <c r="D146" i="69"/>
  <c r="D145" i="69"/>
  <c r="B143" i="69"/>
  <c r="B123" i="69"/>
  <c r="B110" i="69" a="1"/>
  <c r="D117" i="69" s="1"/>
  <c r="B108" i="69"/>
  <c r="B95" i="69" a="1"/>
  <c r="D105" i="69" s="1"/>
  <c r="B67" i="69" a="1"/>
  <c r="G81" i="69" s="1"/>
  <c r="H55" i="69"/>
  <c r="H54" i="69"/>
  <c r="D54" i="69"/>
  <c r="H53" i="69"/>
  <c r="D53" i="69"/>
  <c r="O4" i="69"/>
  <c r="M4" i="69"/>
  <c r="C1" i="69"/>
  <c r="D1" i="69" s="1"/>
  <c r="B173" i="68" a="1"/>
  <c r="G185" i="68" s="1"/>
  <c r="D168" i="68"/>
  <c r="D167" i="68"/>
  <c r="D166" i="68"/>
  <c r="D165" i="68"/>
  <c r="D164" i="68"/>
  <c r="D163" i="68"/>
  <c r="D162" i="68"/>
  <c r="D161" i="68"/>
  <c r="D160" i="68"/>
  <c r="D159" i="68"/>
  <c r="D158" i="68"/>
  <c r="D157" i="68"/>
  <c r="D156" i="68"/>
  <c r="D155" i="68"/>
  <c r="D154" i="68"/>
  <c r="D153" i="68"/>
  <c r="D152" i="68"/>
  <c r="D151" i="68"/>
  <c r="D150" i="68"/>
  <c r="D149" i="68"/>
  <c r="D148" i="68"/>
  <c r="D147" i="68"/>
  <c r="D146" i="68"/>
  <c r="D145" i="68"/>
  <c r="B143" i="68"/>
  <c r="B123" i="68"/>
  <c r="B110" i="68" a="1"/>
  <c r="D117" i="68" s="1"/>
  <c r="B108" i="68"/>
  <c r="B95" i="68" a="1"/>
  <c r="D105" i="68" s="1"/>
  <c r="B67" i="68" a="1"/>
  <c r="G81" i="68" s="1"/>
  <c r="H55" i="68"/>
  <c r="H54" i="68"/>
  <c r="D54" i="68"/>
  <c r="H53" i="68"/>
  <c r="D53" i="68"/>
  <c r="O4" i="68"/>
  <c r="M4" i="68"/>
  <c r="C1" i="68"/>
  <c r="D1" i="68" s="1"/>
  <c r="B173" i="67" a="1"/>
  <c r="G185" i="67" s="1"/>
  <c r="D168" i="67"/>
  <c r="D167" i="67"/>
  <c r="D166" i="67"/>
  <c r="D165" i="67"/>
  <c r="D164" i="67"/>
  <c r="D163" i="67"/>
  <c r="D162" i="67"/>
  <c r="D161" i="67"/>
  <c r="D160" i="67"/>
  <c r="D159" i="67"/>
  <c r="D158" i="67"/>
  <c r="D157" i="67"/>
  <c r="D156" i="67"/>
  <c r="D155" i="67"/>
  <c r="D154" i="67"/>
  <c r="D153" i="67"/>
  <c r="D152" i="67"/>
  <c r="D151" i="67"/>
  <c r="D150" i="67"/>
  <c r="D149" i="67"/>
  <c r="D148" i="67"/>
  <c r="D147" i="67"/>
  <c r="D146" i="67"/>
  <c r="D145" i="67"/>
  <c r="B143" i="67"/>
  <c r="B123" i="67"/>
  <c r="B110" i="67" a="1"/>
  <c r="D117" i="67" s="1"/>
  <c r="B108" i="67"/>
  <c r="B95" i="67" a="1"/>
  <c r="D105" i="67" s="1"/>
  <c r="B67" i="67" a="1"/>
  <c r="G81" i="67" s="1"/>
  <c r="H55" i="67"/>
  <c r="H54" i="67"/>
  <c r="D54" i="67"/>
  <c r="H53" i="67"/>
  <c r="D53" i="67"/>
  <c r="O4" i="67"/>
  <c r="M4" i="67"/>
  <c r="C1" i="67"/>
  <c r="D1" i="67" s="1"/>
  <c r="B173" i="66" a="1"/>
  <c r="G185" i="66" s="1"/>
  <c r="D168" i="66"/>
  <c r="D167" i="66"/>
  <c r="D166" i="66"/>
  <c r="D165" i="66"/>
  <c r="D164" i="66"/>
  <c r="D163" i="66"/>
  <c r="D162" i="66"/>
  <c r="D161" i="66"/>
  <c r="D160" i="66"/>
  <c r="D159" i="66"/>
  <c r="D158" i="66"/>
  <c r="D157" i="66"/>
  <c r="D156" i="66"/>
  <c r="D155" i="66"/>
  <c r="D154" i="66"/>
  <c r="D153" i="66"/>
  <c r="D152" i="66"/>
  <c r="D151" i="66"/>
  <c r="D150" i="66"/>
  <c r="D149" i="66"/>
  <c r="D148" i="66"/>
  <c r="D147" i="66"/>
  <c r="D146" i="66"/>
  <c r="D145" i="66"/>
  <c r="B143" i="66"/>
  <c r="B123" i="66"/>
  <c r="B110" i="66" a="1"/>
  <c r="D117" i="66" s="1"/>
  <c r="B108" i="66"/>
  <c r="B95" i="66" a="1"/>
  <c r="D105" i="66" s="1"/>
  <c r="B67" i="66" a="1"/>
  <c r="G81" i="66" s="1"/>
  <c r="H55" i="66"/>
  <c r="H54" i="66"/>
  <c r="D54" i="66"/>
  <c r="H53" i="66"/>
  <c r="D53" i="66"/>
  <c r="O4" i="66"/>
  <c r="M4" i="66"/>
  <c r="C1" i="66"/>
  <c r="D1" i="66" s="1"/>
  <c r="B173" i="65" a="1"/>
  <c r="G185" i="65" s="1"/>
  <c r="D168" i="65"/>
  <c r="D167" i="65"/>
  <c r="D166" i="65"/>
  <c r="D165" i="65"/>
  <c r="D164" i="65"/>
  <c r="D163" i="65"/>
  <c r="D162" i="65"/>
  <c r="D161" i="65"/>
  <c r="D160" i="65"/>
  <c r="D159" i="65"/>
  <c r="D158" i="65"/>
  <c r="D157" i="65"/>
  <c r="D156" i="65"/>
  <c r="D155" i="65"/>
  <c r="D154" i="65"/>
  <c r="D153" i="65"/>
  <c r="D152" i="65"/>
  <c r="D151" i="65"/>
  <c r="D150" i="65"/>
  <c r="D149" i="65"/>
  <c r="D148" i="65"/>
  <c r="D147" i="65"/>
  <c r="D146" i="65"/>
  <c r="D145" i="65"/>
  <c r="B143" i="65"/>
  <c r="B123" i="65"/>
  <c r="B110" i="65" a="1"/>
  <c r="D117" i="65" s="1"/>
  <c r="B108" i="65"/>
  <c r="B95" i="65" a="1"/>
  <c r="D105" i="65" s="1"/>
  <c r="B67" i="65" a="1"/>
  <c r="G81" i="65" s="1"/>
  <c r="H55" i="65"/>
  <c r="H54" i="65"/>
  <c r="D54" i="65"/>
  <c r="H53" i="65"/>
  <c r="D53" i="65"/>
  <c r="O4" i="65"/>
  <c r="M4" i="65"/>
  <c r="C1" i="65"/>
  <c r="D1" i="65" s="1"/>
  <c r="B173" i="64" a="1"/>
  <c r="G185" i="64" s="1"/>
  <c r="D168" i="64"/>
  <c r="D167" i="64"/>
  <c r="D166" i="64"/>
  <c r="D165" i="64"/>
  <c r="D164" i="64"/>
  <c r="D163" i="64"/>
  <c r="D162" i="64"/>
  <c r="D161" i="64"/>
  <c r="D160" i="64"/>
  <c r="D159" i="64"/>
  <c r="D158" i="64"/>
  <c r="D157" i="64"/>
  <c r="D156" i="64"/>
  <c r="D155" i="64"/>
  <c r="D154" i="64"/>
  <c r="D153" i="64"/>
  <c r="D152" i="64"/>
  <c r="D151" i="64"/>
  <c r="D150" i="64"/>
  <c r="D149" i="64"/>
  <c r="D148" i="64"/>
  <c r="D147" i="64"/>
  <c r="D146" i="64"/>
  <c r="D145" i="64"/>
  <c r="B123" i="64"/>
  <c r="B110" i="64" a="1"/>
  <c r="D117" i="64" s="1"/>
  <c r="B108" i="64"/>
  <c r="B95" i="64" a="1"/>
  <c r="D105" i="64" s="1"/>
  <c r="B67" i="64" a="1"/>
  <c r="G81" i="64" s="1"/>
  <c r="H55" i="64"/>
  <c r="H54" i="64"/>
  <c r="D54" i="64"/>
  <c r="H53" i="64"/>
  <c r="D53" i="64"/>
  <c r="O4" i="64"/>
  <c r="M4" i="64"/>
  <c r="D139" i="64" s="1"/>
  <c r="C1" i="64"/>
  <c r="D1" i="64" s="1"/>
  <c r="B50" i="61" a="1"/>
  <c r="B50" i="61" s="1"/>
  <c r="B35" i="61" a="1"/>
  <c r="B19" i="61" a="1"/>
  <c r="B19" i="61" s="1"/>
  <c r="B4" i="61" a="1"/>
  <c r="D55" i="68" l="1"/>
  <c r="D55" i="70"/>
  <c r="D55" i="71"/>
  <c r="D137" i="64"/>
  <c r="D136" i="64"/>
  <c r="D138" i="64"/>
  <c r="D139" i="66"/>
  <c r="F90" i="61"/>
  <c r="D139" i="69"/>
  <c r="I90" i="61"/>
  <c r="L90" i="61"/>
  <c r="D139" i="72"/>
  <c r="J90" i="61"/>
  <c r="D139" i="70"/>
  <c r="G90" i="61"/>
  <c r="D139" i="67"/>
  <c r="D139" i="68"/>
  <c r="H90" i="61"/>
  <c r="D139" i="74"/>
  <c r="N90" i="61"/>
  <c r="M90" i="61"/>
  <c r="D139" i="73"/>
  <c r="D90" i="61"/>
  <c r="E90" i="61"/>
  <c r="D139" i="65"/>
  <c r="D139" i="71"/>
  <c r="K90" i="61"/>
  <c r="D55" i="67"/>
  <c r="D104" i="64"/>
  <c r="G85" i="73"/>
  <c r="G88" i="66"/>
  <c r="G86" i="73"/>
  <c r="G87" i="73"/>
  <c r="D137" i="70"/>
  <c r="D138" i="70"/>
  <c r="D136" i="70"/>
  <c r="J89" i="61"/>
  <c r="J88" i="61"/>
  <c r="J87" i="61"/>
  <c r="D138" i="69"/>
  <c r="D137" i="69"/>
  <c r="I89" i="61"/>
  <c r="D136" i="69"/>
  <c r="I88" i="61"/>
  <c r="I87" i="61"/>
  <c r="L89" i="61"/>
  <c r="D137" i="72"/>
  <c r="D138" i="72"/>
  <c r="L88" i="61"/>
  <c r="D136" i="72"/>
  <c r="L87" i="61"/>
  <c r="D137" i="74"/>
  <c r="D138" i="74"/>
  <c r="D136" i="74"/>
  <c r="N89" i="61"/>
  <c r="N88" i="61"/>
  <c r="N87" i="61"/>
  <c r="D137" i="68"/>
  <c r="D138" i="68"/>
  <c r="H88" i="61"/>
  <c r="H89" i="61"/>
  <c r="D136" i="68"/>
  <c r="H87" i="61"/>
  <c r="D138" i="73"/>
  <c r="M88" i="61"/>
  <c r="D136" i="73"/>
  <c r="D137" i="73"/>
  <c r="M89" i="61"/>
  <c r="M87" i="61"/>
  <c r="K89" i="61"/>
  <c r="K88" i="61"/>
  <c r="D138" i="71"/>
  <c r="D137" i="71"/>
  <c r="D136" i="71"/>
  <c r="K87" i="61"/>
  <c r="D88" i="61"/>
  <c r="D89" i="61"/>
  <c r="D87" i="61"/>
  <c r="G88" i="61"/>
  <c r="D136" i="67"/>
  <c r="D137" i="67"/>
  <c r="G89" i="61"/>
  <c r="D138" i="67"/>
  <c r="G87" i="61"/>
  <c r="F89" i="61"/>
  <c r="D137" i="66"/>
  <c r="F88" i="61"/>
  <c r="D138" i="66"/>
  <c r="D136" i="66"/>
  <c r="F87" i="61"/>
  <c r="D137" i="65"/>
  <c r="E88" i="61"/>
  <c r="D138" i="65"/>
  <c r="D136" i="65"/>
  <c r="E89" i="61"/>
  <c r="E87" i="61"/>
  <c r="G191" i="73"/>
  <c r="G192" i="73"/>
  <c r="N66" i="61"/>
  <c r="D129" i="74"/>
  <c r="D128" i="74"/>
  <c r="D127" i="74"/>
  <c r="D126" i="74"/>
  <c r="D125" i="74"/>
  <c r="N69" i="61"/>
  <c r="N68" i="61"/>
  <c r="N67" i="61"/>
  <c r="D130" i="74"/>
  <c r="N65" i="61"/>
  <c r="N71" i="61"/>
  <c r="N70" i="61"/>
  <c r="D131" i="74"/>
  <c r="D131" i="73"/>
  <c r="G84" i="73"/>
  <c r="G188" i="73"/>
  <c r="D55" i="73"/>
  <c r="M69" i="61"/>
  <c r="M67" i="61"/>
  <c r="M70" i="61"/>
  <c r="M65" i="61"/>
  <c r="M71" i="61"/>
  <c r="M68" i="61"/>
  <c r="M66" i="61"/>
  <c r="G68" i="73"/>
  <c r="G71" i="73"/>
  <c r="D55" i="72"/>
  <c r="G174" i="72"/>
  <c r="L65" i="61"/>
  <c r="L71" i="61"/>
  <c r="L67" i="61"/>
  <c r="L70" i="61"/>
  <c r="L69" i="61"/>
  <c r="L68" i="61"/>
  <c r="L66" i="61"/>
  <c r="G175" i="72"/>
  <c r="G179" i="72"/>
  <c r="G189" i="72"/>
  <c r="B95" i="72"/>
  <c r="D95" i="72" s="1"/>
  <c r="D98" i="72"/>
  <c r="D99" i="72"/>
  <c r="H56" i="71"/>
  <c r="K69" i="61"/>
  <c r="K68" i="61"/>
  <c r="K67" i="61"/>
  <c r="K66" i="61"/>
  <c r="K70" i="61"/>
  <c r="K71" i="61"/>
  <c r="K65" i="61"/>
  <c r="D169" i="71"/>
  <c r="D131" i="71"/>
  <c r="D131" i="70"/>
  <c r="G83" i="70"/>
  <c r="J66" i="61"/>
  <c r="J65" i="61"/>
  <c r="J69" i="61"/>
  <c r="J71" i="61"/>
  <c r="J70" i="61"/>
  <c r="J68" i="61"/>
  <c r="J67" i="61"/>
  <c r="H56" i="70"/>
  <c r="D55" i="69"/>
  <c r="I69" i="61"/>
  <c r="I65" i="61"/>
  <c r="I68" i="61"/>
  <c r="I71" i="61"/>
  <c r="I70" i="61"/>
  <c r="I67" i="61"/>
  <c r="I66" i="61"/>
  <c r="D127" i="68"/>
  <c r="G187" i="68"/>
  <c r="G188" i="68"/>
  <c r="G193" i="68"/>
  <c r="H65" i="61"/>
  <c r="H71" i="61"/>
  <c r="H66" i="61"/>
  <c r="H69" i="61"/>
  <c r="H70" i="61"/>
  <c r="H68" i="61"/>
  <c r="H67" i="61"/>
  <c r="D131" i="67"/>
  <c r="G69" i="61"/>
  <c r="G68" i="61"/>
  <c r="G66" i="61"/>
  <c r="G67" i="61"/>
  <c r="G71" i="61"/>
  <c r="G70" i="61"/>
  <c r="G65" i="61"/>
  <c r="G71" i="66"/>
  <c r="G72" i="66"/>
  <c r="G73" i="66"/>
  <c r="F66" i="61"/>
  <c r="F65" i="61"/>
  <c r="F69" i="61"/>
  <c r="F71" i="61"/>
  <c r="F70" i="61"/>
  <c r="F68" i="61"/>
  <c r="F67" i="61"/>
  <c r="G74" i="66"/>
  <c r="G75" i="66"/>
  <c r="D55" i="66"/>
  <c r="G82" i="66"/>
  <c r="G76" i="66"/>
  <c r="G83" i="66"/>
  <c r="D55" i="65"/>
  <c r="D126" i="65"/>
  <c r="E68" i="61"/>
  <c r="E67" i="61"/>
  <c r="E69" i="61"/>
  <c r="E66" i="61"/>
  <c r="E71" i="61"/>
  <c r="E70" i="61"/>
  <c r="E65" i="61"/>
  <c r="D68" i="61"/>
  <c r="D67" i="61"/>
  <c r="D69" i="61"/>
  <c r="D66" i="61"/>
  <c r="D65" i="61"/>
  <c r="D71" i="61"/>
  <c r="D70" i="61"/>
  <c r="G82" i="68"/>
  <c r="G180" i="67"/>
  <c r="G84" i="68"/>
  <c r="G182" i="67"/>
  <c r="G179" i="64"/>
  <c r="G84" i="67"/>
  <c r="D119" i="72"/>
  <c r="G184" i="64"/>
  <c r="D96" i="69"/>
  <c r="D100" i="64"/>
  <c r="G187" i="64"/>
  <c r="G85" i="66"/>
  <c r="G186" i="67"/>
  <c r="B95" i="69"/>
  <c r="D95" i="69" s="1"/>
  <c r="H62" i="71"/>
  <c r="G70" i="73"/>
  <c r="D119" i="71"/>
  <c r="G85" i="68"/>
  <c r="G82" i="65"/>
  <c r="G72" i="67"/>
  <c r="G194" i="67"/>
  <c r="D118" i="72"/>
  <c r="G180" i="64"/>
  <c r="G189" i="64"/>
  <c r="H61" i="72"/>
  <c r="G192" i="64"/>
  <c r="G196" i="64"/>
  <c r="G70" i="66"/>
  <c r="B67" i="70"/>
  <c r="G67" i="70" s="1"/>
  <c r="G86" i="71"/>
  <c r="D96" i="66"/>
  <c r="H62" i="72"/>
  <c r="D101" i="65"/>
  <c r="D98" i="66"/>
  <c r="G180" i="66"/>
  <c r="D119" i="67"/>
  <c r="D96" i="68"/>
  <c r="G175" i="68"/>
  <c r="G71" i="70"/>
  <c r="G90" i="70"/>
  <c r="G187" i="70"/>
  <c r="H61" i="73"/>
  <c r="B95" i="73"/>
  <c r="D95" i="73" s="1"/>
  <c r="G174" i="73"/>
  <c r="G85" i="71"/>
  <c r="B95" i="65"/>
  <c r="D95" i="65" s="1"/>
  <c r="B95" i="66"/>
  <c r="D95" i="66" s="1"/>
  <c r="G73" i="64"/>
  <c r="D96" i="65"/>
  <c r="G86" i="70"/>
  <c r="G179" i="70"/>
  <c r="G86" i="72"/>
  <c r="G83" i="64"/>
  <c r="D100" i="65"/>
  <c r="G186" i="70"/>
  <c r="G86" i="64"/>
  <c r="D103" i="65"/>
  <c r="D99" i="66"/>
  <c r="G72" i="70"/>
  <c r="G189" i="70"/>
  <c r="D96" i="73"/>
  <c r="G87" i="64"/>
  <c r="G73" i="67"/>
  <c r="D100" i="73"/>
  <c r="G176" i="73"/>
  <c r="G175" i="64"/>
  <c r="D103" i="73"/>
  <c r="G177" i="73"/>
  <c r="G176" i="64"/>
  <c r="G84" i="66"/>
  <c r="D104" i="66"/>
  <c r="G75" i="67"/>
  <c r="D118" i="68"/>
  <c r="G180" i="68"/>
  <c r="D100" i="69"/>
  <c r="G75" i="70"/>
  <c r="G186" i="72"/>
  <c r="G72" i="73"/>
  <c r="D104" i="73"/>
  <c r="G178" i="73"/>
  <c r="G68" i="64"/>
  <c r="G84" i="70"/>
  <c r="H60" i="70"/>
  <c r="G69" i="70"/>
  <c r="D118" i="67"/>
  <c r="G84" i="64"/>
  <c r="G181" i="66"/>
  <c r="D100" i="66"/>
  <c r="G74" i="70"/>
  <c r="G76" i="67"/>
  <c r="D119" i="68"/>
  <c r="G181" i="68"/>
  <c r="D101" i="69"/>
  <c r="G78" i="70"/>
  <c r="G187" i="72"/>
  <c r="G75" i="73"/>
  <c r="G186" i="73"/>
  <c r="G71" i="64"/>
  <c r="G85" i="70"/>
  <c r="G178" i="70"/>
  <c r="D97" i="66"/>
  <c r="B95" i="68"/>
  <c r="D95" i="68" s="1"/>
  <c r="G174" i="68"/>
  <c r="G70" i="70"/>
  <c r="G87" i="70"/>
  <c r="D103" i="68"/>
  <c r="G176" i="68"/>
  <c r="G175" i="73"/>
  <c r="G186" i="66"/>
  <c r="G177" i="68"/>
  <c r="G192" i="69"/>
  <c r="G73" i="70"/>
  <c r="D101" i="66"/>
  <c r="G74" i="67"/>
  <c r="G178" i="68"/>
  <c r="D97" i="69"/>
  <c r="G177" i="64"/>
  <c r="D103" i="64"/>
  <c r="G178" i="64"/>
  <c r="G70" i="65"/>
  <c r="G87" i="66"/>
  <c r="G83" i="67"/>
  <c r="G179" i="67"/>
  <c r="G74" i="68"/>
  <c r="G186" i="68"/>
  <c r="D103" i="69"/>
  <c r="G79" i="70"/>
  <c r="G188" i="72"/>
  <c r="G76" i="73"/>
  <c r="G187" i="73"/>
  <c r="G174" i="65"/>
  <c r="G83" i="74"/>
  <c r="G71" i="74"/>
  <c r="G81" i="74"/>
  <c r="G69" i="74"/>
  <c r="G80" i="74"/>
  <c r="G68" i="74"/>
  <c r="G89" i="74"/>
  <c r="G77" i="74"/>
  <c r="G88" i="74"/>
  <c r="G76" i="74"/>
  <c r="G84" i="74"/>
  <c r="G79" i="74"/>
  <c r="G82" i="74"/>
  <c r="G78" i="74"/>
  <c r="G74" i="74"/>
  <c r="G72" i="74"/>
  <c r="G73" i="74"/>
  <c r="G87" i="74"/>
  <c r="G86" i="74"/>
  <c r="G70" i="74"/>
  <c r="G75" i="74"/>
  <c r="G85" i="74"/>
  <c r="G90" i="74"/>
  <c r="G85" i="64"/>
  <c r="G175" i="65"/>
  <c r="G5" i="58"/>
  <c r="G6" i="58"/>
  <c r="G4" i="58"/>
  <c r="G184" i="66"/>
  <c r="D96" i="67"/>
  <c r="G181" i="67"/>
  <c r="G83" i="68"/>
  <c r="G70" i="69"/>
  <c r="G174" i="69"/>
  <c r="D119" i="70"/>
  <c r="G182" i="70"/>
  <c r="G87" i="71"/>
  <c r="G188" i="71"/>
  <c r="G70" i="72"/>
  <c r="B67" i="74"/>
  <c r="G67" i="74" s="1"/>
  <c r="D99" i="74"/>
  <c r="D97" i="74"/>
  <c r="D96" i="74"/>
  <c r="D105" i="74"/>
  <c r="D104" i="74"/>
  <c r="D102" i="74"/>
  <c r="D103" i="74"/>
  <c r="D100" i="74"/>
  <c r="D98" i="74"/>
  <c r="D101" i="74"/>
  <c r="G190" i="71"/>
  <c r="G72" i="72"/>
  <c r="D96" i="72"/>
  <c r="G190" i="72"/>
  <c r="G73" i="73"/>
  <c r="G88" i="73"/>
  <c r="D118" i="73"/>
  <c r="G179" i="73"/>
  <c r="O5" i="58"/>
  <c r="H61" i="74"/>
  <c r="H60" i="74"/>
  <c r="O4" i="58"/>
  <c r="O6" i="58"/>
  <c r="H62" i="74"/>
  <c r="B95" i="74"/>
  <c r="D95" i="74" s="1"/>
  <c r="G185" i="71"/>
  <c r="G175" i="69"/>
  <c r="H62" i="68"/>
  <c r="I5" i="58"/>
  <c r="I4" i="58"/>
  <c r="I6" i="58"/>
  <c r="L6" i="58"/>
  <c r="L5" i="58"/>
  <c r="L4" i="58"/>
  <c r="D96" i="71"/>
  <c r="B4" i="61"/>
  <c r="M12" i="61"/>
  <c r="L8" i="61"/>
  <c r="J12" i="61"/>
  <c r="I14" i="61"/>
  <c r="G12" i="61"/>
  <c r="E8" i="61"/>
  <c r="F7" i="61"/>
  <c r="M11" i="61"/>
  <c r="L7" i="61"/>
  <c r="J11" i="61"/>
  <c r="I13" i="61"/>
  <c r="G11" i="61"/>
  <c r="E7" i="61"/>
  <c r="F6" i="61"/>
  <c r="D14" i="61"/>
  <c r="N14" i="61"/>
  <c r="M10" i="61"/>
  <c r="L6" i="61"/>
  <c r="K14" i="61"/>
  <c r="J10" i="61"/>
  <c r="I12" i="61"/>
  <c r="H14" i="61"/>
  <c r="G10" i="61"/>
  <c r="E6" i="61"/>
  <c r="F5" i="61"/>
  <c r="D13" i="61"/>
  <c r="N13" i="61"/>
  <c r="M9" i="61"/>
  <c r="L5" i="61"/>
  <c r="K13" i="61"/>
  <c r="J9" i="61"/>
  <c r="I11" i="61"/>
  <c r="H13" i="61"/>
  <c r="G9" i="61"/>
  <c r="E5" i="61"/>
  <c r="D12" i="61"/>
  <c r="N10" i="61"/>
  <c r="M6" i="61"/>
  <c r="L14" i="61"/>
  <c r="K10" i="61"/>
  <c r="J6" i="61"/>
  <c r="I8" i="61"/>
  <c r="H10" i="61"/>
  <c r="G6" i="61"/>
  <c r="E14" i="61"/>
  <c r="F13" i="61"/>
  <c r="D9" i="61"/>
  <c r="N9" i="61"/>
  <c r="M5" i="61"/>
  <c r="L13" i="61"/>
  <c r="K9" i="61"/>
  <c r="J5" i="61"/>
  <c r="I7" i="61"/>
  <c r="H9" i="61"/>
  <c r="G5" i="61"/>
  <c r="E13" i="61"/>
  <c r="F12" i="61"/>
  <c r="D8" i="61"/>
  <c r="N8" i="61"/>
  <c r="K6" i="61"/>
  <c r="I9" i="61"/>
  <c r="E9" i="61"/>
  <c r="D7" i="61"/>
  <c r="N6" i="61"/>
  <c r="L11" i="61"/>
  <c r="I5" i="61"/>
  <c r="D5" i="61"/>
  <c r="J14" i="61"/>
  <c r="G8" i="61"/>
  <c r="F11" i="61"/>
  <c r="N7" i="61"/>
  <c r="L12" i="61"/>
  <c r="K5" i="61"/>
  <c r="I6" i="61"/>
  <c r="G14" i="61"/>
  <c r="D6" i="61"/>
  <c r="G13" i="61"/>
  <c r="F14" i="61"/>
  <c r="N5" i="61"/>
  <c r="L10" i="61"/>
  <c r="M14" i="61"/>
  <c r="J8" i="61"/>
  <c r="F9" i="61"/>
  <c r="M13" i="61"/>
  <c r="J7" i="61"/>
  <c r="H12" i="61"/>
  <c r="F8" i="61"/>
  <c r="M8" i="61"/>
  <c r="H11" i="61"/>
  <c r="M7" i="61"/>
  <c r="K12" i="61"/>
  <c r="H8" i="61"/>
  <c r="E11" i="61"/>
  <c r="H6" i="61"/>
  <c r="E10" i="61"/>
  <c r="D11" i="61"/>
  <c r="H7" i="61"/>
  <c r="G7" i="61"/>
  <c r="F10" i="61"/>
  <c r="D10" i="61"/>
  <c r="K11" i="61"/>
  <c r="H5" i="61"/>
  <c r="K7" i="61"/>
  <c r="L9" i="61"/>
  <c r="I10" i="61"/>
  <c r="K8" i="61"/>
  <c r="J13" i="61"/>
  <c r="N12" i="61"/>
  <c r="N11" i="61"/>
  <c r="E12" i="61"/>
  <c r="G72" i="64"/>
  <c r="G88" i="64"/>
  <c r="D119" i="64"/>
  <c r="H62" i="65"/>
  <c r="F4" i="58"/>
  <c r="F5" i="58"/>
  <c r="F6" i="58"/>
  <c r="D113" i="65"/>
  <c r="G181" i="65"/>
  <c r="B173" i="66"/>
  <c r="G173" i="66" s="1"/>
  <c r="G188" i="66"/>
  <c r="G82" i="67"/>
  <c r="D99" i="67"/>
  <c r="G187" i="67"/>
  <c r="G76" i="69"/>
  <c r="G177" i="69"/>
  <c r="B95" i="70"/>
  <c r="D95" i="70" s="1"/>
  <c r="G188" i="70"/>
  <c r="G71" i="71"/>
  <c r="D97" i="71"/>
  <c r="G175" i="71"/>
  <c r="G191" i="71"/>
  <c r="G73" i="72"/>
  <c r="D97" i="72"/>
  <c r="G74" i="73"/>
  <c r="D119" i="73"/>
  <c r="G180" i="73"/>
  <c r="E5" i="58"/>
  <c r="E4" i="58"/>
  <c r="E6" i="58"/>
  <c r="G176" i="65"/>
  <c r="H6" i="58"/>
  <c r="H5" i="58"/>
  <c r="H4" i="58"/>
  <c r="D97" i="67"/>
  <c r="G189" i="71"/>
  <c r="G176" i="69"/>
  <c r="G72" i="71"/>
  <c r="G192" i="71"/>
  <c r="D119" i="65"/>
  <c r="G175" i="66"/>
  <c r="G190" i="66"/>
  <c r="D101" i="67"/>
  <c r="G174" i="67"/>
  <c r="G189" i="67"/>
  <c r="G83" i="69"/>
  <c r="G181" i="69"/>
  <c r="D97" i="70"/>
  <c r="G193" i="71"/>
  <c r="G79" i="72"/>
  <c r="G75" i="64"/>
  <c r="D96" i="64"/>
  <c r="G188" i="64"/>
  <c r="G188" i="65"/>
  <c r="H62" i="66"/>
  <c r="G86" i="66"/>
  <c r="G176" i="66"/>
  <c r="G191" i="66"/>
  <c r="G85" i="67"/>
  <c r="D102" i="67"/>
  <c r="G175" i="67"/>
  <c r="G190" i="67"/>
  <c r="G70" i="68"/>
  <c r="D97" i="68"/>
  <c r="G189" i="68"/>
  <c r="G84" i="69"/>
  <c r="D119" i="69"/>
  <c r="G186" i="69"/>
  <c r="K5" i="58"/>
  <c r="K4" i="58"/>
  <c r="K6" i="58"/>
  <c r="G81" i="70"/>
  <c r="D98" i="70"/>
  <c r="G174" i="70"/>
  <c r="G191" i="70"/>
  <c r="G74" i="71"/>
  <c r="G178" i="71"/>
  <c r="G82" i="72"/>
  <c r="D103" i="72"/>
  <c r="G176" i="72"/>
  <c r="G79" i="73"/>
  <c r="D97" i="73"/>
  <c r="B95" i="67"/>
  <c r="D95" i="67" s="1"/>
  <c r="G71" i="69"/>
  <c r="G176" i="71"/>
  <c r="D115" i="74"/>
  <c r="D113" i="74"/>
  <c r="D112" i="74"/>
  <c r="D120" i="74"/>
  <c r="D111" i="74"/>
  <c r="D119" i="74"/>
  <c r="D116" i="74"/>
  <c r="D114" i="74"/>
  <c r="D118" i="74"/>
  <c r="D117" i="74"/>
  <c r="G187" i="65"/>
  <c r="D97" i="64"/>
  <c r="G192" i="65"/>
  <c r="G177" i="66"/>
  <c r="G192" i="66"/>
  <c r="H62" i="67"/>
  <c r="G86" i="67"/>
  <c r="D103" i="67"/>
  <c r="G176" i="67"/>
  <c r="G191" i="67"/>
  <c r="G71" i="68"/>
  <c r="D98" i="68"/>
  <c r="G190" i="68"/>
  <c r="G88" i="69"/>
  <c r="G187" i="69"/>
  <c r="G82" i="70"/>
  <c r="D99" i="70"/>
  <c r="G175" i="70"/>
  <c r="G194" i="70"/>
  <c r="G75" i="71"/>
  <c r="G179" i="71"/>
  <c r="G83" i="72"/>
  <c r="G177" i="72"/>
  <c r="G80" i="73"/>
  <c r="D98" i="73"/>
  <c r="G189" i="73"/>
  <c r="D118" i="70"/>
  <c r="D112" i="65"/>
  <c r="G180" i="65"/>
  <c r="G186" i="65"/>
  <c r="G189" i="66"/>
  <c r="G188" i="67"/>
  <c r="G180" i="69"/>
  <c r="G73" i="71"/>
  <c r="G177" i="71"/>
  <c r="G79" i="64"/>
  <c r="D98" i="64"/>
  <c r="G190" i="64"/>
  <c r="G193" i="65"/>
  <c r="D118" i="66"/>
  <c r="G178" i="66"/>
  <c r="G193" i="66"/>
  <c r="G70" i="67"/>
  <c r="G87" i="67"/>
  <c r="G177" i="67"/>
  <c r="G192" i="67"/>
  <c r="H60" i="68"/>
  <c r="G72" i="68"/>
  <c r="D100" i="68"/>
  <c r="G192" i="68"/>
  <c r="G188" i="69"/>
  <c r="D102" i="70"/>
  <c r="G176" i="70"/>
  <c r="G83" i="71"/>
  <c r="G180" i="71"/>
  <c r="G84" i="72"/>
  <c r="G178" i="72"/>
  <c r="G82" i="73"/>
  <c r="D99" i="73"/>
  <c r="G190" i="73"/>
  <c r="G193" i="69"/>
  <c r="G187" i="71"/>
  <c r="H62" i="69"/>
  <c r="J4" i="58"/>
  <c r="J5" i="58"/>
  <c r="J6" i="58"/>
  <c r="M5" i="58"/>
  <c r="M6" i="58"/>
  <c r="M4" i="58"/>
  <c r="G71" i="72"/>
  <c r="G187" i="66"/>
  <c r="D98" i="67"/>
  <c r="G72" i="69"/>
  <c r="H60" i="64"/>
  <c r="D118" i="65"/>
  <c r="G174" i="66"/>
  <c r="D100" i="67"/>
  <c r="G82" i="69"/>
  <c r="D96" i="70"/>
  <c r="D98" i="71"/>
  <c r="G74" i="72"/>
  <c r="B35" i="61"/>
  <c r="C35" i="61" s="1"/>
  <c r="N36" i="61"/>
  <c r="M44" i="61"/>
  <c r="L40" i="61"/>
  <c r="K36" i="61"/>
  <c r="J44" i="61"/>
  <c r="I44" i="61"/>
  <c r="H36" i="61"/>
  <c r="E40" i="61"/>
  <c r="D43" i="61"/>
  <c r="M43" i="61"/>
  <c r="L39" i="61"/>
  <c r="J43" i="61"/>
  <c r="I43" i="61"/>
  <c r="G45" i="61"/>
  <c r="E39" i="61"/>
  <c r="D42" i="61"/>
  <c r="M42" i="61"/>
  <c r="L38" i="61"/>
  <c r="J42" i="61"/>
  <c r="I42" i="61"/>
  <c r="G44" i="61"/>
  <c r="E38" i="61"/>
  <c r="F45" i="61"/>
  <c r="D41" i="61"/>
  <c r="N45" i="61"/>
  <c r="M41" i="61"/>
  <c r="L37" i="61"/>
  <c r="K45" i="61"/>
  <c r="J41" i="61"/>
  <c r="I41" i="61"/>
  <c r="H45" i="61"/>
  <c r="G43" i="61"/>
  <c r="E37" i="61"/>
  <c r="F44" i="61"/>
  <c r="D40" i="61"/>
  <c r="N42" i="61"/>
  <c r="M38" i="61"/>
  <c r="K42" i="61"/>
  <c r="J38" i="61"/>
  <c r="I38" i="61"/>
  <c r="H42" i="61"/>
  <c r="G40" i="61"/>
  <c r="F41" i="61"/>
  <c r="D37" i="61"/>
  <c r="N41" i="61"/>
  <c r="M37" i="61"/>
  <c r="L45" i="61"/>
  <c r="K41" i="61"/>
  <c r="J37" i="61"/>
  <c r="I37" i="61"/>
  <c r="H41" i="61"/>
  <c r="G39" i="61"/>
  <c r="E45" i="61"/>
  <c r="F40" i="61"/>
  <c r="D36" i="61"/>
  <c r="M45" i="61"/>
  <c r="J39" i="61"/>
  <c r="H44" i="61"/>
  <c r="G42" i="61"/>
  <c r="D44" i="61"/>
  <c r="M39" i="61"/>
  <c r="K44" i="61"/>
  <c r="G38" i="61"/>
  <c r="H39" i="61"/>
  <c r="G37" i="61"/>
  <c r="E44" i="61"/>
  <c r="M40" i="61"/>
  <c r="J36" i="61"/>
  <c r="H43" i="61"/>
  <c r="G41" i="61"/>
  <c r="D39" i="61"/>
  <c r="H40" i="61"/>
  <c r="D38" i="61"/>
  <c r="M36" i="61"/>
  <c r="K43" i="61"/>
  <c r="N43" i="61"/>
  <c r="K39" i="61"/>
  <c r="I40" i="61"/>
  <c r="H37" i="61"/>
  <c r="E42" i="61"/>
  <c r="F43" i="61"/>
  <c r="F38" i="61"/>
  <c r="N40" i="61"/>
  <c r="K38" i="61"/>
  <c r="I39" i="61"/>
  <c r="E41" i="61"/>
  <c r="F42" i="61"/>
  <c r="N39" i="61"/>
  <c r="L44" i="61"/>
  <c r="K37" i="61"/>
  <c r="I36" i="61"/>
  <c r="E36" i="61"/>
  <c r="F39" i="61"/>
  <c r="N38" i="61"/>
  <c r="L43" i="61"/>
  <c r="F37" i="61"/>
  <c r="K40" i="61"/>
  <c r="J45" i="61"/>
  <c r="E43" i="61"/>
  <c r="D45" i="61"/>
  <c r="F36" i="61"/>
  <c r="I45" i="61"/>
  <c r="H38" i="61"/>
  <c r="L42" i="61"/>
  <c r="J40" i="61"/>
  <c r="L36" i="61"/>
  <c r="N44" i="61"/>
  <c r="L41" i="61"/>
  <c r="G36" i="61"/>
  <c r="N37" i="61"/>
  <c r="G74" i="64"/>
  <c r="D118" i="69"/>
  <c r="G190" i="70"/>
  <c r="D99" i="71"/>
  <c r="G76" i="64"/>
  <c r="G80" i="64"/>
  <c r="D99" i="64"/>
  <c r="B173" i="64"/>
  <c r="G173" i="64" s="1"/>
  <c r="G191" i="64"/>
  <c r="D119" i="66"/>
  <c r="G179" i="66"/>
  <c r="G196" i="66"/>
  <c r="G71" i="67"/>
  <c r="G88" i="67"/>
  <c r="G178" i="67"/>
  <c r="G193" i="67"/>
  <c r="G73" i="68"/>
  <c r="D101" i="68"/>
  <c r="G189" i="69"/>
  <c r="G177" i="70"/>
  <c r="G84" i="71"/>
  <c r="G181" i="71"/>
  <c r="G85" i="72"/>
  <c r="N4" i="58"/>
  <c r="N6" i="58"/>
  <c r="N5" i="58"/>
  <c r="G83" i="73"/>
  <c r="G180" i="74"/>
  <c r="G190" i="74"/>
  <c r="G178" i="74"/>
  <c r="G196" i="74"/>
  <c r="G189" i="74"/>
  <c r="G177" i="74"/>
  <c r="G195" i="74"/>
  <c r="G186" i="74"/>
  <c r="G174" i="74"/>
  <c r="G192" i="74"/>
  <c r="G185" i="74"/>
  <c r="G187" i="74"/>
  <c r="G183" i="74"/>
  <c r="G182" i="74"/>
  <c r="G184" i="74"/>
  <c r="G179" i="74"/>
  <c r="G194" i="74"/>
  <c r="G175" i="74"/>
  <c r="G176" i="74"/>
  <c r="G193" i="74"/>
  <c r="G191" i="74"/>
  <c r="G188" i="74"/>
  <c r="G181" i="74"/>
  <c r="D169" i="73"/>
  <c r="H56" i="73"/>
  <c r="H56" i="72"/>
  <c r="D169" i="72"/>
  <c r="D169" i="70"/>
  <c r="H56" i="69"/>
  <c r="D169" i="69"/>
  <c r="D129" i="69"/>
  <c r="D131" i="69"/>
  <c r="D169" i="68"/>
  <c r="H56" i="68"/>
  <c r="D131" i="68"/>
  <c r="H56" i="67"/>
  <c r="D169" i="67"/>
  <c r="D169" i="66"/>
  <c r="H56" i="66"/>
  <c r="D131" i="66"/>
  <c r="D169" i="65"/>
  <c r="H56" i="65"/>
  <c r="D127" i="65"/>
  <c r="D125" i="65"/>
  <c r="D131" i="65"/>
  <c r="H56" i="64"/>
  <c r="D55" i="64"/>
  <c r="D169" i="64"/>
  <c r="D131" i="64"/>
  <c r="B110" i="74"/>
  <c r="B173" i="74"/>
  <c r="D111" i="73"/>
  <c r="D126" i="73"/>
  <c r="D120" i="73"/>
  <c r="H60" i="73"/>
  <c r="H62" i="73"/>
  <c r="D125" i="73"/>
  <c r="D112" i="73"/>
  <c r="G77" i="73"/>
  <c r="G89" i="73"/>
  <c r="D101" i="73"/>
  <c r="D113" i="73"/>
  <c r="D127" i="73"/>
  <c r="G181" i="73"/>
  <c r="G193" i="73"/>
  <c r="B67" i="73"/>
  <c r="G67" i="73" s="1"/>
  <c r="G78" i="73"/>
  <c r="G90" i="73"/>
  <c r="D102" i="73"/>
  <c r="D114" i="73"/>
  <c r="D128" i="73"/>
  <c r="G182" i="73"/>
  <c r="G194" i="73"/>
  <c r="D115" i="73"/>
  <c r="D129" i="73"/>
  <c r="G183" i="73"/>
  <c r="G195" i="73"/>
  <c r="D116" i="73"/>
  <c r="D130" i="73"/>
  <c r="B173" i="73"/>
  <c r="G173" i="73" s="1"/>
  <c r="G184" i="73"/>
  <c r="G196" i="73"/>
  <c r="B110" i="73"/>
  <c r="D110" i="73" s="1"/>
  <c r="G69" i="73"/>
  <c r="B110" i="72"/>
  <c r="D110" i="72" s="1"/>
  <c r="H60" i="72"/>
  <c r="G75" i="72"/>
  <c r="G87" i="72"/>
  <c r="D111" i="72"/>
  <c r="D125" i="72"/>
  <c r="G191" i="72"/>
  <c r="G76" i="72"/>
  <c r="G88" i="72"/>
  <c r="D100" i="72"/>
  <c r="D112" i="72"/>
  <c r="D126" i="72"/>
  <c r="G180" i="72"/>
  <c r="G192" i="72"/>
  <c r="G77" i="72"/>
  <c r="G89" i="72"/>
  <c r="D101" i="72"/>
  <c r="D113" i="72"/>
  <c r="D127" i="72"/>
  <c r="G181" i="72"/>
  <c r="G193" i="72"/>
  <c r="B67" i="72"/>
  <c r="G67" i="72" s="1"/>
  <c r="G78" i="72"/>
  <c r="G90" i="72"/>
  <c r="D102" i="72"/>
  <c r="D114" i="72"/>
  <c r="D128" i="72"/>
  <c r="G182" i="72"/>
  <c r="G194" i="72"/>
  <c r="D115" i="72"/>
  <c r="D129" i="72"/>
  <c r="G183" i="72"/>
  <c r="G195" i="72"/>
  <c r="D120" i="72"/>
  <c r="G68" i="72"/>
  <c r="G80" i="72"/>
  <c r="D104" i="72"/>
  <c r="D116" i="72"/>
  <c r="D130" i="72"/>
  <c r="B173" i="72"/>
  <c r="G173" i="72" s="1"/>
  <c r="G184" i="72"/>
  <c r="G196" i="72"/>
  <c r="G69" i="72"/>
  <c r="H61" i="71"/>
  <c r="G69" i="71"/>
  <c r="G81" i="71"/>
  <c r="G70" i="71"/>
  <c r="G82" i="71"/>
  <c r="B95" i="71"/>
  <c r="D95" i="71" s="1"/>
  <c r="D118" i="71"/>
  <c r="G174" i="71"/>
  <c r="G186" i="71"/>
  <c r="H60" i="71"/>
  <c r="G76" i="71"/>
  <c r="G88" i="71"/>
  <c r="D100" i="71"/>
  <c r="D112" i="71"/>
  <c r="D126" i="71"/>
  <c r="D125" i="71"/>
  <c r="G77" i="71"/>
  <c r="G89" i="71"/>
  <c r="D101" i="71"/>
  <c r="D113" i="71"/>
  <c r="D127" i="71"/>
  <c r="B67" i="71"/>
  <c r="G67" i="71" s="1"/>
  <c r="G78" i="71"/>
  <c r="G90" i="71"/>
  <c r="D102" i="71"/>
  <c r="D114" i="71"/>
  <c r="D128" i="71"/>
  <c r="G182" i="71"/>
  <c r="G194" i="71"/>
  <c r="B110" i="71"/>
  <c r="D110" i="71" s="1"/>
  <c r="G79" i="71"/>
  <c r="D103" i="71"/>
  <c r="D115" i="71"/>
  <c r="D129" i="71"/>
  <c r="G183" i="71"/>
  <c r="G195" i="71"/>
  <c r="G68" i="71"/>
  <c r="D104" i="71"/>
  <c r="D116" i="71"/>
  <c r="D130" i="71"/>
  <c r="B173" i="71"/>
  <c r="G173" i="71" s="1"/>
  <c r="G184" i="71"/>
  <c r="D120" i="71"/>
  <c r="D111" i="71"/>
  <c r="H62" i="70"/>
  <c r="D125" i="70"/>
  <c r="G76" i="70"/>
  <c r="G88" i="70"/>
  <c r="D100" i="70"/>
  <c r="D112" i="70"/>
  <c r="D126" i="70"/>
  <c r="G180" i="70"/>
  <c r="G192" i="70"/>
  <c r="H61" i="70"/>
  <c r="D111" i="70"/>
  <c r="G77" i="70"/>
  <c r="G89" i="70"/>
  <c r="D101" i="70"/>
  <c r="D113" i="70"/>
  <c r="D127" i="70"/>
  <c r="G181" i="70"/>
  <c r="G193" i="70"/>
  <c r="D120" i="70"/>
  <c r="B110" i="70"/>
  <c r="D110" i="70" s="1"/>
  <c r="D114" i="70"/>
  <c r="D128" i="70"/>
  <c r="D103" i="70"/>
  <c r="D115" i="70"/>
  <c r="D129" i="70"/>
  <c r="G183" i="70"/>
  <c r="G195" i="70"/>
  <c r="G68" i="70"/>
  <c r="D104" i="70"/>
  <c r="D116" i="70"/>
  <c r="D130" i="70"/>
  <c r="B173" i="70"/>
  <c r="G173" i="70" s="1"/>
  <c r="G184" i="70"/>
  <c r="G196" i="70"/>
  <c r="D120" i="69"/>
  <c r="B110" i="69"/>
  <c r="D110" i="69" s="1"/>
  <c r="H61" i="69"/>
  <c r="G74" i="69"/>
  <c r="G86" i="69"/>
  <c r="D98" i="69"/>
  <c r="G178" i="69"/>
  <c r="G190" i="69"/>
  <c r="H60" i="69"/>
  <c r="G73" i="69"/>
  <c r="G85" i="69"/>
  <c r="G75" i="69"/>
  <c r="G87" i="69"/>
  <c r="D99" i="69"/>
  <c r="D111" i="69"/>
  <c r="D125" i="69"/>
  <c r="G179" i="69"/>
  <c r="G191" i="69"/>
  <c r="D112" i="69"/>
  <c r="D126" i="69"/>
  <c r="G77" i="69"/>
  <c r="G89" i="69"/>
  <c r="D113" i="69"/>
  <c r="D127" i="69"/>
  <c r="B67" i="69"/>
  <c r="G67" i="69" s="1"/>
  <c r="G78" i="69"/>
  <c r="G90" i="69"/>
  <c r="D102" i="69"/>
  <c r="D114" i="69"/>
  <c r="D128" i="69"/>
  <c r="G182" i="69"/>
  <c r="G194" i="69"/>
  <c r="G183" i="69"/>
  <c r="G195" i="69"/>
  <c r="G79" i="69"/>
  <c r="D115" i="69"/>
  <c r="G68" i="69"/>
  <c r="G80" i="69"/>
  <c r="D104" i="69"/>
  <c r="D116" i="69"/>
  <c r="D130" i="69"/>
  <c r="B173" i="69"/>
  <c r="G173" i="69" s="1"/>
  <c r="G184" i="69"/>
  <c r="G196" i="69"/>
  <c r="G69" i="69"/>
  <c r="H61" i="68"/>
  <c r="G86" i="68"/>
  <c r="G75" i="68"/>
  <c r="G87" i="68"/>
  <c r="D99" i="68"/>
  <c r="D111" i="68"/>
  <c r="D125" i="68"/>
  <c r="G179" i="68"/>
  <c r="G191" i="68"/>
  <c r="D120" i="68"/>
  <c r="B110" i="68"/>
  <c r="D110" i="68" s="1"/>
  <c r="G76" i="68"/>
  <c r="G88" i="68"/>
  <c r="D112" i="68"/>
  <c r="D126" i="68"/>
  <c r="B67" i="68"/>
  <c r="G67" i="68" s="1"/>
  <c r="G78" i="68"/>
  <c r="G90" i="68"/>
  <c r="D102" i="68"/>
  <c r="D114" i="68"/>
  <c r="D128" i="68"/>
  <c r="G182" i="68"/>
  <c r="G194" i="68"/>
  <c r="G77" i="68"/>
  <c r="G89" i="68"/>
  <c r="D113" i="68"/>
  <c r="G79" i="68"/>
  <c r="D115" i="68"/>
  <c r="D129" i="68"/>
  <c r="G183" i="68"/>
  <c r="G195" i="68"/>
  <c r="G68" i="68"/>
  <c r="G80" i="68"/>
  <c r="D104" i="68"/>
  <c r="D116" i="68"/>
  <c r="D130" i="68"/>
  <c r="B173" i="68"/>
  <c r="G173" i="68" s="1"/>
  <c r="G184" i="68"/>
  <c r="G196" i="68"/>
  <c r="G69" i="68"/>
  <c r="B110" i="67"/>
  <c r="D110" i="67" s="1"/>
  <c r="H61" i="67"/>
  <c r="D126" i="67"/>
  <c r="D113" i="67"/>
  <c r="G79" i="67"/>
  <c r="D115" i="67"/>
  <c r="D129" i="67"/>
  <c r="G183" i="67"/>
  <c r="G195" i="67"/>
  <c r="D120" i="67"/>
  <c r="H60" i="67"/>
  <c r="G68" i="67"/>
  <c r="G80" i="67"/>
  <c r="D104" i="67"/>
  <c r="D116" i="67"/>
  <c r="D130" i="67"/>
  <c r="B173" i="67"/>
  <c r="G173" i="67" s="1"/>
  <c r="G184" i="67"/>
  <c r="G196" i="67"/>
  <c r="D111" i="67"/>
  <c r="D125" i="67"/>
  <c r="D112" i="67"/>
  <c r="G77" i="67"/>
  <c r="G89" i="67"/>
  <c r="D127" i="67"/>
  <c r="B67" i="67"/>
  <c r="G67" i="67" s="1"/>
  <c r="G78" i="67"/>
  <c r="G90" i="67"/>
  <c r="D114" i="67"/>
  <c r="D128" i="67"/>
  <c r="G69" i="67"/>
  <c r="D120" i="66"/>
  <c r="H60" i="66"/>
  <c r="B67" i="66"/>
  <c r="G67" i="66" s="1"/>
  <c r="G78" i="66"/>
  <c r="G90" i="66"/>
  <c r="D102" i="66"/>
  <c r="D114" i="66"/>
  <c r="D128" i="66"/>
  <c r="G182" i="66"/>
  <c r="G194" i="66"/>
  <c r="B110" i="66"/>
  <c r="D110" i="66" s="1"/>
  <c r="H61" i="66"/>
  <c r="D111" i="66"/>
  <c r="D125" i="66"/>
  <c r="D112" i="66"/>
  <c r="G77" i="66"/>
  <c r="G89" i="66"/>
  <c r="D113" i="66"/>
  <c r="D127" i="66"/>
  <c r="G79" i="66"/>
  <c r="D103" i="66"/>
  <c r="D115" i="66"/>
  <c r="D129" i="66"/>
  <c r="G183" i="66"/>
  <c r="G195" i="66"/>
  <c r="D126" i="66"/>
  <c r="G68" i="66"/>
  <c r="G80" i="66"/>
  <c r="D116" i="66"/>
  <c r="D130" i="66"/>
  <c r="G69" i="66"/>
  <c r="G71" i="65"/>
  <c r="G83" i="65"/>
  <c r="G72" i="65"/>
  <c r="G84" i="65"/>
  <c r="D120" i="65"/>
  <c r="H60" i="65"/>
  <c r="G73" i="65"/>
  <c r="G85" i="65"/>
  <c r="D97" i="65"/>
  <c r="B110" i="65"/>
  <c r="D110" i="65" s="1"/>
  <c r="G177" i="65"/>
  <c r="G189" i="65"/>
  <c r="H61" i="65"/>
  <c r="G74" i="65"/>
  <c r="G86" i="65"/>
  <c r="D98" i="65"/>
  <c r="G178" i="65"/>
  <c r="G190" i="65"/>
  <c r="G75" i="65"/>
  <c r="G87" i="65"/>
  <c r="D99" i="65"/>
  <c r="D111" i="65"/>
  <c r="G179" i="65"/>
  <c r="G191" i="65"/>
  <c r="B67" i="65"/>
  <c r="G67" i="65" s="1"/>
  <c r="G78" i="65"/>
  <c r="G90" i="65"/>
  <c r="D102" i="65"/>
  <c r="D114" i="65"/>
  <c r="D128" i="65"/>
  <c r="G182" i="65"/>
  <c r="G194" i="65"/>
  <c r="G77" i="65"/>
  <c r="G79" i="65"/>
  <c r="D115" i="65"/>
  <c r="D129" i="65"/>
  <c r="G183" i="65"/>
  <c r="G195" i="65"/>
  <c r="G76" i="65"/>
  <c r="G88" i="65"/>
  <c r="G68" i="65"/>
  <c r="G80" i="65"/>
  <c r="D104" i="65"/>
  <c r="D116" i="65"/>
  <c r="D130" i="65"/>
  <c r="B173" i="65"/>
  <c r="G173" i="65" s="1"/>
  <c r="G184" i="65"/>
  <c r="G196" i="65"/>
  <c r="G89" i="65"/>
  <c r="G69" i="65"/>
  <c r="H61" i="64"/>
  <c r="D116" i="64"/>
  <c r="G70" i="64"/>
  <c r="G82" i="64"/>
  <c r="B95" i="64"/>
  <c r="D95" i="64" s="1"/>
  <c r="D118" i="64"/>
  <c r="G174" i="64"/>
  <c r="G186" i="64"/>
  <c r="B110" i="64"/>
  <c r="D110" i="64" s="1"/>
  <c r="H62" i="64"/>
  <c r="D112" i="64"/>
  <c r="G77" i="64"/>
  <c r="G89" i="64"/>
  <c r="D101" i="64"/>
  <c r="D113" i="64"/>
  <c r="D127" i="64"/>
  <c r="G181" i="64"/>
  <c r="G193" i="64"/>
  <c r="D125" i="64"/>
  <c r="D126" i="64"/>
  <c r="B67" i="64"/>
  <c r="G67" i="64" s="1"/>
  <c r="G78" i="64"/>
  <c r="G90" i="64"/>
  <c r="D102" i="64"/>
  <c r="D114" i="64"/>
  <c r="D128" i="64"/>
  <c r="G182" i="64"/>
  <c r="G194" i="64"/>
  <c r="D115" i="64"/>
  <c r="D129" i="64"/>
  <c r="G183" i="64"/>
  <c r="G195" i="64"/>
  <c r="D120" i="64"/>
  <c r="D111" i="64"/>
  <c r="D130" i="64"/>
  <c r="G69" i="64"/>
  <c r="C38" i="61"/>
  <c r="C12" i="61"/>
  <c r="C11" i="61"/>
  <c r="C39" i="61"/>
  <c r="C7" i="61"/>
  <c r="O44" i="61"/>
  <c r="C59" i="61" s="1"/>
  <c r="C6" i="61"/>
  <c r="C45" i="61"/>
  <c r="C5" i="61"/>
  <c r="C44" i="61"/>
  <c r="C10" i="61"/>
  <c r="C37" i="61"/>
  <c r="C9" i="61"/>
  <c r="C36" i="61"/>
  <c r="C43" i="61"/>
  <c r="C41" i="61"/>
  <c r="C8" i="61"/>
  <c r="O45" i="61"/>
  <c r="C60" i="61" s="1"/>
  <c r="C42" i="61"/>
  <c r="C14" i="61"/>
  <c r="C13" i="61"/>
  <c r="C40" i="61"/>
  <c r="B101" i="58" a="1"/>
  <c r="B129" i="58" a="1"/>
  <c r="B129" i="58" s="1"/>
  <c r="D18" i="58"/>
  <c r="P18" i="58" s="1"/>
  <c r="D19" i="58"/>
  <c r="P19" i="58" s="1"/>
  <c r="D20" i="58"/>
  <c r="P20" i="58" s="1"/>
  <c r="B45" i="58" a="1"/>
  <c r="D33" i="58"/>
  <c r="P33" i="58" s="1"/>
  <c r="D32" i="58"/>
  <c r="P32" i="58" s="1"/>
  <c r="B73" i="58" a="1"/>
  <c r="O34" i="58"/>
  <c r="N34" i="58"/>
  <c r="M34" i="58"/>
  <c r="L34" i="58"/>
  <c r="K34" i="58"/>
  <c r="J34" i="58"/>
  <c r="I34" i="58"/>
  <c r="H34" i="58"/>
  <c r="G34" i="58"/>
  <c r="F34" i="58"/>
  <c r="E34" i="58"/>
  <c r="O21" i="58"/>
  <c r="N21" i="58"/>
  <c r="M21" i="58"/>
  <c r="L21" i="58"/>
  <c r="K21" i="58"/>
  <c r="J21" i="58"/>
  <c r="I21" i="58"/>
  <c r="H21" i="58"/>
  <c r="G21" i="58"/>
  <c r="F21" i="58"/>
  <c r="O13" i="61" l="1"/>
  <c r="C28" i="61" s="1"/>
  <c r="O11" i="61"/>
  <c r="C26" i="61" s="1"/>
  <c r="O10" i="61"/>
  <c r="C25" i="61" s="1"/>
  <c r="O14" i="61"/>
  <c r="C29" i="61" s="1"/>
  <c r="O12" i="61"/>
  <c r="C27" i="61" s="1"/>
  <c r="O9" i="61"/>
  <c r="C24" i="61" s="1"/>
  <c r="O42" i="61"/>
  <c r="C57" i="61" s="1"/>
  <c r="O43" i="61"/>
  <c r="C58" i="61" s="1"/>
  <c r="D141" i="64"/>
  <c r="D141" i="74"/>
  <c r="H63" i="72"/>
  <c r="D141" i="70"/>
  <c r="D141" i="71"/>
  <c r="D141" i="72"/>
  <c r="D141" i="68"/>
  <c r="D141" i="69"/>
  <c r="D141" i="66"/>
  <c r="D141" i="73"/>
  <c r="D141" i="67"/>
  <c r="D141" i="65"/>
  <c r="N72" i="61"/>
  <c r="M72" i="61"/>
  <c r="L72" i="61"/>
  <c r="K72" i="61"/>
  <c r="J72" i="61"/>
  <c r="I72" i="61"/>
  <c r="H72" i="61"/>
  <c r="G72" i="61"/>
  <c r="G92" i="61"/>
  <c r="F72" i="61"/>
  <c r="E72" i="61"/>
  <c r="D72" i="61"/>
  <c r="I92" i="61"/>
  <c r="H63" i="74"/>
  <c r="D106" i="74"/>
  <c r="E92" i="61"/>
  <c r="D106" i="67"/>
  <c r="G91" i="74"/>
  <c r="D106" i="64"/>
  <c r="H63" i="64"/>
  <c r="O39" i="61"/>
  <c r="C54" i="61" s="1"/>
  <c r="H63" i="65"/>
  <c r="K92" i="61"/>
  <c r="J92" i="61"/>
  <c r="M92" i="61"/>
  <c r="N92" i="61"/>
  <c r="D106" i="73"/>
  <c r="G173" i="74"/>
  <c r="G197" i="74" s="1"/>
  <c r="B45" i="58"/>
  <c r="R57" i="58"/>
  <c r="Q62" i="58"/>
  <c r="Q50" i="58"/>
  <c r="P67" i="58"/>
  <c r="P55" i="58"/>
  <c r="O57" i="58"/>
  <c r="N59" i="58"/>
  <c r="N47" i="58"/>
  <c r="M61" i="58"/>
  <c r="M49" i="58"/>
  <c r="L63" i="58"/>
  <c r="L51" i="58"/>
  <c r="K65" i="58"/>
  <c r="K53" i="58"/>
  <c r="J67" i="58"/>
  <c r="J55" i="58"/>
  <c r="I57" i="58"/>
  <c r="H59" i="58"/>
  <c r="H47" i="58"/>
  <c r="L50" i="58"/>
  <c r="J54" i="58"/>
  <c r="R68" i="58"/>
  <c r="R56" i="58"/>
  <c r="Q61" i="58"/>
  <c r="Q49" i="58"/>
  <c r="P66" i="58"/>
  <c r="P54" i="58"/>
  <c r="O68" i="58"/>
  <c r="O56" i="58"/>
  <c r="N58" i="58"/>
  <c r="N46" i="58"/>
  <c r="M60" i="58"/>
  <c r="M48" i="58"/>
  <c r="L62" i="58"/>
  <c r="K64" i="58"/>
  <c r="K52" i="58"/>
  <c r="J66" i="58"/>
  <c r="I68" i="58"/>
  <c r="R67" i="58"/>
  <c r="R55" i="58"/>
  <c r="Q60" i="58"/>
  <c r="Q48" i="58"/>
  <c r="P65" i="58"/>
  <c r="P53" i="58"/>
  <c r="O67" i="58"/>
  <c r="O55" i="58"/>
  <c r="N57" i="58"/>
  <c r="M59" i="58"/>
  <c r="M47" i="58"/>
  <c r="L61" i="58"/>
  <c r="L49" i="58"/>
  <c r="K63" i="58"/>
  <c r="K51" i="58"/>
  <c r="J65" i="58"/>
  <c r="J53" i="58"/>
  <c r="I67" i="58"/>
  <c r="I55" i="58"/>
  <c r="H57" i="58"/>
  <c r="R66" i="58"/>
  <c r="R54" i="58"/>
  <c r="Q59" i="58"/>
  <c r="Q47" i="58"/>
  <c r="P64" i="58"/>
  <c r="P52" i="58"/>
  <c r="O66" i="58"/>
  <c r="O54" i="58"/>
  <c r="N68" i="58"/>
  <c r="N56" i="58"/>
  <c r="M58" i="58"/>
  <c r="M46" i="58"/>
  <c r="L60" i="58"/>
  <c r="L48" i="58"/>
  <c r="K62" i="58"/>
  <c r="K50" i="58"/>
  <c r="J64" i="58"/>
  <c r="J52" i="58"/>
  <c r="I66" i="58"/>
  <c r="I54" i="58"/>
  <c r="H68" i="58"/>
  <c r="H56" i="58"/>
  <c r="R63" i="58"/>
  <c r="R51" i="58"/>
  <c r="Q68" i="58"/>
  <c r="Q56" i="58"/>
  <c r="P61" i="58"/>
  <c r="P49" i="58"/>
  <c r="O63" i="58"/>
  <c r="O51" i="58"/>
  <c r="N65" i="58"/>
  <c r="N53" i="58"/>
  <c r="M67" i="58"/>
  <c r="M55" i="58"/>
  <c r="L57" i="58"/>
  <c r="K59" i="58"/>
  <c r="K47" i="58"/>
  <c r="J61" i="58"/>
  <c r="J49" i="58"/>
  <c r="I63" i="58"/>
  <c r="I51" i="58"/>
  <c r="H65" i="58"/>
  <c r="H53" i="58"/>
  <c r="R62" i="58"/>
  <c r="R50" i="58"/>
  <c r="Q67" i="58"/>
  <c r="Q55" i="58"/>
  <c r="P60" i="58"/>
  <c r="P48" i="58"/>
  <c r="O62" i="58"/>
  <c r="O50" i="58"/>
  <c r="N64" i="58"/>
  <c r="N52" i="58"/>
  <c r="M66" i="58"/>
  <c r="M54" i="58"/>
  <c r="L68" i="58"/>
  <c r="L56" i="58"/>
  <c r="K58" i="58"/>
  <c r="K46" i="58"/>
  <c r="J60" i="58"/>
  <c r="J48" i="58"/>
  <c r="I62" i="58"/>
  <c r="I50" i="58"/>
  <c r="H64" i="58"/>
  <c r="H52" i="58"/>
  <c r="R58" i="58"/>
  <c r="P57" i="58"/>
  <c r="O60" i="58"/>
  <c r="N66" i="58"/>
  <c r="L52" i="58"/>
  <c r="K55" i="58"/>
  <c r="J57" i="58"/>
  <c r="I60" i="58"/>
  <c r="H50" i="58"/>
  <c r="R52" i="58"/>
  <c r="Q65" i="58"/>
  <c r="O58" i="58"/>
  <c r="N62" i="58"/>
  <c r="M65" i="58"/>
  <c r="I58" i="58"/>
  <c r="H67" i="58"/>
  <c r="S68" i="58"/>
  <c r="R49" i="58"/>
  <c r="Q64" i="58"/>
  <c r="P50" i="58"/>
  <c r="O53" i="58"/>
  <c r="N61" i="58"/>
  <c r="M64" i="58"/>
  <c r="L67" i="58"/>
  <c r="K48" i="58"/>
  <c r="I56" i="58"/>
  <c r="H46" i="58"/>
  <c r="R53" i="58"/>
  <c r="Q66" i="58"/>
  <c r="P56" i="58"/>
  <c r="O59" i="58"/>
  <c r="N63" i="58"/>
  <c r="M68" i="58"/>
  <c r="L47" i="58"/>
  <c r="K54" i="58"/>
  <c r="J56" i="58"/>
  <c r="I59" i="58"/>
  <c r="H49" i="58"/>
  <c r="P51" i="58"/>
  <c r="L46" i="58"/>
  <c r="K49" i="58"/>
  <c r="J51" i="58"/>
  <c r="H48" i="58"/>
  <c r="J50" i="58"/>
  <c r="H66" i="58"/>
  <c r="R47" i="58"/>
  <c r="Q58" i="58"/>
  <c r="P46" i="58"/>
  <c r="O49" i="58"/>
  <c r="N55" i="58"/>
  <c r="M62" i="58"/>
  <c r="L65" i="58"/>
  <c r="K68" i="58"/>
  <c r="J46" i="58"/>
  <c r="I52" i="58"/>
  <c r="H62" i="58"/>
  <c r="N51" i="58"/>
  <c r="R64" i="58"/>
  <c r="Q53" i="58"/>
  <c r="P63" i="58"/>
  <c r="R46" i="58"/>
  <c r="Q57" i="58"/>
  <c r="O48" i="58"/>
  <c r="N54" i="58"/>
  <c r="M57" i="58"/>
  <c r="L64" i="58"/>
  <c r="K67" i="58"/>
  <c r="I49" i="58"/>
  <c r="H61" i="58"/>
  <c r="R65" i="58"/>
  <c r="Q54" i="58"/>
  <c r="P68" i="58"/>
  <c r="O47" i="58"/>
  <c r="M56" i="58"/>
  <c r="L59" i="58"/>
  <c r="K66" i="58"/>
  <c r="J68" i="58"/>
  <c r="I48" i="58"/>
  <c r="H60" i="58"/>
  <c r="R60" i="58"/>
  <c r="L66" i="58"/>
  <c r="H51" i="58"/>
  <c r="Q63" i="58"/>
  <c r="N67" i="58"/>
  <c r="I65" i="58"/>
  <c r="R61" i="58"/>
  <c r="R59" i="58"/>
  <c r="Q52" i="58"/>
  <c r="O65" i="58"/>
  <c r="M63" i="58"/>
  <c r="K61" i="58"/>
  <c r="J63" i="58"/>
  <c r="R48" i="58"/>
  <c r="Q51" i="58"/>
  <c r="P62" i="58"/>
  <c r="O64" i="58"/>
  <c r="N60" i="58"/>
  <c r="M53" i="58"/>
  <c r="L58" i="58"/>
  <c r="K60" i="58"/>
  <c r="J62" i="58"/>
  <c r="I64" i="58"/>
  <c r="H63" i="58"/>
  <c r="I53" i="58"/>
  <c r="O46" i="58"/>
  <c r="N48" i="58"/>
  <c r="M50" i="58"/>
  <c r="J47" i="58"/>
  <c r="H54" i="58"/>
  <c r="I46" i="58"/>
  <c r="Q46" i="58"/>
  <c r="P59" i="58"/>
  <c r="O61" i="58"/>
  <c r="N50" i="58"/>
  <c r="M52" i="58"/>
  <c r="L55" i="58"/>
  <c r="K57" i="58"/>
  <c r="J59" i="58"/>
  <c r="I61" i="58"/>
  <c r="H58" i="58"/>
  <c r="P58" i="58"/>
  <c r="O52" i="58"/>
  <c r="N49" i="58"/>
  <c r="M51" i="58"/>
  <c r="L54" i="58"/>
  <c r="K56" i="58"/>
  <c r="J58" i="58"/>
  <c r="H55" i="58"/>
  <c r="P47" i="58"/>
  <c r="L53" i="58"/>
  <c r="I47" i="58"/>
  <c r="S63" i="58"/>
  <c r="S64" i="58"/>
  <c r="S65" i="58"/>
  <c r="S66" i="58"/>
  <c r="S67" i="58"/>
  <c r="S59" i="58"/>
  <c r="S61" i="58"/>
  <c r="S62" i="58"/>
  <c r="S60" i="58"/>
  <c r="O38" i="61"/>
  <c r="C53" i="61" s="1"/>
  <c r="C4" i="61"/>
  <c r="C15" i="61" s="1"/>
  <c r="D4" i="61"/>
  <c r="D15" i="61" s="1"/>
  <c r="N4" i="61"/>
  <c r="N15" i="61" s="1"/>
  <c r="K4" i="61"/>
  <c r="K15" i="61" s="1"/>
  <c r="H4" i="61"/>
  <c r="H15" i="61" s="1"/>
  <c r="L4" i="61"/>
  <c r="L15" i="61" s="1"/>
  <c r="G4" i="61"/>
  <c r="G15" i="61" s="1"/>
  <c r="F4" i="61"/>
  <c r="F15" i="61" s="1"/>
  <c r="J4" i="61"/>
  <c r="J15" i="61" s="1"/>
  <c r="E4" i="61"/>
  <c r="E15" i="61" s="1"/>
  <c r="I4" i="61"/>
  <c r="I15" i="61" s="1"/>
  <c r="M4" i="61"/>
  <c r="M15" i="61" s="1"/>
  <c r="F92" i="61"/>
  <c r="H63" i="68"/>
  <c r="H92" i="61"/>
  <c r="R115" i="58"/>
  <c r="R103" i="58"/>
  <c r="Q120" i="58"/>
  <c r="Q108" i="58"/>
  <c r="P113" i="58"/>
  <c r="O115" i="58"/>
  <c r="O103" i="58"/>
  <c r="N117" i="58"/>
  <c r="N105" i="58"/>
  <c r="M119" i="58"/>
  <c r="M107" i="58"/>
  <c r="L121" i="58"/>
  <c r="L109" i="58"/>
  <c r="K123" i="58"/>
  <c r="K111" i="58"/>
  <c r="J113" i="58"/>
  <c r="I115" i="58"/>
  <c r="I103" i="58"/>
  <c r="H117" i="58"/>
  <c r="H105" i="58"/>
  <c r="K122" i="58"/>
  <c r="J112" i="58"/>
  <c r="R114" i="58"/>
  <c r="R102" i="58"/>
  <c r="Q119" i="58"/>
  <c r="Q107" i="58"/>
  <c r="P124" i="58"/>
  <c r="P112" i="58"/>
  <c r="O114" i="58"/>
  <c r="O102" i="58"/>
  <c r="N116" i="58"/>
  <c r="N104" i="58"/>
  <c r="M118" i="58"/>
  <c r="M106" i="58"/>
  <c r="L120" i="58"/>
  <c r="L108" i="58"/>
  <c r="K110" i="58"/>
  <c r="J124" i="58"/>
  <c r="R113" i="58"/>
  <c r="Q118" i="58"/>
  <c r="Q106" i="58"/>
  <c r="P123" i="58"/>
  <c r="P111" i="58"/>
  <c r="O113" i="58"/>
  <c r="N115" i="58"/>
  <c r="N103" i="58"/>
  <c r="M117" i="58"/>
  <c r="M105" i="58"/>
  <c r="L119" i="58"/>
  <c r="L107" i="58"/>
  <c r="K121" i="58"/>
  <c r="K109" i="58"/>
  <c r="J123" i="58"/>
  <c r="J111" i="58"/>
  <c r="I113" i="58"/>
  <c r="H115" i="58"/>
  <c r="H103" i="58"/>
  <c r="R124" i="58"/>
  <c r="R112" i="58"/>
  <c r="Q117" i="58"/>
  <c r="Q105" i="58"/>
  <c r="P122" i="58"/>
  <c r="P110" i="58"/>
  <c r="O124" i="58"/>
  <c r="O112" i="58"/>
  <c r="N114" i="58"/>
  <c r="N102" i="58"/>
  <c r="M116" i="58"/>
  <c r="M104" i="58"/>
  <c r="L118" i="58"/>
  <c r="L106" i="58"/>
  <c r="K120" i="58"/>
  <c r="K108" i="58"/>
  <c r="J122" i="58"/>
  <c r="J110" i="58"/>
  <c r="I124" i="58"/>
  <c r="I112" i="58"/>
  <c r="H114" i="58"/>
  <c r="H102" i="58"/>
  <c r="R121" i="58"/>
  <c r="R109" i="58"/>
  <c r="Q114" i="58"/>
  <c r="Q102" i="58"/>
  <c r="P119" i="58"/>
  <c r="P107" i="58"/>
  <c r="O121" i="58"/>
  <c r="O109" i="58"/>
  <c r="N123" i="58"/>
  <c r="N111" i="58"/>
  <c r="M113" i="58"/>
  <c r="L115" i="58"/>
  <c r="L103" i="58"/>
  <c r="K117" i="58"/>
  <c r="K105" i="58"/>
  <c r="J119" i="58"/>
  <c r="J107" i="58"/>
  <c r="I121" i="58"/>
  <c r="I109" i="58"/>
  <c r="H123" i="58"/>
  <c r="H111" i="58"/>
  <c r="R120" i="58"/>
  <c r="R108" i="58"/>
  <c r="Q113" i="58"/>
  <c r="P118" i="58"/>
  <c r="P106" i="58"/>
  <c r="O120" i="58"/>
  <c r="O108" i="58"/>
  <c r="N122" i="58"/>
  <c r="N110" i="58"/>
  <c r="M124" i="58"/>
  <c r="M112" i="58"/>
  <c r="L114" i="58"/>
  <c r="L102" i="58"/>
  <c r="K116" i="58"/>
  <c r="K104" i="58"/>
  <c r="J118" i="58"/>
  <c r="J106" i="58"/>
  <c r="I120" i="58"/>
  <c r="I108" i="58"/>
  <c r="H122" i="58"/>
  <c r="H110" i="58"/>
  <c r="R118" i="58"/>
  <c r="Q109" i="58"/>
  <c r="P116" i="58"/>
  <c r="O122" i="58"/>
  <c r="M108" i="58"/>
  <c r="L111" i="58"/>
  <c r="K113" i="58"/>
  <c r="J116" i="58"/>
  <c r="I123" i="58"/>
  <c r="I104" i="58"/>
  <c r="H113" i="58"/>
  <c r="Q103" i="58"/>
  <c r="P114" i="58"/>
  <c r="M102" i="58"/>
  <c r="L105" i="58"/>
  <c r="K107" i="58"/>
  <c r="J114" i="58"/>
  <c r="H109" i="58"/>
  <c r="R111" i="58"/>
  <c r="Q124" i="58"/>
  <c r="P109" i="58"/>
  <c r="N120" i="58"/>
  <c r="M123" i="58"/>
  <c r="L104" i="58"/>
  <c r="K106" i="58"/>
  <c r="J109" i="58"/>
  <c r="I118" i="58"/>
  <c r="H108" i="58"/>
  <c r="R117" i="58"/>
  <c r="Q104" i="58"/>
  <c r="P115" i="58"/>
  <c r="O119" i="58"/>
  <c r="N124" i="58"/>
  <c r="M103" i="58"/>
  <c r="L110" i="58"/>
  <c r="K112" i="58"/>
  <c r="J115" i="58"/>
  <c r="I122" i="58"/>
  <c r="I102" i="58"/>
  <c r="H112" i="58"/>
  <c r="R116" i="58"/>
  <c r="O118" i="58"/>
  <c r="N121" i="58"/>
  <c r="I119" i="58"/>
  <c r="O117" i="58"/>
  <c r="R107" i="58"/>
  <c r="Q122" i="58"/>
  <c r="P105" i="58"/>
  <c r="O111" i="58"/>
  <c r="N118" i="58"/>
  <c r="M121" i="58"/>
  <c r="L124" i="58"/>
  <c r="K102" i="58"/>
  <c r="J105" i="58"/>
  <c r="I116" i="58"/>
  <c r="H106" i="58"/>
  <c r="R104" i="58"/>
  <c r="R106" i="58"/>
  <c r="Q121" i="58"/>
  <c r="P104" i="58"/>
  <c r="O110" i="58"/>
  <c r="N113" i="58"/>
  <c r="M120" i="58"/>
  <c r="L123" i="58"/>
  <c r="J104" i="58"/>
  <c r="I114" i="58"/>
  <c r="H124" i="58"/>
  <c r="H104" i="58"/>
  <c r="R105" i="58"/>
  <c r="Q116" i="58"/>
  <c r="P103" i="58"/>
  <c r="O107" i="58"/>
  <c r="N112" i="58"/>
  <c r="M115" i="58"/>
  <c r="L122" i="58"/>
  <c r="K124" i="58"/>
  <c r="J103" i="58"/>
  <c r="I111" i="58"/>
  <c r="H121" i="58"/>
  <c r="Q111" i="58"/>
  <c r="P120" i="58"/>
  <c r="O116" i="58"/>
  <c r="N109" i="58"/>
  <c r="M114" i="58"/>
  <c r="L116" i="58"/>
  <c r="K118" i="58"/>
  <c r="J120" i="58"/>
  <c r="I117" i="58"/>
  <c r="H120" i="58"/>
  <c r="P102" i="58"/>
  <c r="O104" i="58"/>
  <c r="N106" i="58"/>
  <c r="K103" i="58"/>
  <c r="I106" i="58"/>
  <c r="H116" i="58"/>
  <c r="H107" i="58"/>
  <c r="R122" i="58"/>
  <c r="R119" i="58"/>
  <c r="M122" i="58"/>
  <c r="Q110" i="58"/>
  <c r="P117" i="58"/>
  <c r="O106" i="58"/>
  <c r="N108" i="58"/>
  <c r="M111" i="58"/>
  <c r="L113" i="58"/>
  <c r="K115" i="58"/>
  <c r="J117" i="58"/>
  <c r="I110" i="58"/>
  <c r="H119" i="58"/>
  <c r="M109" i="58"/>
  <c r="J102" i="58"/>
  <c r="P121" i="58"/>
  <c r="P108" i="58"/>
  <c r="O105" i="58"/>
  <c r="N107" i="58"/>
  <c r="M110" i="58"/>
  <c r="L112" i="58"/>
  <c r="K114" i="58"/>
  <c r="J108" i="58"/>
  <c r="I107" i="58"/>
  <c r="H118" i="58"/>
  <c r="I105" i="58"/>
  <c r="Q115" i="58"/>
  <c r="R110" i="58"/>
  <c r="N119" i="58"/>
  <c r="J121" i="58"/>
  <c r="R123" i="58"/>
  <c r="Q112" i="58"/>
  <c r="L117" i="58"/>
  <c r="Q123" i="58"/>
  <c r="O123" i="58"/>
  <c r="K119" i="58"/>
  <c r="H63" i="70"/>
  <c r="D110" i="74"/>
  <c r="D121" i="74" s="1"/>
  <c r="O8" i="61"/>
  <c r="C23" i="61" s="1"/>
  <c r="D92" i="61"/>
  <c r="L92" i="61"/>
  <c r="D106" i="70"/>
  <c r="O40" i="61"/>
  <c r="C55" i="61" s="1"/>
  <c r="O37" i="61"/>
  <c r="C52" i="61" s="1"/>
  <c r="G35" i="61"/>
  <c r="G46" i="61" s="1"/>
  <c r="F35" i="61"/>
  <c r="F46" i="61" s="1"/>
  <c r="N35" i="61"/>
  <c r="N46" i="61" s="1"/>
  <c r="K35" i="61"/>
  <c r="K46" i="61" s="1"/>
  <c r="H35" i="61"/>
  <c r="H46" i="61" s="1"/>
  <c r="L35" i="61"/>
  <c r="L46" i="61" s="1"/>
  <c r="E35" i="61"/>
  <c r="E46" i="61" s="1"/>
  <c r="D35" i="61"/>
  <c r="D46" i="61" s="1"/>
  <c r="I35" i="61"/>
  <c r="I46" i="61" s="1"/>
  <c r="J35" i="61"/>
  <c r="J46" i="61" s="1"/>
  <c r="M35" i="61"/>
  <c r="M46" i="61" s="1"/>
  <c r="C46" i="61"/>
  <c r="D121" i="73"/>
  <c r="D106" i="72"/>
  <c r="G91" i="71"/>
  <c r="H63" i="71"/>
  <c r="D121" i="70"/>
  <c r="G91" i="70"/>
  <c r="D106" i="69"/>
  <c r="G91" i="69"/>
  <c r="D106" i="68"/>
  <c r="D132" i="67"/>
  <c r="G197" i="66"/>
  <c r="D106" i="66"/>
  <c r="D132" i="65"/>
  <c r="D106" i="65"/>
  <c r="G197" i="64"/>
  <c r="D132" i="74"/>
  <c r="D132" i="73"/>
  <c r="G197" i="73"/>
  <c r="H63" i="73"/>
  <c r="G91" i="73"/>
  <c r="G197" i="72"/>
  <c r="G91" i="72"/>
  <c r="D132" i="72"/>
  <c r="D121" i="72"/>
  <c r="G197" i="71"/>
  <c r="D106" i="71"/>
  <c r="D132" i="71"/>
  <c r="D121" i="71"/>
  <c r="D132" i="70"/>
  <c r="G197" i="70"/>
  <c r="D132" i="69"/>
  <c r="G197" i="69"/>
  <c r="D121" i="69"/>
  <c r="H63" i="69"/>
  <c r="G197" i="68"/>
  <c r="D132" i="68"/>
  <c r="D121" i="68"/>
  <c r="G91" i="68"/>
  <c r="G197" i="67"/>
  <c r="G91" i="67"/>
  <c r="D121" i="67"/>
  <c r="H63" i="67"/>
  <c r="D132" i="66"/>
  <c r="G91" i="66"/>
  <c r="H63" i="66"/>
  <c r="D121" i="66"/>
  <c r="G91" i="65"/>
  <c r="G197" i="65"/>
  <c r="D121" i="65"/>
  <c r="D132" i="64"/>
  <c r="G91" i="64"/>
  <c r="D121" i="64"/>
  <c r="G52" i="58"/>
  <c r="G68" i="58"/>
  <c r="G56" i="58"/>
  <c r="G65" i="58"/>
  <c r="G53" i="58"/>
  <c r="G64" i="58"/>
  <c r="G61" i="58"/>
  <c r="G49" i="58"/>
  <c r="G63" i="58"/>
  <c r="G51" i="58"/>
  <c r="G62" i="58"/>
  <c r="G50" i="58"/>
  <c r="G60" i="58"/>
  <c r="G48" i="58"/>
  <c r="G59" i="58"/>
  <c r="G47" i="58"/>
  <c r="G58" i="58"/>
  <c r="G46" i="58"/>
  <c r="G57" i="58"/>
  <c r="B101" i="58"/>
  <c r="S124" i="58"/>
  <c r="G152" i="58" s="1"/>
  <c r="G121" i="58"/>
  <c r="G110" i="58"/>
  <c r="G113" i="58"/>
  <c r="S117" i="58"/>
  <c r="G145" i="58" s="1"/>
  <c r="G103" i="58"/>
  <c r="S118" i="58"/>
  <c r="G146" i="58" s="1"/>
  <c r="G104" i="58"/>
  <c r="S119" i="58"/>
  <c r="G147" i="58" s="1"/>
  <c r="G117" i="58"/>
  <c r="S121" i="58"/>
  <c r="G149" i="58" s="1"/>
  <c r="G108" i="58"/>
  <c r="G109" i="58"/>
  <c r="G122" i="58"/>
  <c r="G111" i="58"/>
  <c r="G123" i="58"/>
  <c r="G112" i="58"/>
  <c r="G124" i="58"/>
  <c r="G102" i="58"/>
  <c r="G114" i="58"/>
  <c r="G115" i="58"/>
  <c r="G116" i="58"/>
  <c r="G105" i="58"/>
  <c r="S120" i="58"/>
  <c r="G148" i="58" s="1"/>
  <c r="G106" i="58"/>
  <c r="G118" i="58"/>
  <c r="G107" i="58"/>
  <c r="S122" i="58"/>
  <c r="G150" i="58" s="1"/>
  <c r="G119" i="58"/>
  <c r="S123" i="58"/>
  <c r="G151" i="58" s="1"/>
  <c r="G120" i="58"/>
  <c r="B73" i="58"/>
  <c r="G89" i="58"/>
  <c r="G92" i="58"/>
  <c r="G94" i="58"/>
  <c r="G95" i="58"/>
  <c r="G96" i="58"/>
  <c r="G87" i="58"/>
  <c r="G88" i="58"/>
  <c r="G90" i="58"/>
  <c r="G91" i="58"/>
  <c r="G93" i="58"/>
  <c r="G67" i="58"/>
  <c r="G55" i="58"/>
  <c r="G66" i="58"/>
  <c r="G54" i="58"/>
  <c r="C38" i="58"/>
  <c r="C39" i="58"/>
  <c r="D27" i="58"/>
  <c r="D25" i="58"/>
  <c r="D26" i="58"/>
  <c r="D34" i="58"/>
  <c r="D21" i="58"/>
  <c r="E21" i="58"/>
  <c r="H54" i="41"/>
  <c r="H55" i="41"/>
  <c r="H53" i="41"/>
  <c r="S112" i="58" l="1"/>
  <c r="G140" i="58" s="1"/>
  <c r="S58" i="58"/>
  <c r="G86" i="58" s="1"/>
  <c r="S115" i="58"/>
  <c r="G143" i="58" s="1"/>
  <c r="S116" i="58"/>
  <c r="G144" i="58" s="1"/>
  <c r="S113" i="58"/>
  <c r="G141" i="58" s="1"/>
  <c r="S56" i="58"/>
  <c r="G84" i="58" s="1"/>
  <c r="S57" i="58"/>
  <c r="G85" i="58" s="1"/>
  <c r="S114" i="58"/>
  <c r="G142" i="58" s="1"/>
  <c r="S104" i="58"/>
  <c r="G132" i="58" s="1"/>
  <c r="S111" i="58"/>
  <c r="G139" i="58" s="1"/>
  <c r="S49" i="58"/>
  <c r="G77" i="58" s="1"/>
  <c r="S55" i="58"/>
  <c r="G83" i="58" s="1"/>
  <c r="S107" i="58"/>
  <c r="G135" i="58" s="1"/>
  <c r="G45" i="58"/>
  <c r="R45" i="58"/>
  <c r="R69" i="58" s="1"/>
  <c r="O45" i="58"/>
  <c r="O69" i="58" s="1"/>
  <c r="I45" i="58"/>
  <c r="I69" i="58" s="1"/>
  <c r="N45" i="58"/>
  <c r="N69" i="58" s="1"/>
  <c r="H45" i="58"/>
  <c r="H69" i="58" s="1"/>
  <c r="L45" i="58"/>
  <c r="L69" i="58" s="1"/>
  <c r="Q45" i="58"/>
  <c r="Q69" i="58" s="1"/>
  <c r="M45" i="58"/>
  <c r="M69" i="58" s="1"/>
  <c r="P45" i="58"/>
  <c r="P69" i="58" s="1"/>
  <c r="J45" i="58"/>
  <c r="J69" i="58" s="1"/>
  <c r="K45" i="58"/>
  <c r="K69" i="58" s="1"/>
  <c r="S103" i="58"/>
  <c r="G131" i="58" s="1"/>
  <c r="S105" i="58"/>
  <c r="G133" i="58" s="1"/>
  <c r="S48" i="58"/>
  <c r="G76" i="58" s="1"/>
  <c r="S47" i="58"/>
  <c r="G75" i="58" s="1"/>
  <c r="S52" i="58"/>
  <c r="G80" i="58" s="1"/>
  <c r="S50" i="58"/>
  <c r="G78" i="58" s="1"/>
  <c r="R101" i="58"/>
  <c r="R125" i="58" s="1"/>
  <c r="O101" i="58"/>
  <c r="O125" i="58" s="1"/>
  <c r="I101" i="58"/>
  <c r="I125" i="58" s="1"/>
  <c r="N101" i="58"/>
  <c r="N125" i="58" s="1"/>
  <c r="H101" i="58"/>
  <c r="L101" i="58"/>
  <c r="L125" i="58" s="1"/>
  <c r="Q101" i="58"/>
  <c r="Q125" i="58" s="1"/>
  <c r="M101" i="58"/>
  <c r="M125" i="58" s="1"/>
  <c r="P101" i="58"/>
  <c r="P125" i="58" s="1"/>
  <c r="J101" i="58"/>
  <c r="J125" i="58" s="1"/>
  <c r="K101" i="58"/>
  <c r="K125" i="58" s="1"/>
  <c r="S53" i="58"/>
  <c r="G81" i="58" s="1"/>
  <c r="S110" i="58"/>
  <c r="G138" i="58" s="1"/>
  <c r="S109" i="58"/>
  <c r="G137" i="58" s="1"/>
  <c r="S102" i="58"/>
  <c r="G130" i="58" s="1"/>
  <c r="S106" i="58"/>
  <c r="G134" i="58" s="1"/>
  <c r="S108" i="58"/>
  <c r="G136" i="58" s="1"/>
  <c r="S46" i="58"/>
  <c r="G74" i="58" s="1"/>
  <c r="S54" i="58"/>
  <c r="G82" i="58" s="1"/>
  <c r="S51" i="58"/>
  <c r="G79" i="58" s="1"/>
  <c r="G101" i="58"/>
  <c r="D28" i="58"/>
  <c r="C40" i="58"/>
  <c r="P34" i="58"/>
  <c r="P21" i="58"/>
  <c r="H56" i="41"/>
  <c r="S45" i="58" l="1"/>
  <c r="G73" i="58" s="1"/>
  <c r="G97" i="58" s="1"/>
  <c r="G69" i="58"/>
  <c r="S101" i="58"/>
  <c r="S125" i="58" s="1"/>
  <c r="G125" i="58"/>
  <c r="H125" i="58"/>
  <c r="B4" i="54" a="1"/>
  <c r="C129" i="61"/>
  <c r="C128" i="61"/>
  <c r="C127" i="61"/>
  <c r="C126" i="61"/>
  <c r="C125" i="61"/>
  <c r="C124" i="61"/>
  <c r="C123" i="61"/>
  <c r="C122" i="61"/>
  <c r="C121" i="61"/>
  <c r="C120" i="61"/>
  <c r="C119" i="61"/>
  <c r="C118" i="61"/>
  <c r="C117" i="61"/>
  <c r="C116" i="61"/>
  <c r="C115" i="61"/>
  <c r="C114" i="61"/>
  <c r="C113" i="61"/>
  <c r="C112" i="61"/>
  <c r="C111" i="61"/>
  <c r="C110" i="61"/>
  <c r="C109" i="61"/>
  <c r="C108" i="61"/>
  <c r="C107" i="61"/>
  <c r="C106" i="61"/>
  <c r="B74" i="61"/>
  <c r="O7" i="58"/>
  <c r="N7" i="58"/>
  <c r="M7" i="58"/>
  <c r="L7" i="58"/>
  <c r="K7" i="58"/>
  <c r="J7" i="58"/>
  <c r="I7" i="58"/>
  <c r="H7" i="58"/>
  <c r="G7" i="58"/>
  <c r="K5" i="54" l="1"/>
  <c r="K6" i="54"/>
  <c r="J5" i="54"/>
  <c r="J6" i="54"/>
  <c r="G129" i="58"/>
  <c r="G153" i="58" s="1"/>
  <c r="S69" i="58"/>
  <c r="C130" i="61"/>
  <c r="O106" i="61"/>
  <c r="B4" i="54"/>
  <c r="E5" i="54"/>
  <c r="C5" i="54"/>
  <c r="C6" i="54"/>
  <c r="D6" i="54"/>
  <c r="D5" i="54"/>
  <c r="E6" i="54"/>
  <c r="G6" i="54"/>
  <c r="F6" i="54"/>
  <c r="G5" i="54"/>
  <c r="F5" i="54"/>
  <c r="I6" i="54"/>
  <c r="H6" i="54"/>
  <c r="I5" i="54"/>
  <c r="H5" i="54"/>
  <c r="O41" i="61"/>
  <c r="C56" i="61" s="1"/>
  <c r="O36" i="61"/>
  <c r="C51" i="61" s="1"/>
  <c r="O111" i="61"/>
  <c r="C139" i="61" s="1"/>
  <c r="O113" i="61"/>
  <c r="C141" i="61" s="1"/>
  <c r="O119" i="61"/>
  <c r="C147" i="61" s="1"/>
  <c r="O126" i="61"/>
  <c r="C154" i="61" s="1"/>
  <c r="O109" i="61"/>
  <c r="C137" i="61" s="1"/>
  <c r="O116" i="61"/>
  <c r="C144" i="61" s="1"/>
  <c r="O124" i="61"/>
  <c r="C152" i="61" s="1"/>
  <c r="O114" i="61"/>
  <c r="C142" i="61" s="1"/>
  <c r="O108" i="61"/>
  <c r="C136" i="61" s="1"/>
  <c r="O120" i="61"/>
  <c r="C148" i="61" s="1"/>
  <c r="O129" i="61"/>
  <c r="C157" i="61" s="1"/>
  <c r="O125" i="61"/>
  <c r="C153" i="61" s="1"/>
  <c r="O107" i="61"/>
  <c r="C135" i="61" s="1"/>
  <c r="O117" i="61"/>
  <c r="C145" i="61" s="1"/>
  <c r="O123" i="61"/>
  <c r="C151" i="61" s="1"/>
  <c r="O128" i="61"/>
  <c r="C156" i="61" s="1"/>
  <c r="O110" i="61"/>
  <c r="C138" i="61" s="1"/>
  <c r="O112" i="61"/>
  <c r="C140" i="61" s="1"/>
  <c r="O115" i="61"/>
  <c r="C143" i="61" s="1"/>
  <c r="O118" i="61"/>
  <c r="C146" i="61" s="1"/>
  <c r="O121" i="61"/>
  <c r="C149" i="61" s="1"/>
  <c r="O122" i="61"/>
  <c r="C150" i="61" s="1"/>
  <c r="O127" i="61"/>
  <c r="C155" i="61" s="1"/>
  <c r="B173" i="41" a="1"/>
  <c r="B67" i="41" a="1"/>
  <c r="B95" i="41" a="1"/>
  <c r="B110" i="41" a="1"/>
  <c r="B143" i="41"/>
  <c r="D54" i="41"/>
  <c r="D53" i="41"/>
  <c r="J4" i="54" l="1"/>
  <c r="J7" i="54" s="1"/>
  <c r="K4" i="54"/>
  <c r="K7" i="54" s="1"/>
  <c r="D115" i="41"/>
  <c r="D114" i="41"/>
  <c r="D116" i="41"/>
  <c r="D117" i="41"/>
  <c r="D113" i="41"/>
  <c r="D111" i="41"/>
  <c r="D118" i="41"/>
  <c r="D119" i="41"/>
  <c r="D120" i="41"/>
  <c r="D112" i="41"/>
  <c r="B173" i="41"/>
  <c r="G173" i="41" s="1"/>
  <c r="G177" i="41"/>
  <c r="G189" i="41"/>
  <c r="G187" i="41"/>
  <c r="G176" i="41"/>
  <c r="G188" i="41"/>
  <c r="G178" i="41"/>
  <c r="G190" i="41"/>
  <c r="G179" i="41"/>
  <c r="G191" i="41"/>
  <c r="G186" i="41"/>
  <c r="G174" i="41"/>
  <c r="G180" i="41"/>
  <c r="G192" i="41"/>
  <c r="G181" i="41"/>
  <c r="G193" i="41"/>
  <c r="G182" i="41"/>
  <c r="G194" i="41"/>
  <c r="G183" i="41"/>
  <c r="G195" i="41"/>
  <c r="G184" i="41"/>
  <c r="G196" i="41"/>
  <c r="G185" i="41"/>
  <c r="G175" i="41"/>
  <c r="B95" i="41"/>
  <c r="D95" i="41" s="1"/>
  <c r="D103" i="41"/>
  <c r="D99" i="41"/>
  <c r="D104" i="41"/>
  <c r="D105" i="41"/>
  <c r="D101" i="41"/>
  <c r="D96" i="41"/>
  <c r="D97" i="41"/>
  <c r="D98" i="41"/>
  <c r="D100" i="41"/>
  <c r="D102" i="41"/>
  <c r="B67" i="41"/>
  <c r="G67" i="41" s="1"/>
  <c r="G74" i="41"/>
  <c r="G86" i="41"/>
  <c r="G83" i="41"/>
  <c r="G72" i="41"/>
  <c r="G85" i="41"/>
  <c r="G75" i="41"/>
  <c r="G87" i="41"/>
  <c r="G76" i="41"/>
  <c r="G88" i="41"/>
  <c r="G70" i="41"/>
  <c r="G71" i="41"/>
  <c r="G73" i="41"/>
  <c r="G69" i="41"/>
  <c r="G77" i="41"/>
  <c r="G89" i="41"/>
  <c r="G78" i="41"/>
  <c r="G90" i="41"/>
  <c r="G79" i="41"/>
  <c r="G68" i="41"/>
  <c r="G80" i="41"/>
  <c r="G81" i="41"/>
  <c r="G82" i="41"/>
  <c r="G84" i="41"/>
  <c r="O130" i="61"/>
  <c r="C4" i="54"/>
  <c r="H4" i="54"/>
  <c r="H7" i="54" s="1"/>
  <c r="D4" i="54"/>
  <c r="D7" i="54" s="1"/>
  <c r="G4" i="54"/>
  <c r="G7" i="54" s="1"/>
  <c r="F4" i="54"/>
  <c r="F7" i="54" s="1"/>
  <c r="E4" i="54"/>
  <c r="E7" i="54" s="1"/>
  <c r="I4" i="54"/>
  <c r="I7" i="54" s="1"/>
  <c r="O7" i="61"/>
  <c r="C22" i="61" s="1"/>
  <c r="O5" i="61"/>
  <c r="C20" i="61" s="1"/>
  <c r="O6" i="61"/>
  <c r="C21" i="61" s="1"/>
  <c r="O35" i="61"/>
  <c r="C50" i="61" s="1"/>
  <c r="C61" i="61" s="1"/>
  <c r="B110" i="41"/>
  <c r="D110" i="41" s="1"/>
  <c r="E7" i="58"/>
  <c r="F7" i="58"/>
  <c r="C134" i="61"/>
  <c r="C158" i="61" s="1"/>
  <c r="D55" i="41"/>
  <c r="D145" i="41"/>
  <c r="D146" i="41"/>
  <c r="D147" i="41"/>
  <c r="D148" i="41"/>
  <c r="D149" i="41"/>
  <c r="D150" i="41"/>
  <c r="D151" i="41"/>
  <c r="D152" i="41"/>
  <c r="D153" i="41"/>
  <c r="D154" i="41"/>
  <c r="D155" i="41"/>
  <c r="D156" i="41"/>
  <c r="D157" i="41"/>
  <c r="D158" i="41"/>
  <c r="D159" i="41"/>
  <c r="D160" i="41"/>
  <c r="D161" i="41"/>
  <c r="D162" i="41"/>
  <c r="D163" i="41"/>
  <c r="D164" i="41"/>
  <c r="D165" i="41"/>
  <c r="D166" i="41"/>
  <c r="D167" i="41"/>
  <c r="D168" i="41"/>
  <c r="C1" i="41"/>
  <c r="B1" i="55" s="1"/>
  <c r="W34" i="55"/>
  <c r="B3" i="57"/>
  <c r="B2" i="57"/>
  <c r="B99" i="58" l="1"/>
  <c r="B48" i="61"/>
  <c r="AI1" i="55"/>
  <c r="B85" i="61"/>
  <c r="AC1" i="55"/>
  <c r="Z1" i="55"/>
  <c r="T1" i="55"/>
  <c r="E1" i="55"/>
  <c r="AF1" i="55"/>
  <c r="B63" i="61"/>
  <c r="B33" i="61"/>
  <c r="B2" i="61"/>
  <c r="W1" i="55"/>
  <c r="B32" i="54"/>
  <c r="B2" i="54"/>
  <c r="K1" i="55"/>
  <c r="H1" i="55"/>
  <c r="B104" i="61"/>
  <c r="Q1" i="55"/>
  <c r="N1" i="55"/>
  <c r="D121" i="41"/>
  <c r="B16" i="58"/>
  <c r="B2" i="58"/>
  <c r="B43" i="58"/>
  <c r="B30" i="58"/>
  <c r="D1" i="41"/>
  <c r="C90" i="61"/>
  <c r="O90" i="61" s="1"/>
  <c r="C99" i="61" s="1"/>
  <c r="D139" i="41"/>
  <c r="D106" i="41"/>
  <c r="G91" i="41"/>
  <c r="D138" i="41"/>
  <c r="D137" i="41"/>
  <c r="D136" i="41"/>
  <c r="C88" i="61"/>
  <c r="O88" i="61" s="1"/>
  <c r="C97" i="61" s="1"/>
  <c r="C89" i="61"/>
  <c r="O89" i="61" s="1"/>
  <c r="C98" i="61" s="1"/>
  <c r="C87" i="61"/>
  <c r="O87" i="61" s="1"/>
  <c r="O46" i="61"/>
  <c r="O4" i="61"/>
  <c r="C19" i="61" s="1"/>
  <c r="C30" i="61" s="1"/>
  <c r="H61" i="41"/>
  <c r="H62" i="41"/>
  <c r="H60" i="41"/>
  <c r="G197" i="41"/>
  <c r="D6" i="58"/>
  <c r="D4" i="58"/>
  <c r="D5" i="58"/>
  <c r="C71" i="61"/>
  <c r="C69" i="61"/>
  <c r="C68" i="61"/>
  <c r="C67" i="61"/>
  <c r="C66" i="61"/>
  <c r="O66" i="61" s="1"/>
  <c r="C65" i="61"/>
  <c r="C70" i="61"/>
  <c r="D169" i="41"/>
  <c r="D141" i="41" l="1"/>
  <c r="O92" i="61"/>
  <c r="O65" i="61"/>
  <c r="C72" i="61"/>
  <c r="P5" i="58"/>
  <c r="D12" i="58" s="1"/>
  <c r="P4" i="58"/>
  <c r="D11" i="58" s="1"/>
  <c r="P6" i="58"/>
  <c r="C92" i="61"/>
  <c r="C96" i="61"/>
  <c r="C101" i="61" s="1"/>
  <c r="O15" i="61"/>
  <c r="O67" i="61"/>
  <c r="C78" i="61" s="1"/>
  <c r="O68" i="61"/>
  <c r="C79" i="61" s="1"/>
  <c r="O70" i="61"/>
  <c r="C81" i="61" s="1"/>
  <c r="C77" i="61"/>
  <c r="O69" i="61"/>
  <c r="C80" i="61" s="1"/>
  <c r="O71" i="61"/>
  <c r="C82" i="61" s="1"/>
  <c r="H63" i="41"/>
  <c r="D7" i="58"/>
  <c r="W36" i="55"/>
  <c r="U1" i="70" l="1"/>
  <c r="J34" i="54"/>
  <c r="P7" i="58"/>
  <c r="D13" i="58"/>
  <c r="D14" i="58" s="1"/>
  <c r="O72" i="61"/>
  <c r="C76" i="61"/>
  <c r="C83" i="61" s="1"/>
  <c r="B134" i="41"/>
  <c r="O35" i="54"/>
  <c r="B108" i="41"/>
  <c r="B123" i="41"/>
  <c r="AC34" i="55"/>
  <c r="AC36" i="55" s="1"/>
  <c r="AI34" i="55"/>
  <c r="AI36" i="55" s="1"/>
  <c r="T34" i="55"/>
  <c r="T36" i="55" s="1"/>
  <c r="Q33" i="55"/>
  <c r="Q35" i="55" s="1"/>
  <c r="N34" i="55"/>
  <c r="N36" i="55" s="1"/>
  <c r="H34" i="55"/>
  <c r="H36" i="55" s="1"/>
  <c r="AF33" i="55"/>
  <c r="AF35" i="55" s="1"/>
  <c r="Z33" i="55"/>
  <c r="K33" i="55"/>
  <c r="K35" i="55" s="1"/>
  <c r="E31" i="55"/>
  <c r="E33" i="55" s="1"/>
  <c r="U1" i="64" s="1"/>
  <c r="B35" i="55"/>
  <c r="O8" i="54"/>
  <c r="B36" i="55" l="1"/>
  <c r="U1" i="41" s="1"/>
  <c r="U1" i="74"/>
  <c r="N34" i="54"/>
  <c r="U1" i="73"/>
  <c r="M34" i="54"/>
  <c r="U1" i="72"/>
  <c r="L34" i="54"/>
  <c r="U1" i="69"/>
  <c r="I34" i="54"/>
  <c r="U1" i="68"/>
  <c r="H34" i="54"/>
  <c r="U1" i="67"/>
  <c r="G34" i="54"/>
  <c r="U1" i="66"/>
  <c r="F34" i="54"/>
  <c r="U1" i="65"/>
  <c r="E34" i="54"/>
  <c r="Z35" i="55"/>
  <c r="D34" i="54"/>
  <c r="C7" i="54"/>
  <c r="O6" i="54"/>
  <c r="D131" i="41"/>
  <c r="D127" i="41"/>
  <c r="D125" i="41"/>
  <c r="D126" i="41"/>
  <c r="D128" i="41"/>
  <c r="D129" i="41"/>
  <c r="D130" i="41"/>
  <c r="D132" i="41" l="1"/>
  <c r="C34" i="54"/>
  <c r="U1" i="71"/>
  <c r="K34" i="54"/>
  <c r="O34" i="54" l="1"/>
  <c r="O5" i="54"/>
  <c r="O4" i="54"/>
  <c r="N7" i="54"/>
  <c r="O7" i="54" l="1"/>
  <c r="O3" i="62" s="1"/>
  <c r="N3" i="62" s="1"/>
  <c r="M3" i="62" s="1"/>
  <c r="L3" i="62" s="1"/>
  <c r="K3" i="62" s="1"/>
  <c r="J3" i="62" s="1"/>
  <c r="I3" i="62" s="1"/>
  <c r="H3" i="62" s="1"/>
  <c r="G3" i="62" s="1"/>
  <c r="F3" i="62" s="1"/>
  <c r="E3" i="62" s="1"/>
  <c r="D3" i="62" s="1"/>
  <c r="C3" i="6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<sst xmlns="http://schemas.openxmlformats.org/spreadsheetml/2006/main" count="1853" uniqueCount="182">
  <si>
    <t>Date of Incident</t>
  </si>
  <si>
    <t>Location</t>
  </si>
  <si>
    <t>Station</t>
  </si>
  <si>
    <t>Day</t>
  </si>
  <si>
    <t xml:space="preserve">January </t>
  </si>
  <si>
    <t>February</t>
  </si>
  <si>
    <t>March</t>
  </si>
  <si>
    <t>April</t>
  </si>
  <si>
    <t>May</t>
  </si>
  <si>
    <t>June</t>
  </si>
  <si>
    <t>July</t>
  </si>
  <si>
    <t>August</t>
  </si>
  <si>
    <t>September</t>
  </si>
  <si>
    <t>October</t>
  </si>
  <si>
    <t>November</t>
  </si>
  <si>
    <t>December</t>
  </si>
  <si>
    <t>TOTAL</t>
  </si>
  <si>
    <t>Bedroom</t>
  </si>
  <si>
    <t>Bathroom</t>
  </si>
  <si>
    <t>Hallway</t>
  </si>
  <si>
    <t>Location of Falls</t>
  </si>
  <si>
    <t>Falls by Station</t>
  </si>
  <si>
    <t>Day of the Week</t>
  </si>
  <si>
    <t>Time of Shift</t>
  </si>
  <si>
    <t>Fall Type</t>
  </si>
  <si>
    <t>Major Injury</t>
  </si>
  <si>
    <t>BIMS Score</t>
  </si>
  <si>
    <t>Brief Interview for Mental Status</t>
  </si>
  <si>
    <t>Year</t>
  </si>
  <si>
    <t>Severe</t>
  </si>
  <si>
    <t>Cognitive Impairment</t>
  </si>
  <si>
    <t>Moderate</t>
  </si>
  <si>
    <t>Intact</t>
  </si>
  <si>
    <t>Hour</t>
  </si>
  <si>
    <t>Shift</t>
  </si>
  <si>
    <t>Total</t>
  </si>
  <si>
    <t>Goal</t>
  </si>
  <si>
    <t>Name</t>
  </si>
  <si>
    <t>Month Totals</t>
  </si>
  <si>
    <t>Activity Room</t>
  </si>
  <si>
    <t>Witnessed</t>
  </si>
  <si>
    <t>Yes</t>
  </si>
  <si>
    <t>No</t>
  </si>
  <si>
    <t>Potential High Fall Risk</t>
  </si>
  <si>
    <t>BIMS Scores of Resident Falls</t>
  </si>
  <si>
    <t>Score</t>
  </si>
  <si>
    <t>Sun</t>
  </si>
  <si>
    <t>Mon</t>
  </si>
  <si>
    <t>Wed</t>
  </si>
  <si>
    <t>Fri</t>
  </si>
  <si>
    <t>Sat</t>
  </si>
  <si>
    <t>Thu</t>
  </si>
  <si>
    <t>Tue</t>
  </si>
  <si>
    <t>Number of Falls by Resident</t>
  </si>
  <si>
    <t>Falls by Resident</t>
  </si>
  <si>
    <t>Census #</t>
  </si>
  <si>
    <t>Falls Total</t>
  </si>
  <si>
    <t>Falls Rate</t>
  </si>
  <si>
    <t>January</t>
  </si>
  <si>
    <t>Total Falls:</t>
  </si>
  <si>
    <t>Facility Rate</t>
  </si>
  <si>
    <t>Avg</t>
  </si>
  <si>
    <t>Fall Rate:</t>
  </si>
  <si>
    <t>Facility Name</t>
  </si>
  <si>
    <t>Nurses Stations</t>
  </si>
  <si>
    <t>Edit Shifts</t>
  </si>
  <si>
    <t>Reaching for an item</t>
  </si>
  <si>
    <t>Showering or bathing</t>
  </si>
  <si>
    <t>Toileting</t>
  </si>
  <si>
    <t>Dressing or undressing</t>
  </si>
  <si>
    <t>Transferring to or from bed, chair, wheelchair, etc.</t>
  </si>
  <si>
    <t>Ambulating with staff assistance</t>
  </si>
  <si>
    <t>Ambulating with assistive device (walker, cane, wheelchair)</t>
  </si>
  <si>
    <t>Ambulating without assistance or assistive device</t>
  </si>
  <si>
    <t>Changing position (e.g., in bed, chair)</t>
  </si>
  <si>
    <t>Other activity</t>
  </si>
  <si>
    <t>Unknown</t>
  </si>
  <si>
    <t>No Injury</t>
  </si>
  <si>
    <t>Falls by Activity</t>
  </si>
  <si>
    <t>Overwhelming Force</t>
  </si>
  <si>
    <t>Notes on resident activity prior to fall.</t>
  </si>
  <si>
    <t>RCA
Completed?</t>
  </si>
  <si>
    <t>RCA Completed</t>
  </si>
  <si>
    <t>Result</t>
  </si>
  <si>
    <t>Witnessed
Fall?</t>
  </si>
  <si>
    <t>Witnessed Falls</t>
  </si>
  <si>
    <t>Activity</t>
  </si>
  <si>
    <t>All Falls</t>
  </si>
  <si>
    <t>Injury (Except Major)</t>
  </si>
  <si>
    <t xml:space="preserve"> Date of Post Fall Evaluation</t>
  </si>
  <si>
    <t>Injury Type</t>
  </si>
  <si>
    <t>Offsite</t>
  </si>
  <si>
    <t>Contributing Factors</t>
  </si>
  <si>
    <t>Staff</t>
  </si>
  <si>
    <t>Certified Nurse Assistance</t>
  </si>
  <si>
    <t>Nurse</t>
  </si>
  <si>
    <t>Witness Name</t>
  </si>
  <si>
    <t>Shower Room</t>
  </si>
  <si>
    <t>Dining Room</t>
  </si>
  <si>
    <t>Process(s) not followed</t>
  </si>
  <si>
    <t>Fall Circumstances</t>
  </si>
  <si>
    <t>Intercepted</t>
  </si>
  <si>
    <t>N/A</t>
  </si>
  <si>
    <t>Falls by BIMS Score</t>
  </si>
  <si>
    <t>Room</t>
  </si>
  <si>
    <t>Resident Name</t>
  </si>
  <si>
    <t>Falls by Contributing Factors</t>
  </si>
  <si>
    <t>Shifts Summary</t>
  </si>
  <si>
    <t>Add to/Edit</t>
  </si>
  <si>
    <t xml:space="preserve">Add to/Edit </t>
  </si>
  <si>
    <t>Example: Mock/Sample Data</t>
  </si>
  <si>
    <t>Enter Year</t>
  </si>
  <si>
    <t>Data Validation Tab</t>
  </si>
  <si>
    <t>Graphs Tab: Falls</t>
  </si>
  <si>
    <t>Fall Rate and Census</t>
  </si>
  <si>
    <t>23:00–24:00</t>
  </si>
  <si>
    <t>24:00–01:00</t>
  </si>
  <si>
    <t>01:00–02:00</t>
  </si>
  <si>
    <t>02:00–03:00</t>
  </si>
  <si>
    <t>03:00–04:00</t>
  </si>
  <si>
    <t>04:00–05:00</t>
  </si>
  <si>
    <t>05:00–06:00</t>
  </si>
  <si>
    <t>06:00–07:00</t>
  </si>
  <si>
    <t>07:00–08:00</t>
  </si>
  <si>
    <t>08:00–09:00</t>
  </si>
  <si>
    <t>09:00–10:00</t>
  </si>
  <si>
    <t>10:00–11:00</t>
  </si>
  <si>
    <t>11:00–12:00</t>
  </si>
  <si>
    <t>12:00–13:00</t>
  </si>
  <si>
    <t>13:00–14:00</t>
  </si>
  <si>
    <t>14:00–15:00</t>
  </si>
  <si>
    <t>15:00–16:00</t>
  </si>
  <si>
    <t>16:00–17:00</t>
  </si>
  <si>
    <t>17:00–18:00</t>
  </si>
  <si>
    <t>18:00–19:00</t>
  </si>
  <si>
    <t>19:00–20:00</t>
  </si>
  <si>
    <t>20:00–21:00</t>
  </si>
  <si>
    <t>21:00–22:00</t>
  </si>
  <si>
    <t>22:00–23:00</t>
  </si>
  <si>
    <t>11–7</t>
  </si>
  <si>
    <t>7–3</t>
  </si>
  <si>
    <t>3–11</t>
  </si>
  <si>
    <t>Severe (1–7)</t>
  </si>
  <si>
    <t>Moderate (8–12)</t>
  </si>
  <si>
    <t>Intact (13–15)</t>
  </si>
  <si>
    <t>Months Tab: January– December</t>
  </si>
  <si>
    <t>The purpose of this tracker is to provide information to assist the Quality Assurance and Performance Improvement (QAPI) committee to develop appropriate interventions that are data driven for their residents who have fallen. </t>
  </si>
  <si>
    <t>*iQIES = Internet Quality Improvement &amp; Evaluation System</t>
  </si>
  <si>
    <t>What was the resident doing prior to fall?</t>
  </si>
  <si>
    <t>Assisted/caregiver transfer</t>
  </si>
  <si>
    <t>Bowel and bladder (B&amp;B) needs</t>
  </si>
  <si>
    <t>Behavioral or situational</t>
  </si>
  <si>
    <t>Change of condition</t>
  </si>
  <si>
    <t>Environmental factors</t>
  </si>
  <si>
    <t>Equipment malfunction</t>
  </si>
  <si>
    <t>Equipment or assistive device</t>
  </si>
  <si>
    <t>Medication related</t>
  </si>
  <si>
    <t>Resident health conditions</t>
  </si>
  <si>
    <t>What was resident doing prior to fall?</t>
  </si>
  <si>
    <t>Enter Facility Name</t>
  </si>
  <si>
    <t>Sunshine No Fall Villas</t>
  </si>
  <si>
    <t>10B</t>
  </si>
  <si>
    <t>Assisted/Caregiver Transfer</t>
  </si>
  <si>
    <t>CN Name</t>
  </si>
  <si>
    <t>C.N.A. Name</t>
  </si>
  <si>
    <t>63A</t>
  </si>
  <si>
    <t>B&amp;B Needs</t>
  </si>
  <si>
    <t>61A</t>
  </si>
  <si>
    <t>Equipment Malfunction</t>
  </si>
  <si>
    <t>Certified Nurse Assistant</t>
  </si>
  <si>
    <t>Cumulative Number of 
Falls by Shift</t>
  </si>
  <si>
    <t>Number of Falls by Hour</t>
  </si>
  <si>
    <t xml:space="preserve">   *RN = Registered Nurse; CNA = Certified Nursing Assistant</t>
  </si>
  <si>
    <t>Falls by Location</t>
  </si>
  <si>
    <t>What was resident doing prior to fall.</t>
  </si>
  <si>
    <t>Jennifer</t>
  </si>
  <si>
    <t>Megan</t>
  </si>
  <si>
    <t>John</t>
  </si>
  <si>
    <t>Year 2025</t>
  </si>
  <si>
    <t xml:space="preserve">       </t>
  </si>
  <si>
    <r>
      <rPr>
        <i/>
        <sz val="11"/>
        <color theme="1"/>
        <rFont val="Calibri"/>
        <family val="2"/>
        <scheme val="minor"/>
      </rPr>
      <t xml:space="preserve">Privacy Disclaimer: This tool is intended for use within your facility only. </t>
    </r>
    <r>
      <rPr>
        <b/>
        <i/>
        <sz val="11"/>
        <color theme="1"/>
        <rFont val="Calibri"/>
        <family val="2"/>
        <scheme val="minor"/>
      </rPr>
      <t xml:space="preserve">Do not email </t>
    </r>
    <r>
      <rPr>
        <i/>
        <sz val="11"/>
        <color theme="1"/>
        <rFont val="Calibri"/>
        <family val="2"/>
        <scheme val="minor"/>
      </rPr>
      <t xml:space="preserve">resident-level personally identifiable information or protected health information (PII/PHI) to HSAG or other external entities.   </t>
    </r>
    <r>
      <rPr>
        <sz val="9"/>
        <color theme="1"/>
        <rFont val="Calibri"/>
        <family val="2"/>
        <scheme val="minor"/>
      </rPr>
      <t xml:space="preserve">                                This material was prepared by Health Services Advisory Group (HSAG), a Quality Innovation Network-Quality Improvement Organization (QIN-QIO) under contract with the Centers for Medicare &amp; Medicaid Services (CMS), an agency of the U.S. Department of Health and Human Services (HHS). Views expressed in this material do not necessarily reflect the official views or policy of CMS or HHS, and any reference to a specific product or entity herein does not constitute endorsement of that product or entity by CMS or HHS. Publication No. QN-13SOW-XC-09302026-01</t>
    </r>
  </si>
  <si>
    <t>11-7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</si>
</sst>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mm/dd/yy;@"/>
    <numFmt numFmtId="165" formatCode="0.0"/>
    <numFmt numFmtId="166" formatCode="mm/dd/yyyy"/>
  </numFmts>
  <fonts count="25" x14ac:knownFonts="1">
    <font>
      <sz val="11"/>
      <color theme="1"/>
      <name val="Calibri"/>
      <family val="2"/>
      <scheme val="minor"/>
    </font>
    <font>
      <sz val="8"/>
      <color theme="1"/>
      <name val="Calibri"/>
      <family val="2"/>
      <scheme val="minor"/>
    </font>
    <font>
      <b/>
      <sz val="11"/>
      <color theme="1"/>
      <name val="Calibri"/>
      <family val="2"/>
      <scheme val="minor"/>
    </font>
    <font>
      <b/>
      <sz val="12"/>
      <color theme="1"/>
      <name val="Calibri"/>
      <family val="2"/>
      <scheme val="minor"/>
    </font>
    <font>
      <sz val="11"/>
      <name val="Calibri"/>
      <family val="2"/>
      <scheme val="minor"/>
    </font>
    <font>
      <b/>
      <sz val="12"/>
      <name val="Calibri"/>
      <family val="2"/>
      <scheme val="minor"/>
    </font>
    <font>
      <b/>
      <sz val="11"/>
      <color theme="0"/>
      <name val="Calibri"/>
      <family val="2"/>
      <scheme val="minor"/>
    </font>
    <font>
      <sz val="9"/>
      <color theme="1"/>
      <name val="Calibri"/>
      <family val="2"/>
      <scheme val="minor"/>
    </font>
    <font>
      <sz val="8"/>
      <name val="Calibri"/>
      <family val="2"/>
      <scheme val="minor"/>
    </font>
    <font>
      <b/>
      <sz val="14"/>
      <color theme="1"/>
      <name val="Calibri"/>
      <family val="2"/>
      <scheme val="minor"/>
    </font>
    <font>
      <u/>
      <sz val="11"/>
      <color theme="10"/>
      <name val="Calibri"/>
      <family val="2"/>
      <scheme val="minor"/>
    </font>
    <font>
      <b/>
      <sz val="11"/>
      <color theme="2" tint="-0.749992370372631"/>
      <name val="Calibri"/>
      <family val="2"/>
      <scheme val="minor"/>
    </font>
    <font>
      <b/>
      <sz val="12"/>
      <color theme="2" tint="-0.749992370372631"/>
      <name val="Calibri"/>
      <family val="2"/>
      <scheme val="minor"/>
    </font>
    <font>
      <sz val="12"/>
      <color theme="1"/>
      <name val="Calibri"/>
      <family val="2"/>
      <scheme val="minor"/>
    </font>
    <font>
      <b/>
      <sz val="11"/>
      <name val="Calibri"/>
      <family val="2"/>
      <scheme val="minor"/>
    </font>
    <font>
      <b/>
      <sz val="12"/>
      <color rgb="FF000000"/>
      <name val="Calibri"/>
      <family val="2"/>
      <scheme val="minor"/>
    </font>
    <font>
      <b/>
      <sz val="11"/>
      <color rgb="FFFF0000"/>
      <name val="Calibri"/>
      <family val="2"/>
      <scheme val="minor"/>
    </font>
    <font>
      <b/>
      <u/>
      <sz val="11"/>
      <color theme="10"/>
      <name val="Calibri"/>
      <family val="2"/>
      <scheme val="minor"/>
    </font>
    <font>
      <b/>
      <sz val="8"/>
      <color theme="1"/>
      <name val="Calibri Light"/>
      <family val="2"/>
      <scheme val="major"/>
    </font>
    <font>
      <sz val="8"/>
      <color theme="1"/>
      <name val="Calibri Light"/>
      <family val="2"/>
      <scheme val="major"/>
    </font>
    <font>
      <i/>
      <sz val="10"/>
      <color theme="1"/>
      <name val="Calibri"/>
      <family val="2"/>
      <scheme val="minor"/>
    </font>
    <font>
      <b/>
      <sz val="10"/>
      <color theme="1"/>
      <name val="Calibri"/>
      <family val="2"/>
      <scheme val="minor"/>
    </font>
    <font>
      <i/>
      <sz val="11"/>
      <color theme="1"/>
      <name val="Calibri"/>
      <family val="2"/>
      <scheme val="minor"/>
    </font>
    <font>
      <b/>
      <sz val="12"/>
      <color rgb="FFED0000"/>
      <name val="Calibri"/>
      <family val="2"/>
      <scheme val="minor"/>
    </font>
    <font>
      <b/>
      <i/>
      <sz val="11"/>
      <color theme="1"/>
      <name val="Calibri"/>
      <family val="2"/>
      <scheme val="minor"/>
    </font>
  </fonts>
  <fills count="13">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7F7F7"/>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14999847407452621"/>
        <bgColor theme="6"/>
      </patternFill>
    </fill>
    <fill>
      <patternFill patternType="solid">
        <fgColor rgb="FFFF0000"/>
        <bgColor indexed="64"/>
      </patternFill>
    </fill>
    <fill>
      <patternFill patternType="solid">
        <fgColor theme="2" tint="-9.9978637043366805E-2"/>
        <bgColor indexed="64"/>
      </patternFill>
    </fill>
  </fills>
  <borders count="12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top/>
      <bottom style="thin">
        <color theme="2" tint="-0.249977111117893"/>
      </bottom>
      <diagonal/>
    </border>
    <border>
      <left/>
      <right style="thin">
        <color theme="2" tint="-0.249977111117893"/>
      </right>
      <top/>
      <bottom style="thin">
        <color theme="2" tint="-0.249977111117893"/>
      </bottom>
      <diagonal/>
    </border>
    <border>
      <left/>
      <right/>
      <top/>
      <bottom style="medium">
        <color theme="2" tint="-0.249977111117893"/>
      </bottom>
      <diagonal/>
    </border>
    <border>
      <left/>
      <right/>
      <top style="thin">
        <color theme="2" tint="-0.249977111117893"/>
      </top>
      <bottom style="medium">
        <color theme="2" tint="-0.249977111117893"/>
      </bottom>
      <diagonal/>
    </border>
    <border>
      <left style="medium">
        <color theme="2" tint="-9.9948118533890809E-2"/>
      </left>
      <right/>
      <top style="medium">
        <color theme="2" tint="-0.24994659260841701"/>
      </top>
      <bottom style="medium">
        <color theme="2" tint="-0.24994659260841701"/>
      </bottom>
      <diagonal/>
    </border>
    <border>
      <left/>
      <right/>
      <top style="medium">
        <color theme="2" tint="-0.24994659260841701"/>
      </top>
      <bottom style="medium">
        <color theme="2" tint="-0.24994659260841701"/>
      </bottom>
      <diagonal/>
    </border>
    <border>
      <left/>
      <right style="medium">
        <color theme="2" tint="-9.9948118533890809E-2"/>
      </right>
      <top style="medium">
        <color theme="2" tint="-0.24994659260841701"/>
      </top>
      <bottom style="medium">
        <color theme="2" tint="-0.24994659260841701"/>
      </bottom>
      <diagonal/>
    </border>
    <border>
      <left style="thin">
        <color theme="2" tint="-0.249977111117893"/>
      </left>
      <right style="thin">
        <color theme="2" tint="-0.249977111117893"/>
      </right>
      <top style="thin">
        <color theme="2" tint="-0.249977111117893"/>
      </top>
      <bottom style="medium">
        <color theme="2" tint="-0.249977111117893"/>
      </bottom>
      <diagonal/>
    </border>
    <border>
      <left style="thin">
        <color theme="2" tint="-0.249977111117893"/>
      </left>
      <right style="thin">
        <color theme="2" tint="-0.249977111117893"/>
      </right>
      <top/>
      <bottom style="medium">
        <color theme="2" tint="-0.249977111117893"/>
      </bottom>
      <diagonal/>
    </border>
    <border>
      <left/>
      <right/>
      <top style="thin">
        <color theme="2" tint="-0.249977111117893"/>
      </top>
      <bottom/>
      <diagonal/>
    </border>
    <border>
      <left style="thin">
        <color theme="2" tint="-0.249977111117893"/>
      </left>
      <right/>
      <top style="thin">
        <color theme="2" tint="-0.249977111117893"/>
      </top>
      <bottom style="medium">
        <color theme="2" tint="-0.24994659260841701"/>
      </bottom>
      <diagonal/>
    </border>
    <border>
      <left style="thin">
        <color theme="2" tint="-0.249977111117893"/>
      </left>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style="thin">
        <color theme="2" tint="-0.249977111117893"/>
      </left>
      <right/>
      <top style="medium">
        <color theme="2" tint="-0.24994659260841701"/>
      </top>
      <bottom style="thin">
        <color theme="2" tint="-0.249977111117893"/>
      </bottom>
      <diagonal/>
    </border>
    <border>
      <left style="thin">
        <color theme="0" tint="-0.249977111117893"/>
      </left>
      <right/>
      <top/>
      <bottom/>
      <diagonal/>
    </border>
    <border>
      <left/>
      <right style="thin">
        <color theme="0" tint="-0.249977111117893"/>
      </right>
      <top/>
      <bottom/>
      <diagonal/>
    </border>
    <border>
      <left/>
      <right style="thin">
        <color theme="2" tint="-0.249977111117893"/>
      </right>
      <top style="medium">
        <color theme="2" tint="-0.24994659260841701"/>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theme="2" tint="-0.249977111117893"/>
      </right>
      <top style="medium">
        <color theme="2" tint="-0.24994659260841701"/>
      </top>
      <bottom style="medium">
        <color theme="2" tint="-0.24994659260841701"/>
      </bottom>
      <diagonal/>
    </border>
    <border>
      <left style="thin">
        <color theme="0" tint="-0.249977111117893"/>
      </left>
      <right/>
      <top style="medium">
        <color theme="2" tint="-0.24994659260841701"/>
      </top>
      <bottom style="thin">
        <color theme="0" tint="-0.249977111117893"/>
      </bottom>
      <diagonal/>
    </border>
    <border>
      <left/>
      <right/>
      <top style="medium">
        <color theme="2" tint="-0.24994659260841701"/>
      </top>
      <bottom style="thin">
        <color theme="0" tint="-0.249977111117893"/>
      </bottom>
      <diagonal/>
    </border>
    <border>
      <left style="thin">
        <color theme="0" tint="-0.249977111117893"/>
      </left>
      <right style="thin">
        <color theme="0" tint="-0.249977111117893"/>
      </right>
      <top style="thin">
        <color theme="2" tint="-0.249977111117893"/>
      </top>
      <bottom style="thin">
        <color theme="2" tint="-0.249977111117893"/>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theme="0" tint="-0.249977111117893"/>
      </right>
      <top/>
      <bottom style="thin">
        <color theme="0" tint="-0.249977111117893"/>
      </bottom>
      <diagonal/>
    </border>
    <border>
      <left style="medium">
        <color theme="2" tint="-9.9948118533890809E-2"/>
      </left>
      <right/>
      <top style="medium">
        <color theme="0" tint="-0.249977111117893"/>
      </top>
      <bottom style="medium">
        <color theme="2" tint="-0.24994659260841701"/>
      </bottom>
      <diagonal/>
    </border>
    <border>
      <left/>
      <right style="thin">
        <color theme="2" tint="-0.249977111117893"/>
      </right>
      <top style="medium">
        <color theme="0" tint="-0.249977111117893"/>
      </top>
      <bottom style="medium">
        <color theme="2" tint="-0.24994659260841701"/>
      </bottom>
      <diagonal/>
    </border>
    <border>
      <left style="medium">
        <color theme="2" tint="-9.9948118533890809E-2"/>
      </left>
      <right/>
      <top style="medium">
        <color theme="2" tint="-0.24994659260841701"/>
      </top>
      <bottom style="medium">
        <color theme="0" tint="-0.249977111117893"/>
      </bottom>
      <diagonal/>
    </border>
    <border>
      <left/>
      <right/>
      <top style="medium">
        <color theme="2" tint="-0.24994659260841701"/>
      </top>
      <bottom style="medium">
        <color theme="0" tint="-0.249977111117893"/>
      </bottom>
      <diagonal/>
    </border>
    <border>
      <left/>
      <right style="medium">
        <color theme="2" tint="-9.9948118533890809E-2"/>
      </right>
      <top style="medium">
        <color theme="2" tint="-0.24994659260841701"/>
      </top>
      <bottom style="medium">
        <color theme="0" tint="-0.249977111117893"/>
      </bottom>
      <diagonal/>
    </border>
    <border>
      <left/>
      <right style="thin">
        <color theme="0" tint="-0.249977111117893"/>
      </right>
      <top style="thin">
        <color theme="0" tint="-0.249977111117893"/>
      </top>
      <bottom style="medium">
        <color theme="0" tint="-0.249977111117893"/>
      </bottom>
      <diagonal/>
    </border>
    <border>
      <left style="thin">
        <color theme="0" tint="-0.249977111117893"/>
      </left>
      <right/>
      <top/>
      <bottom style="thin">
        <color theme="0" tint="-0.249977111117893"/>
      </bottom>
      <diagonal/>
    </border>
    <border>
      <left style="thin">
        <color theme="0" tint="-0.249977111117893"/>
      </left>
      <right/>
      <top style="medium">
        <color theme="0" tint="-0.249977111117893"/>
      </top>
      <bottom style="thin">
        <color theme="0" tint="-0.249977111117893"/>
      </bottom>
      <diagonal/>
    </border>
    <border>
      <left/>
      <right style="thin">
        <color theme="0" tint="-0.249977111117893"/>
      </right>
      <top style="medium">
        <color theme="0" tint="-0.249977111117893"/>
      </top>
      <bottom style="thin">
        <color theme="0" tint="-0.249977111117893"/>
      </bottom>
      <diagonal/>
    </border>
    <border>
      <left/>
      <right/>
      <top style="medium">
        <color theme="2" tint="-0.24994659260841701"/>
      </top>
      <bottom style="thin">
        <color theme="2" tint="-0.249977111117893"/>
      </bottom>
      <diagonal/>
    </border>
    <border>
      <left/>
      <right/>
      <top style="thin">
        <color theme="2" tint="-0.249977111117893"/>
      </top>
      <bottom style="thin">
        <color theme="2" tint="-0.249977111117893"/>
      </bottom>
      <diagonal/>
    </border>
    <border>
      <left/>
      <right/>
      <top style="thin">
        <color theme="2" tint="-0.249977111117893"/>
      </top>
      <bottom style="medium">
        <color theme="2" tint="-0.24994659260841701"/>
      </bottom>
      <diagonal/>
    </border>
    <border>
      <left style="thin">
        <color theme="2" tint="-0.249977111117893"/>
      </left>
      <right style="thin">
        <color theme="2" tint="-0.249977111117893"/>
      </right>
      <top style="medium">
        <color theme="2" tint="-0.249977111117893"/>
      </top>
      <bottom style="medium">
        <color theme="2" tint="-0.249977111117893"/>
      </bottom>
      <diagonal/>
    </border>
    <border>
      <left/>
      <right style="thin">
        <color theme="1"/>
      </right>
      <top/>
      <bottom/>
      <diagonal/>
    </border>
    <border>
      <left/>
      <right/>
      <top style="thin">
        <color theme="1"/>
      </top>
      <bottom style="thin">
        <color theme="1"/>
      </bottom>
      <diagonal/>
    </border>
    <border>
      <left style="thin">
        <color theme="1"/>
      </left>
      <right style="thin">
        <color theme="1"/>
      </right>
      <top style="thin">
        <color indexed="64"/>
      </top>
      <bottom style="thin">
        <color indexed="64"/>
      </bottom>
      <diagonal/>
    </border>
    <border>
      <left/>
      <right/>
      <top/>
      <bottom style="medium">
        <color theme="2" tint="-0.24994659260841701"/>
      </bottom>
      <diagonal/>
    </border>
    <border>
      <left style="thin">
        <color theme="1"/>
      </left>
      <right style="thin">
        <color theme="1"/>
      </right>
      <top/>
      <bottom style="medium">
        <color theme="2" tint="-0.249977111117893"/>
      </bottom>
      <diagonal/>
    </border>
    <border>
      <left/>
      <right/>
      <top style="thin">
        <color indexed="64"/>
      </top>
      <bottom style="thin">
        <color theme="1"/>
      </bottom>
      <diagonal/>
    </border>
    <border>
      <left/>
      <right style="thin">
        <color theme="1"/>
      </right>
      <top style="thin">
        <color indexed="64"/>
      </top>
      <bottom style="thin">
        <color theme="1"/>
      </bottom>
      <diagonal/>
    </border>
    <border>
      <left/>
      <right style="thin">
        <color theme="2" tint="-0.249977111117893"/>
      </right>
      <top style="thin">
        <color theme="0" tint="-0.249977111117893"/>
      </top>
      <bottom style="thin">
        <color theme="2" tint="-9.9978637043366805E-2"/>
      </bottom>
      <diagonal/>
    </border>
    <border>
      <left style="thin">
        <color theme="0" tint="-0.249977111117893"/>
      </left>
      <right/>
      <top style="thin">
        <color theme="0" tint="-0.249977111117893"/>
      </top>
      <bottom style="thin">
        <color theme="2" tint="-0.249977111117893"/>
      </bottom>
      <diagonal/>
    </border>
    <border>
      <left style="thin">
        <color theme="0" tint="-0.249977111117893"/>
      </left>
      <right/>
      <top style="thin">
        <color theme="2" tint="-0.249977111117893"/>
      </top>
      <bottom style="thin">
        <color theme="2" tint="-0.249977111117893"/>
      </bottom>
      <diagonal/>
    </border>
    <border>
      <left style="thin">
        <color theme="2" tint="-0.249977111117893"/>
      </left>
      <right style="thin">
        <color theme="2" tint="-0.249977111117893"/>
      </right>
      <top style="thin">
        <color theme="2" tint="-0.249977111117893"/>
      </top>
      <bottom/>
      <diagonal/>
    </border>
    <border>
      <left style="thin">
        <color theme="1"/>
      </left>
      <right/>
      <top style="thin">
        <color indexed="64"/>
      </top>
      <bottom style="thin">
        <color indexed="64"/>
      </bottom>
      <diagonal/>
    </border>
    <border>
      <left style="thin">
        <color theme="1"/>
      </left>
      <right style="thin">
        <color theme="1"/>
      </right>
      <top style="thin">
        <color indexed="64"/>
      </top>
      <bottom style="thin">
        <color theme="1"/>
      </bottom>
      <diagonal/>
    </border>
    <border>
      <left style="thin">
        <color theme="1"/>
      </left>
      <right style="thin">
        <color indexed="64"/>
      </right>
      <top style="thin">
        <color indexed="64"/>
      </top>
      <bottom style="thin">
        <color indexed="64"/>
      </bottom>
      <diagonal/>
    </border>
    <border>
      <left/>
      <right style="thin">
        <color indexed="64"/>
      </right>
      <top style="thin">
        <color indexed="64"/>
      </top>
      <bottom style="thin">
        <color theme="1"/>
      </bottom>
      <diagonal/>
    </border>
    <border>
      <left style="thin">
        <color theme="1"/>
      </left>
      <right/>
      <top style="thin">
        <color theme="1"/>
      </top>
      <bottom style="medium">
        <color theme="2" tint="-0.24994659260841701"/>
      </bottom>
      <diagonal/>
    </border>
    <border>
      <left style="thin">
        <color theme="1"/>
      </left>
      <right/>
      <top style="thin">
        <color indexed="64"/>
      </top>
      <bottom style="thin">
        <color theme="1"/>
      </bottom>
      <diagonal/>
    </border>
    <border>
      <left style="thin">
        <color theme="1"/>
      </left>
      <right/>
      <top/>
      <bottom style="medium">
        <color theme="2" tint="-0.24994659260841701"/>
      </bottom>
      <diagonal/>
    </border>
    <border>
      <left/>
      <right style="thin">
        <color indexed="64"/>
      </right>
      <top style="medium">
        <color theme="2" tint="-0.24994659260841701"/>
      </top>
      <bottom style="thin">
        <color indexed="64"/>
      </bottom>
      <diagonal/>
    </border>
    <border>
      <left style="thin">
        <color theme="1"/>
      </left>
      <right/>
      <top style="medium">
        <color theme="2" tint="-0.24994659260841701"/>
      </top>
      <bottom style="thin">
        <color indexed="64"/>
      </bottom>
      <diagonal/>
    </border>
    <border>
      <left/>
      <right style="thin">
        <color theme="1"/>
      </right>
      <top style="medium">
        <color theme="2" tint="-0.24994659260841701"/>
      </top>
      <bottom style="thin">
        <color indexed="64"/>
      </bottom>
      <diagonal/>
    </border>
    <border>
      <left/>
      <right style="thin">
        <color theme="2" tint="-0.249977111117893"/>
      </right>
      <top style="thin">
        <color theme="2" tint="-0.249977111117893"/>
      </top>
      <bottom style="medium">
        <color theme="2" tint="-0.24994659260841701"/>
      </bottom>
      <diagonal/>
    </border>
    <border>
      <left style="thin">
        <color indexed="64"/>
      </left>
      <right style="thin">
        <color indexed="64"/>
      </right>
      <top/>
      <bottom/>
      <diagonal/>
    </border>
    <border>
      <left style="medium">
        <color theme="2" tint="-9.9948118533890809E-2"/>
      </left>
      <right style="thin">
        <color theme="2" tint="-0.24994659260841701"/>
      </right>
      <top style="medium">
        <color theme="2" tint="-0.24994659260841701"/>
      </top>
      <bottom style="medium">
        <color theme="2" tint="-0.24994659260841701"/>
      </bottom>
      <diagonal/>
    </border>
    <border>
      <left style="thin">
        <color theme="2" tint="-0.24994659260841701"/>
      </left>
      <right style="medium">
        <color theme="2" tint="-9.9948118533890809E-2"/>
      </right>
      <top style="medium">
        <color theme="2" tint="-0.24994659260841701"/>
      </top>
      <bottom style="medium">
        <color theme="2" tint="-0.24994659260841701"/>
      </bottom>
      <diagonal/>
    </border>
    <border>
      <left style="medium">
        <color theme="2" tint="-9.9948118533890809E-2"/>
      </left>
      <right style="medium">
        <color theme="2" tint="-9.9948118533890809E-2"/>
      </right>
      <top style="thin">
        <color theme="2" tint="-9.9948118533890809E-2"/>
      </top>
      <bottom style="thin">
        <color theme="2" tint="-9.9948118533890809E-2"/>
      </bottom>
      <diagonal/>
    </border>
    <border>
      <left style="medium">
        <color theme="2" tint="-9.9948118533890809E-2"/>
      </left>
      <right style="medium">
        <color theme="2" tint="-9.9948118533890809E-2"/>
      </right>
      <top style="thin">
        <color theme="2" tint="-0.249977111117893"/>
      </top>
      <bottom style="medium">
        <color theme="2" tint="-0.249977111117893"/>
      </bottom>
      <diagonal/>
    </border>
    <border>
      <left style="medium">
        <color theme="2" tint="-9.9948118533890809E-2"/>
      </left>
      <right style="medium">
        <color theme="2" tint="-9.9948118533890809E-2"/>
      </right>
      <top style="medium">
        <color theme="2" tint="-0.24994659260841701"/>
      </top>
      <bottom style="medium">
        <color theme="2" tint="-0.24994659260841701"/>
      </bottom>
      <diagonal/>
    </border>
    <border>
      <left style="thin">
        <color theme="2" tint="-0.24994659260841701"/>
      </left>
      <right/>
      <top style="medium">
        <color theme="2" tint="-0.24994659260841701"/>
      </top>
      <bottom/>
      <diagonal/>
    </border>
    <border>
      <left style="medium">
        <color theme="2" tint="-9.9948118533890809E-2"/>
      </left>
      <right style="thin">
        <color theme="2" tint="-0.24994659260841701"/>
      </right>
      <top style="medium">
        <color theme="2" tint="-0.24994659260841701"/>
      </top>
      <bottom/>
      <diagonal/>
    </border>
    <border>
      <left style="medium">
        <color theme="2" tint="-9.9948118533890809E-2"/>
      </left>
      <right/>
      <top style="medium">
        <color theme="2" tint="-0.24994659260841701"/>
      </top>
      <bottom/>
      <diagonal/>
    </border>
    <border>
      <left style="medium">
        <color theme="2" tint="-9.9948118533890809E-2"/>
      </left>
      <right style="medium">
        <color theme="2" tint="-9.9948118533890809E-2"/>
      </right>
      <top style="medium">
        <color theme="2" tint="-0.24994659260841701"/>
      </top>
      <bottom/>
      <diagonal/>
    </border>
    <border>
      <left style="medium">
        <color theme="2" tint="-9.9948118533890809E-2"/>
      </left>
      <right/>
      <top style="thin">
        <color theme="2" tint="-9.9948118533890809E-2"/>
      </top>
      <bottom/>
      <diagonal/>
    </border>
    <border>
      <left style="medium">
        <color theme="2" tint="-9.9948118533890809E-2"/>
      </left>
      <right style="medium">
        <color theme="2" tint="-9.9948118533890809E-2"/>
      </right>
      <top style="thin">
        <color theme="2" tint="-9.9948118533890809E-2"/>
      </top>
      <bottom/>
      <diagonal/>
    </border>
    <border>
      <left style="medium">
        <color theme="2" tint="-9.9948118533890809E-2"/>
      </left>
      <right style="thin">
        <color theme="2" tint="-0.249977111117893"/>
      </right>
      <top style="thin">
        <color theme="2" tint="-0.249977111117893"/>
      </top>
      <bottom/>
      <diagonal/>
    </border>
    <border>
      <left style="medium">
        <color theme="2" tint="-9.9948118533890809E-2"/>
      </left>
      <right/>
      <top style="thin">
        <color theme="2" tint="-0.249977111117893"/>
      </top>
      <bottom style="medium">
        <color theme="2" tint="-0.249977111117893"/>
      </bottom>
      <diagonal/>
    </border>
    <border>
      <left style="thin">
        <color theme="2" tint="-0.249977111117893"/>
      </left>
      <right/>
      <top style="thin">
        <color theme="2" tint="-0.249977111117893"/>
      </top>
      <bottom/>
      <diagonal/>
    </border>
    <border>
      <left style="thin">
        <color theme="2" tint="-0.249977111117893"/>
      </left>
      <right/>
      <top/>
      <bottom/>
      <diagonal/>
    </border>
    <border>
      <left style="medium">
        <color theme="2" tint="-9.9948118533890809E-2"/>
      </left>
      <right/>
      <top/>
      <bottom/>
      <diagonal/>
    </border>
    <border>
      <left style="thin">
        <color theme="2" tint="-0.24994659260841701"/>
      </left>
      <right style="medium">
        <color theme="2" tint="-9.9948118533890809E-2"/>
      </right>
      <top style="medium">
        <color theme="2" tint="-0.24994659260841701"/>
      </top>
      <bottom style="medium">
        <color theme="2" tint="-0.249977111117893"/>
      </bottom>
      <diagonal/>
    </border>
    <border>
      <left style="thin">
        <color theme="6"/>
      </left>
      <right/>
      <top style="thin">
        <color theme="6"/>
      </top>
      <bottom style="thin">
        <color theme="2" tint="-0.249977111117893"/>
      </bottom>
      <diagonal/>
    </border>
    <border>
      <left/>
      <right/>
      <top style="thin">
        <color theme="6"/>
      </top>
      <bottom style="thin">
        <color theme="2" tint="-0.249977111117893"/>
      </bottom>
      <diagonal/>
    </border>
    <border>
      <left style="medium">
        <color theme="2" tint="-9.9948118533890809E-2"/>
      </left>
      <right/>
      <top style="thin">
        <color theme="2" tint="-9.9948118533890809E-2"/>
      </top>
      <bottom style="thin">
        <color theme="2" tint="-9.9948118533890809E-2"/>
      </bottom>
      <diagonal/>
    </border>
    <border>
      <left/>
      <right style="medium">
        <color theme="2" tint="-9.9948118533890809E-2"/>
      </right>
      <top style="thin">
        <color theme="2" tint="-9.9948118533890809E-2"/>
      </top>
      <bottom style="thin">
        <color theme="2" tint="-9.9948118533890809E-2"/>
      </bottom>
      <diagonal/>
    </border>
    <border>
      <left style="medium">
        <color theme="2" tint="-9.9948118533890809E-2"/>
      </left>
      <right/>
      <top style="medium">
        <color theme="2" tint="-0.24994659260841701"/>
      </top>
      <bottom style="thin">
        <color theme="2" tint="-9.9948118533890809E-2"/>
      </bottom>
      <diagonal/>
    </border>
    <border>
      <left/>
      <right style="medium">
        <color theme="2" tint="-9.9948118533890809E-2"/>
      </right>
      <top style="medium">
        <color theme="2" tint="-0.24994659260841701"/>
      </top>
      <bottom style="thin">
        <color theme="2" tint="-9.9948118533890809E-2"/>
      </bottom>
      <diagonal/>
    </border>
    <border>
      <left/>
      <right/>
      <top/>
      <bottom style="thin">
        <color theme="2" tint="-0.249977111117893"/>
      </bottom>
      <diagonal/>
    </border>
    <border>
      <left/>
      <right style="thin">
        <color theme="2" tint="-0.24994659260841701"/>
      </right>
      <top style="medium">
        <color theme="2" tint="-0.24994659260841701"/>
      </top>
      <bottom style="medium">
        <color theme="2" tint="-0.2499465926084170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right/>
      <top style="thin">
        <color theme="0" tint="-0.34998626667073579"/>
      </top>
      <bottom/>
      <diagonal/>
    </border>
    <border>
      <left style="medium">
        <color theme="2" tint="-9.9948118533890809E-2"/>
      </left>
      <right style="medium">
        <color theme="2" tint="-9.9948118533890809E-2"/>
      </right>
      <top style="thin">
        <color theme="2" tint="-9.9948118533890809E-2"/>
      </top>
      <bottom style="medium">
        <color theme="2" tint="-0.249977111117893"/>
      </bottom>
      <diagonal/>
    </border>
    <border>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right/>
      <top style="thin">
        <color theme="2" tint="-9.9948118533890809E-2"/>
      </top>
      <bottom style="thin">
        <color theme="2" tint="-9.9948118533890809E-2"/>
      </bottom>
      <diagonal/>
    </border>
    <border>
      <left/>
      <right/>
      <top style="medium">
        <color theme="2" tint="-0.24994659260841701"/>
      </top>
      <bottom style="thin">
        <color theme="2" tint="-9.9948118533890809E-2"/>
      </bottom>
      <diagonal/>
    </border>
    <border>
      <left style="thin">
        <color indexed="64"/>
      </left>
      <right style="thin">
        <color theme="1"/>
      </right>
      <top/>
      <bottom style="thin">
        <color indexed="64"/>
      </bottom>
      <diagonal/>
    </border>
    <border>
      <left/>
      <right/>
      <top/>
      <bottom style="thin">
        <color theme="1"/>
      </bottom>
      <diagonal/>
    </border>
    <border>
      <left style="thin">
        <color theme="2" tint="-0.249977111117893"/>
      </left>
      <right style="thin">
        <color theme="2" tint="-0.249977111117893"/>
      </right>
      <top/>
      <bottom style="thin">
        <color theme="2" tint="-0.249977111117893"/>
      </bottom>
      <diagonal/>
    </border>
    <border>
      <left/>
      <right style="medium">
        <color theme="2" tint="-9.9948118533890809E-2"/>
      </right>
      <top style="thin">
        <color theme="2" tint="-0.249977111117893"/>
      </top>
      <bottom style="medium">
        <color theme="2" tint="-0.249977111117893"/>
      </bottom>
      <diagonal/>
    </border>
    <border>
      <left style="medium">
        <color theme="2" tint="-9.9948118533890809E-2"/>
      </left>
      <right/>
      <top style="thin">
        <color theme="2" tint="-9.9948118533890809E-2"/>
      </top>
      <bottom style="medium">
        <color theme="2" tint="-0.249977111117893"/>
      </bottom>
      <diagonal/>
    </border>
    <border>
      <left/>
      <right style="medium">
        <color theme="2" tint="-9.9948118533890809E-2"/>
      </right>
      <top style="thin">
        <color theme="2" tint="-9.9948118533890809E-2"/>
      </top>
      <bottom style="medium">
        <color theme="2" tint="-0.249977111117893"/>
      </bottom>
      <diagonal/>
    </border>
    <border>
      <left/>
      <right style="thin">
        <color theme="2" tint="-0.249977111117893"/>
      </right>
      <top style="medium">
        <color theme="2" tint="-0.249977111117893"/>
      </top>
      <bottom style="thin">
        <color theme="2" tint="-0.249977111117893"/>
      </bottom>
      <diagonal/>
    </border>
    <border>
      <left/>
      <right/>
      <top style="medium">
        <color theme="2" tint="-0.249977111117893"/>
      </top>
      <bottom style="thin">
        <color theme="2" tint="-0.249977111117893"/>
      </bottom>
      <diagonal/>
    </border>
    <border>
      <left style="medium">
        <color theme="2" tint="-9.9948118533890809E-2"/>
      </left>
      <right style="thin">
        <color theme="2" tint="-0.249977111117893"/>
      </right>
      <top style="medium">
        <color theme="2" tint="-0.249977111117893"/>
      </top>
      <bottom style="thin">
        <color theme="2" tint="-0.249977111117893"/>
      </bottom>
      <diagonal/>
    </border>
    <border>
      <left style="medium">
        <color theme="2" tint="-9.9948118533890809E-2"/>
      </left>
      <right style="thin">
        <color theme="2" tint="-0.249977111117893"/>
      </right>
      <top/>
      <bottom/>
      <diagonal/>
    </border>
  </borders>
  <cellStyleXfs count="2">
    <xf numFmtId="0" fontId="0" fillId="0" borderId="0"/>
    <xf numFmtId="0" fontId="10" fillId="0" borderId="0" applyNumberFormat="0" applyFill="0" applyBorder="0" applyAlignment="0" applyProtection="0"/>
  </cellStyleXfs>
  <cellXfs count="344">
    <xf numFmtId="0" fontId="0" fillId="0" borderId="0" xfId="0"/>
    <xf numFmtId="0" fontId="1" fillId="0" borderId="0" xfId="0" applyFont="1" applyAlignment="1" applyProtection="1">
      <alignment horizontal="center" vertical="center"/>
      <protection locked="0"/>
    </xf>
    <xf numFmtId="0" fontId="1" fillId="0" borderId="0" xfId="0" applyFont="1" applyAlignment="1" applyProtection="1">
      <alignment horizontal="center" vertical="center" wrapText="1"/>
      <protection locked="0"/>
    </xf>
    <xf numFmtId="0" fontId="1" fillId="0" borderId="0" xfId="0" applyFont="1" applyAlignment="1" applyProtection="1">
      <alignment horizontal="left" vertical="center" wrapText="1"/>
      <protection locked="0"/>
    </xf>
    <xf numFmtId="0" fontId="10" fillId="0" borderId="0" xfId="1" applyAlignment="1" applyProtection="1">
      <alignment horizontal="centerContinuous"/>
    </xf>
    <xf numFmtId="0" fontId="1" fillId="0" borderId="0" xfId="0" applyFont="1" applyAlignment="1" applyProtection="1">
      <alignment horizontal="left" vertical="center"/>
      <protection locked="0"/>
    </xf>
    <xf numFmtId="0" fontId="2" fillId="6" borderId="1" xfId="0" applyFont="1" applyFill="1" applyBorder="1" applyAlignment="1" applyProtection="1">
      <alignment horizontal="center" vertical="center" wrapText="1"/>
      <protection locked="0"/>
    </xf>
    <xf numFmtId="0" fontId="2" fillId="6" borderId="1" xfId="0" applyFont="1" applyFill="1" applyBorder="1" applyAlignment="1" applyProtection="1">
      <alignment horizontal="center"/>
      <protection locked="0"/>
    </xf>
    <xf numFmtId="0" fontId="2" fillId="0" borderId="0" xfId="0" applyFont="1" applyAlignment="1">
      <alignment vertical="top" wrapText="1"/>
    </xf>
    <xf numFmtId="0" fontId="15" fillId="0" borderId="0" xfId="0" applyFont="1"/>
    <xf numFmtId="0" fontId="0" fillId="0" borderId="0" xfId="0" applyAlignment="1">
      <alignment horizontal="center"/>
    </xf>
    <xf numFmtId="0" fontId="0" fillId="0" borderId="0" xfId="0" applyAlignment="1">
      <alignment horizontal="center" vertical="center"/>
    </xf>
    <xf numFmtId="0" fontId="1" fillId="3" borderId="0" xfId="0" applyFont="1" applyFill="1" applyAlignment="1" applyProtection="1">
      <alignment horizontal="center" vertical="center" wrapText="1"/>
      <protection locked="0"/>
    </xf>
    <xf numFmtId="0" fontId="2" fillId="0" borderId="0" xfId="0" applyFont="1"/>
    <xf numFmtId="0" fontId="0" fillId="0" borderId="0" xfId="0" applyAlignment="1">
      <alignment horizontal="left"/>
    </xf>
    <xf numFmtId="0" fontId="2" fillId="0" borderId="0" xfId="0" applyFont="1" applyAlignment="1">
      <alignment horizontal="centerContinuous"/>
    </xf>
    <xf numFmtId="0" fontId="0" fillId="0" borderId="0" xfId="0" applyAlignment="1">
      <alignment horizontal="centerContinuous"/>
    </xf>
    <xf numFmtId="0" fontId="2" fillId="0" borderId="0" xfId="0" applyFont="1" applyAlignment="1">
      <alignment horizontal="right"/>
    </xf>
    <xf numFmtId="0" fontId="2" fillId="0" borderId="0" xfId="0" applyFont="1" applyAlignment="1">
      <alignment horizontal="left" vertical="top"/>
    </xf>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xf numFmtId="164" fontId="1" fillId="0" borderId="0" xfId="0" applyNumberFormat="1" applyFont="1" applyAlignment="1">
      <alignment horizontal="center" vertical="center"/>
    </xf>
    <xf numFmtId="164" fontId="1" fillId="0" borderId="0" xfId="0" applyNumberFormat="1" applyFont="1" applyAlignment="1">
      <alignment horizontal="center" vertical="center" wrapText="1"/>
    </xf>
    <xf numFmtId="0" fontId="1" fillId="4" borderId="0" xfId="0" applyFont="1" applyFill="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center"/>
    </xf>
    <xf numFmtId="0" fontId="1" fillId="4" borderId="0" xfId="0" applyFont="1" applyFill="1" applyAlignment="1">
      <alignment horizontal="center" vertical="center"/>
    </xf>
    <xf numFmtId="0" fontId="11" fillId="4" borderId="7" xfId="0" applyFont="1" applyFill="1" applyBorder="1" applyAlignment="1">
      <alignment horizontal="center"/>
    </xf>
    <xf numFmtId="0" fontId="11" fillId="4" borderId="19" xfId="0" applyFont="1" applyFill="1" applyBorder="1"/>
    <xf numFmtId="0" fontId="11" fillId="4" borderId="46" xfId="0" applyFont="1" applyFill="1" applyBorder="1"/>
    <xf numFmtId="0" fontId="0" fillId="0" borderId="7" xfId="0" applyBorder="1" applyAlignment="1">
      <alignment horizontal="center"/>
    </xf>
    <xf numFmtId="0" fontId="11" fillId="4" borderId="18" xfId="0" applyFont="1" applyFill="1" applyBorder="1"/>
    <xf numFmtId="0" fontId="11" fillId="4" borderId="47" xfId="0" applyFont="1" applyFill="1" applyBorder="1"/>
    <xf numFmtId="0" fontId="0" fillId="0" borderId="15" xfId="0" applyBorder="1" applyAlignment="1">
      <alignment horizontal="center"/>
    </xf>
    <xf numFmtId="0" fontId="11" fillId="7" borderId="16" xfId="0" applyFont="1" applyFill="1" applyBorder="1" applyAlignment="1">
      <alignment horizontal="center" vertical="center" wrapText="1"/>
    </xf>
    <xf numFmtId="0" fontId="0" fillId="0" borderId="59" xfId="0" applyBorder="1" applyAlignment="1">
      <alignment horizontal="center"/>
    </xf>
    <xf numFmtId="0" fontId="11" fillId="7" borderId="48" xfId="0" applyFont="1" applyFill="1" applyBorder="1" applyAlignment="1">
      <alignment horizontal="center" vertical="center" wrapText="1"/>
    </xf>
    <xf numFmtId="0" fontId="0" fillId="0" borderId="23" xfId="0" applyBorder="1"/>
    <xf numFmtId="0" fontId="2" fillId="4" borderId="0" xfId="0" applyFont="1" applyFill="1" applyAlignment="1">
      <alignment horizontal="left"/>
    </xf>
    <xf numFmtId="0" fontId="0" fillId="4" borderId="0" xfId="0" applyFill="1" applyAlignment="1">
      <alignment horizontal="left"/>
    </xf>
    <xf numFmtId="0" fontId="0" fillId="4" borderId="23" xfId="0" applyFill="1" applyBorder="1" applyAlignment="1">
      <alignment horizontal="left"/>
    </xf>
    <xf numFmtId="0" fontId="0" fillId="0" borderId="31" xfId="0" applyBorder="1" applyAlignment="1">
      <alignment horizontal="center"/>
    </xf>
    <xf numFmtId="0" fontId="0" fillId="0" borderId="22" xfId="0" applyBorder="1"/>
    <xf numFmtId="0" fontId="2" fillId="4" borderId="26" xfId="0" applyFont="1" applyFill="1" applyBorder="1" applyAlignment="1">
      <alignment horizontal="left"/>
    </xf>
    <xf numFmtId="0" fontId="0" fillId="4" borderId="26" xfId="0" applyFill="1" applyBorder="1" applyAlignment="1">
      <alignment horizontal="left"/>
    </xf>
    <xf numFmtId="0" fontId="0" fillId="4" borderId="27" xfId="0" applyFill="1" applyBorder="1" applyAlignment="1">
      <alignment horizontal="left"/>
    </xf>
    <xf numFmtId="0" fontId="11" fillId="4" borderId="0" xfId="0" applyFont="1" applyFill="1" applyAlignment="1">
      <alignment horizontal="left"/>
    </xf>
    <xf numFmtId="0" fontId="11" fillId="4" borderId="23" xfId="0" applyFont="1" applyFill="1" applyBorder="1" applyAlignment="1">
      <alignment horizontal="left"/>
    </xf>
    <xf numFmtId="0" fontId="11" fillId="4" borderId="9" xfId="0" applyFont="1" applyFill="1" applyBorder="1" applyAlignment="1">
      <alignment horizontal="center"/>
    </xf>
    <xf numFmtId="0" fontId="11" fillId="4" borderId="42" xfId="0" applyFont="1" applyFill="1" applyBorder="1"/>
    <xf numFmtId="0" fontId="11" fillId="4" borderId="35" xfId="0" applyFont="1" applyFill="1" applyBorder="1"/>
    <xf numFmtId="0" fontId="0" fillId="0" borderId="20" xfId="0" applyBorder="1" applyAlignment="1">
      <alignment horizontal="center"/>
    </xf>
    <xf numFmtId="0" fontId="11" fillId="4" borderId="25" xfId="0" applyFont="1" applyFill="1" applyBorder="1"/>
    <xf numFmtId="0" fontId="11" fillId="4" borderId="56" xfId="0" applyFont="1" applyFill="1" applyBorder="1"/>
    <xf numFmtId="0" fontId="11" fillId="4" borderId="57" xfId="0" applyFont="1" applyFill="1" applyBorder="1"/>
    <xf numFmtId="0" fontId="11" fillId="4" borderId="9" xfId="0" applyFont="1" applyFill="1" applyBorder="1"/>
    <xf numFmtId="0" fontId="11" fillId="4" borderId="58" xfId="0" applyFont="1" applyFill="1" applyBorder="1"/>
    <xf numFmtId="0" fontId="11" fillId="4" borderId="20" xfId="0" applyFont="1" applyFill="1" applyBorder="1"/>
    <xf numFmtId="0" fontId="11" fillId="4" borderId="0" xfId="0" applyFont="1" applyFill="1"/>
    <xf numFmtId="0" fontId="11" fillId="4" borderId="23" xfId="0" applyFont="1" applyFill="1" applyBorder="1"/>
    <xf numFmtId="0" fontId="11" fillId="4" borderId="41" xfId="0" applyFont="1" applyFill="1" applyBorder="1"/>
    <xf numFmtId="0" fontId="11" fillId="4" borderId="19" xfId="0" applyFont="1" applyFill="1" applyBorder="1" applyAlignment="1">
      <alignment horizontal="left"/>
    </xf>
    <xf numFmtId="0" fontId="11" fillId="4" borderId="20" xfId="0" applyFont="1" applyFill="1" applyBorder="1" applyAlignment="1">
      <alignment horizontal="left"/>
    </xf>
    <xf numFmtId="0" fontId="11" fillId="4" borderId="18" xfId="0" applyFont="1" applyFill="1" applyBorder="1" applyAlignment="1">
      <alignment horizontal="left"/>
    </xf>
    <xf numFmtId="0" fontId="11" fillId="0" borderId="12" xfId="0" applyFont="1" applyBorder="1" applyAlignment="1">
      <alignment horizontal="left" vertical="center" wrapText="1"/>
    </xf>
    <xf numFmtId="0" fontId="11" fillId="0" borderId="13" xfId="0" applyFont="1" applyBorder="1" applyAlignment="1">
      <alignment horizontal="left" vertical="center" wrapText="1"/>
    </xf>
    <xf numFmtId="0" fontId="11" fillId="0" borderId="0" xfId="0" applyFont="1" applyAlignment="1">
      <alignment horizontal="center" vertical="center" wrapText="1"/>
    </xf>
    <xf numFmtId="0" fontId="11" fillId="4" borderId="70" xfId="0" applyFont="1" applyFill="1" applyBorder="1"/>
    <xf numFmtId="0" fontId="2" fillId="5" borderId="2" xfId="0" applyFont="1" applyFill="1" applyBorder="1" applyAlignment="1">
      <alignment horizontal="centerContinuous" wrapText="1"/>
    </xf>
    <xf numFmtId="0" fontId="2" fillId="5" borderId="3" xfId="0" applyFont="1" applyFill="1" applyBorder="1" applyAlignment="1">
      <alignment horizontal="centerContinuous" wrapText="1"/>
    </xf>
    <xf numFmtId="0" fontId="2" fillId="2" borderId="4" xfId="0" applyFont="1" applyFill="1" applyBorder="1" applyAlignment="1">
      <alignment horizontal="center"/>
    </xf>
    <xf numFmtId="0" fontId="0" fillId="0" borderId="1" xfId="0"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5" borderId="1" xfId="0" applyFont="1" applyFill="1" applyBorder="1" applyAlignment="1">
      <alignment horizontal="centerContinuous" wrapText="1"/>
    </xf>
    <xf numFmtId="0" fontId="0" fillId="0" borderId="1" xfId="0" applyBorder="1" applyAlignment="1">
      <alignment horizontal="center"/>
    </xf>
    <xf numFmtId="0" fontId="2" fillId="5" borderId="1" xfId="0" applyFont="1" applyFill="1" applyBorder="1" applyAlignment="1">
      <alignment horizontal="centerContinuous" vertical="center" wrapText="1"/>
    </xf>
    <xf numFmtId="0" fontId="0" fillId="5" borderId="1" xfId="0" applyFill="1" applyBorder="1" applyAlignment="1">
      <alignment horizontal="centerContinuous" vertical="center" wrapText="1"/>
    </xf>
    <xf numFmtId="0" fontId="0" fillId="5" borderId="1" xfId="0" applyFill="1" applyBorder="1" applyAlignment="1">
      <alignment horizontal="centerContinuous" wrapText="1"/>
    </xf>
    <xf numFmtId="0" fontId="2" fillId="2" borderId="60" xfId="0" applyFont="1" applyFill="1" applyBorder="1"/>
    <xf numFmtId="0" fontId="2" fillId="2" borderId="2" xfId="0" applyFont="1" applyFill="1" applyBorder="1"/>
    <xf numFmtId="0" fontId="2" fillId="2" borderId="1" xfId="0" applyFont="1" applyFill="1" applyBorder="1" applyAlignment="1">
      <alignment horizontal="center" vertical="center"/>
    </xf>
    <xf numFmtId="0" fontId="11" fillId="2" borderId="65" xfId="0" applyFont="1" applyFill="1" applyBorder="1"/>
    <xf numFmtId="0" fontId="11" fillId="2" borderId="54" xfId="0" applyFont="1" applyFill="1" applyBorder="1"/>
    <xf numFmtId="0" fontId="2" fillId="2" borderId="1" xfId="0" applyFont="1" applyFill="1" applyBorder="1" applyAlignment="1">
      <alignment horizontal="center"/>
    </xf>
    <xf numFmtId="0" fontId="11" fillId="2" borderId="66" xfId="0" applyFont="1" applyFill="1" applyBorder="1"/>
    <xf numFmtId="0" fontId="11" fillId="2" borderId="52" xfId="0" applyFont="1" applyFill="1" applyBorder="1"/>
    <xf numFmtId="0" fontId="2" fillId="5" borderId="68" xfId="0" applyFont="1" applyFill="1" applyBorder="1" applyAlignment="1">
      <alignment horizontal="left" wrapText="1"/>
    </xf>
    <xf numFmtId="0" fontId="2" fillId="0" borderId="0" xfId="0" applyFont="1" applyAlignment="1">
      <alignment horizontal="center" wrapText="1"/>
    </xf>
    <xf numFmtId="0" fontId="0" fillId="5" borderId="1" xfId="0" applyFill="1" applyBorder="1" applyAlignment="1">
      <alignment horizontal="centerContinuous"/>
    </xf>
    <xf numFmtId="0" fontId="2" fillId="5" borderId="60" xfId="0" applyFont="1" applyFill="1" applyBorder="1" applyAlignment="1">
      <alignment horizontal="left" wrapText="1"/>
    </xf>
    <xf numFmtId="0" fontId="2" fillId="5" borderId="67" xfId="0" applyFont="1" applyFill="1" applyBorder="1" applyAlignment="1">
      <alignment horizontal="centerContinuous" wrapText="1"/>
    </xf>
    <xf numFmtId="0" fontId="2" fillId="2" borderId="1" xfId="0" applyFont="1" applyFill="1" applyBorder="1" applyAlignment="1">
      <alignment horizontal="center" wrapText="1"/>
    </xf>
    <xf numFmtId="0" fontId="2" fillId="5" borderId="5" xfId="0" applyFont="1" applyFill="1" applyBorder="1" applyAlignment="1">
      <alignment horizontal="left" wrapText="1"/>
    </xf>
    <xf numFmtId="0" fontId="2" fillId="2" borderId="51" xfId="0" applyFont="1" applyFill="1" applyBorder="1" applyAlignment="1">
      <alignment horizontal="center"/>
    </xf>
    <xf numFmtId="0" fontId="0" fillId="0" borderId="49" xfId="0" applyBorder="1"/>
    <xf numFmtId="0" fontId="0" fillId="3" borderId="61" xfId="0" applyFill="1" applyBorder="1" applyAlignment="1">
      <alignment horizontal="centerContinuous"/>
    </xf>
    <xf numFmtId="0" fontId="0" fillId="3" borderId="53" xfId="0" applyFill="1" applyBorder="1" applyAlignment="1">
      <alignment horizontal="centerContinuous"/>
    </xf>
    <xf numFmtId="0" fontId="2" fillId="5" borderId="69" xfId="0" applyFont="1" applyFill="1" applyBorder="1" applyAlignment="1">
      <alignment horizontal="centerContinuous" wrapText="1"/>
    </xf>
    <xf numFmtId="0" fontId="2" fillId="5" borderId="62" xfId="0" applyFont="1" applyFill="1" applyBorder="1" applyAlignment="1">
      <alignment horizontal="centerContinuous" wrapText="1"/>
    </xf>
    <xf numFmtId="0" fontId="2" fillId="5" borderId="65" xfId="0" applyFont="1" applyFill="1" applyBorder="1" applyAlignment="1">
      <alignment horizontal="centerContinuous" vertical="center" wrapText="1"/>
    </xf>
    <xf numFmtId="0" fontId="2" fillId="5" borderId="63" xfId="0" applyFont="1" applyFill="1" applyBorder="1" applyAlignment="1">
      <alignment horizontal="centerContinuous" vertical="center" wrapText="1"/>
    </xf>
    <xf numFmtId="0" fontId="11" fillId="2" borderId="33" xfId="0" applyFont="1" applyFill="1" applyBorder="1" applyAlignment="1">
      <alignment horizontal="left"/>
    </xf>
    <xf numFmtId="0" fontId="11" fillId="2" borderId="32" xfId="0" applyFont="1" applyFill="1" applyBorder="1" applyAlignment="1">
      <alignment horizontal="center"/>
    </xf>
    <xf numFmtId="0" fontId="11" fillId="2" borderId="33" xfId="0" applyFont="1" applyFill="1" applyBorder="1"/>
    <xf numFmtId="0" fontId="0" fillId="3" borderId="32" xfId="0" applyFill="1" applyBorder="1" applyAlignment="1">
      <alignment horizontal="center"/>
    </xf>
    <xf numFmtId="0" fontId="11" fillId="2" borderId="64" xfId="0" applyFont="1" applyFill="1" applyBorder="1"/>
    <xf numFmtId="0" fontId="0" fillId="3" borderId="53" xfId="0" applyFill="1" applyBorder="1" applyAlignment="1">
      <alignment horizontal="center"/>
    </xf>
    <xf numFmtId="0" fontId="2" fillId="5" borderId="51" xfId="0" applyFont="1" applyFill="1" applyBorder="1" applyAlignment="1">
      <alignment horizontal="centerContinuous" wrapText="1"/>
    </xf>
    <xf numFmtId="0" fontId="2" fillId="5" borderId="6" xfId="0" applyFont="1" applyFill="1" applyBorder="1" applyAlignment="1">
      <alignment horizontal="centerContinuous" vertical="center" wrapText="1"/>
    </xf>
    <xf numFmtId="0" fontId="0" fillId="5" borderId="6" xfId="0" applyFill="1" applyBorder="1" applyAlignment="1">
      <alignment horizontal="centerContinuous" vertical="center" wrapText="1"/>
    </xf>
    <xf numFmtId="0" fontId="2" fillId="2" borderId="33" xfId="0" applyFont="1" applyFill="1" applyBorder="1" applyAlignment="1">
      <alignment horizontal="left" vertical="center" wrapText="1"/>
    </xf>
    <xf numFmtId="0" fontId="2" fillId="2" borderId="50" xfId="0" applyFont="1" applyFill="1" applyBorder="1" applyAlignment="1">
      <alignment horizontal="left" vertical="center" wrapText="1"/>
    </xf>
    <xf numFmtId="0" fontId="2" fillId="2" borderId="34" xfId="0" applyFont="1" applyFill="1" applyBorder="1" applyAlignment="1">
      <alignment horizontal="left" vertical="center" wrapText="1"/>
    </xf>
    <xf numFmtId="0" fontId="2" fillId="2" borderId="3" xfId="0" applyFont="1" applyFill="1" applyBorder="1" applyAlignment="1">
      <alignment horizontal="center" vertical="center"/>
    </xf>
    <xf numFmtId="0" fontId="2" fillId="2" borderId="33" xfId="0" applyFont="1" applyFill="1" applyBorder="1" applyAlignment="1">
      <alignment horizontal="left"/>
    </xf>
    <xf numFmtId="0" fontId="0" fillId="2" borderId="50" xfId="0" applyFill="1" applyBorder="1" applyAlignment="1">
      <alignment horizontal="left"/>
    </xf>
    <xf numFmtId="0" fontId="0" fillId="2" borderId="34" xfId="0" applyFill="1" applyBorder="1" applyAlignment="1">
      <alignment horizontal="left"/>
    </xf>
    <xf numFmtId="0" fontId="0" fillId="0" borderId="3" xfId="0" applyBorder="1" applyAlignment="1">
      <alignment horizontal="center"/>
    </xf>
    <xf numFmtId="0" fontId="2" fillId="2" borderId="50" xfId="0" applyFont="1" applyFill="1" applyBorder="1" applyAlignment="1">
      <alignment horizontal="left"/>
    </xf>
    <xf numFmtId="0" fontId="2" fillId="2" borderId="34" xfId="0" applyFont="1" applyFill="1" applyBorder="1" applyAlignment="1">
      <alignment horizontal="left"/>
    </xf>
    <xf numFmtId="0" fontId="2" fillId="2" borderId="3" xfId="0" applyFont="1" applyFill="1" applyBorder="1" applyAlignment="1">
      <alignment horizontal="center"/>
    </xf>
    <xf numFmtId="0" fontId="2" fillId="2" borderId="65" xfId="0" applyFont="1" applyFill="1" applyBorder="1" applyAlignment="1">
      <alignment horizontal="left" vertical="center" wrapText="1"/>
    </xf>
    <xf numFmtId="0" fontId="2" fillId="2" borderId="54" xfId="0" applyFont="1" applyFill="1" applyBorder="1" applyAlignment="1">
      <alignment horizontal="left" vertical="center" wrapText="1"/>
    </xf>
    <xf numFmtId="0" fontId="2" fillId="2" borderId="55" xfId="0" applyFont="1" applyFill="1" applyBorder="1" applyAlignment="1">
      <alignment horizontal="left" vertical="center" wrapText="1"/>
    </xf>
    <xf numFmtId="0" fontId="2" fillId="2" borderId="51" xfId="0" applyFont="1" applyFill="1" applyBorder="1" applyAlignment="1">
      <alignment horizontal="center" vertical="center" wrapText="1"/>
    </xf>
    <xf numFmtId="0" fontId="2" fillId="2" borderId="61" xfId="0" applyFont="1" applyFill="1" applyBorder="1" applyAlignment="1">
      <alignment horizontal="center"/>
    </xf>
    <xf numFmtId="0" fontId="2" fillId="2" borderId="33" xfId="0" applyFont="1" applyFill="1" applyBorder="1" applyAlignment="1">
      <alignment horizontal="left" vertical="center"/>
    </xf>
    <xf numFmtId="0" fontId="2" fillId="2" borderId="50" xfId="0" applyFont="1" applyFill="1" applyBorder="1" applyAlignment="1">
      <alignment horizontal="left" vertical="center"/>
    </xf>
    <xf numFmtId="0" fontId="2" fillId="2" borderId="34" xfId="0" applyFont="1" applyFill="1" applyBorder="1" applyAlignment="1">
      <alignment horizontal="left" vertical="center"/>
    </xf>
    <xf numFmtId="0" fontId="2" fillId="2" borderId="1" xfId="0" applyFont="1" applyFill="1" applyBorder="1"/>
    <xf numFmtId="0" fontId="2" fillId="2" borderId="4" xfId="0" applyFont="1" applyFill="1" applyBorder="1" applyAlignment="1">
      <alignment horizontal="left"/>
    </xf>
    <xf numFmtId="0" fontId="2" fillId="0" borderId="0" xfId="0" applyFont="1" applyAlignment="1">
      <alignment horizontal="center"/>
    </xf>
    <xf numFmtId="0" fontId="3" fillId="5" borderId="5" xfId="0" applyFont="1" applyFill="1" applyBorder="1" applyAlignment="1">
      <alignment horizontal="centerContinuous" wrapText="1"/>
    </xf>
    <xf numFmtId="0" fontId="0" fillId="0" borderId="1" xfId="0" applyBorder="1" applyAlignment="1">
      <alignment horizontal="center" vertical="center"/>
    </xf>
    <xf numFmtId="0" fontId="3" fillId="5" borderId="1" xfId="0" applyFont="1" applyFill="1" applyBorder="1" applyAlignment="1">
      <alignment horizontal="centerContinuous"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Continuous" vertical="center" wrapText="1"/>
    </xf>
    <xf numFmtId="0" fontId="2" fillId="2" borderId="1" xfId="0" applyFont="1" applyFill="1" applyBorder="1" applyAlignment="1">
      <alignment horizontal="left"/>
    </xf>
    <xf numFmtId="0" fontId="4" fillId="0" borderId="0" xfId="0" applyFont="1" applyAlignment="1">
      <alignment horizontal="center"/>
    </xf>
    <xf numFmtId="0" fontId="5" fillId="0" borderId="0" xfId="0" applyFont="1" applyAlignment="1">
      <alignment horizontal="center"/>
    </xf>
    <xf numFmtId="0" fontId="4" fillId="0" borderId="1" xfId="0" applyFont="1" applyBorder="1" applyAlignment="1">
      <alignment horizontal="center"/>
    </xf>
    <xf numFmtId="0" fontId="2" fillId="5" borderId="5" xfId="0" applyFont="1" applyFill="1" applyBorder="1" applyAlignment="1">
      <alignment horizontal="centerContinuous" wrapText="1"/>
    </xf>
    <xf numFmtId="0" fontId="0" fillId="5" borderId="2" xfId="0" applyFill="1" applyBorder="1" applyAlignment="1">
      <alignment horizontal="centerContinuous" wrapText="1"/>
    </xf>
    <xf numFmtId="0" fontId="0" fillId="5" borderId="3" xfId="0" applyFill="1" applyBorder="1" applyAlignment="1">
      <alignment horizontal="centerContinuous" wrapText="1"/>
    </xf>
    <xf numFmtId="0" fontId="2" fillId="2" borderId="4" xfId="0" applyFont="1" applyFill="1" applyBorder="1"/>
    <xf numFmtId="0" fontId="2" fillId="2" borderId="4" xfId="0" applyFont="1" applyFill="1" applyBorder="1" applyAlignment="1">
      <alignment horizontal="center" vertical="center"/>
    </xf>
    <xf numFmtId="0" fontId="0" fillId="5" borderId="3" xfId="0" applyFill="1" applyBorder="1" applyAlignment="1">
      <alignment horizontal="centerContinuous"/>
    </xf>
    <xf numFmtId="0" fontId="2" fillId="0" borderId="4" xfId="0" applyFont="1" applyBorder="1" applyAlignment="1">
      <alignment horizontal="center" vertical="center"/>
    </xf>
    <xf numFmtId="20" fontId="2" fillId="2" borderId="1" xfId="0" applyNumberFormat="1" applyFont="1" applyFill="1" applyBorder="1" applyAlignment="1">
      <alignment horizontal="center" vertical="center" wrapText="1"/>
    </xf>
    <xf numFmtId="0" fontId="2" fillId="5" borderId="1" xfId="0" applyFont="1" applyFill="1" applyBorder="1" applyAlignment="1">
      <alignment horizontal="centerContinuous"/>
    </xf>
    <xf numFmtId="0" fontId="2" fillId="5" borderId="1" xfId="0" applyFont="1" applyFill="1" applyBorder="1" applyAlignment="1">
      <alignment horizontal="centerContinuous" vertical="center"/>
    </xf>
    <xf numFmtId="0" fontId="2" fillId="2" borderId="6" xfId="0" applyFont="1" applyFill="1" applyBorder="1" applyAlignment="1">
      <alignment horizontal="center" vertical="center" wrapText="1"/>
    </xf>
    <xf numFmtId="0" fontId="2" fillId="2" borderId="32" xfId="0" applyFont="1" applyFill="1" applyBorder="1" applyAlignment="1">
      <alignment horizontal="center"/>
    </xf>
    <xf numFmtId="0" fontId="2" fillId="2" borderId="71" xfId="0" applyFont="1" applyFill="1" applyBorder="1" applyAlignment="1">
      <alignment horizontal="center" vertical="center"/>
    </xf>
    <xf numFmtId="0" fontId="2" fillId="0" borderId="0" xfId="0" applyFont="1" applyAlignment="1">
      <alignment horizontal="center" vertical="center"/>
    </xf>
    <xf numFmtId="0" fontId="2" fillId="2" borderId="1" xfId="0" applyFont="1" applyFill="1" applyBorder="1" applyAlignment="1">
      <alignment horizontal="centerContinuous"/>
    </xf>
    <xf numFmtId="0" fontId="0" fillId="2" borderId="1" xfId="0" applyFill="1" applyBorder="1" applyAlignment="1">
      <alignment horizontal="centerContinuous"/>
    </xf>
    <xf numFmtId="0" fontId="2" fillId="2" borderId="6" xfId="0" applyFont="1" applyFill="1" applyBorder="1" applyAlignment="1">
      <alignment horizontal="center" vertical="center"/>
    </xf>
    <xf numFmtId="0" fontId="0" fillId="0" borderId="1" xfId="0" applyBorder="1"/>
    <xf numFmtId="0" fontId="7" fillId="0" borderId="0" xfId="0" applyFont="1"/>
    <xf numFmtId="0" fontId="17" fillId="0" borderId="0" xfId="1" applyFont="1" applyAlignment="1" applyProtection="1">
      <alignment horizontal="centerContinuous"/>
    </xf>
    <xf numFmtId="0" fontId="2" fillId="2" borderId="110" xfId="0" applyFont="1" applyFill="1" applyBorder="1" applyAlignment="1">
      <alignment horizontal="center" vertical="center"/>
    </xf>
    <xf numFmtId="0" fontId="0" fillId="0" borderId="111" xfId="0" applyBorder="1"/>
    <xf numFmtId="0" fontId="0" fillId="5" borderId="5" xfId="0" applyFill="1" applyBorder="1" applyAlignment="1">
      <alignment horizontal="centerContinuous"/>
    </xf>
    <xf numFmtId="0" fontId="0" fillId="5" borderId="34" xfId="0" applyFill="1" applyBorder="1" applyAlignment="1">
      <alignment horizontal="centerContinuous"/>
    </xf>
    <xf numFmtId="0" fontId="2" fillId="2" borderId="65" xfId="0" applyFont="1" applyFill="1" applyBorder="1" applyAlignment="1">
      <alignment horizontal="left" vertical="center"/>
    </xf>
    <xf numFmtId="0" fontId="1" fillId="0" borderId="0" xfId="0" applyFont="1" applyAlignment="1" applyProtection="1">
      <alignment vertical="center" wrapText="1"/>
      <protection locked="0"/>
    </xf>
    <xf numFmtId="0" fontId="2" fillId="9" borderId="98" xfId="0" applyFont="1" applyFill="1" applyBorder="1" applyAlignment="1" applyProtection="1">
      <alignment horizontal="center" vertical="center"/>
      <protection locked="0"/>
    </xf>
    <xf numFmtId="0" fontId="20" fillId="0" borderId="0" xfId="0" applyFont="1" applyAlignment="1">
      <alignment horizontal="center" wrapText="1"/>
    </xf>
    <xf numFmtId="0" fontId="21" fillId="0" borderId="0" xfId="0" applyFont="1"/>
    <xf numFmtId="0" fontId="14" fillId="10" borderId="97" xfId="0" applyFont="1" applyFill="1" applyBorder="1" applyAlignment="1">
      <alignment horizontal="center" vertical="center"/>
    </xf>
    <xf numFmtId="0" fontId="2" fillId="9" borderId="98" xfId="0" applyFont="1" applyFill="1" applyBorder="1" applyAlignment="1">
      <alignment horizontal="center" vertical="center"/>
    </xf>
    <xf numFmtId="0" fontId="0" fillId="0" borderId="0" xfId="0" applyAlignment="1">
      <alignment vertical="center"/>
    </xf>
    <xf numFmtId="0" fontId="2" fillId="9" borderId="98" xfId="0" applyFont="1" applyFill="1" applyBorder="1" applyAlignment="1">
      <alignment horizontal="center" vertical="center" wrapText="1"/>
    </xf>
    <xf numFmtId="0" fontId="2" fillId="12" borderId="102" xfId="0" applyFont="1" applyFill="1" applyBorder="1" applyAlignment="1">
      <alignment horizontal="center" vertical="center"/>
    </xf>
    <xf numFmtId="0" fontId="2" fillId="12" borderId="103" xfId="0" applyFont="1" applyFill="1" applyBorder="1" applyAlignment="1">
      <alignment horizontal="center" vertical="center"/>
    </xf>
    <xf numFmtId="0" fontId="2" fillId="12" borderId="97" xfId="0" applyFont="1" applyFill="1" applyBorder="1" applyAlignment="1">
      <alignment horizontal="center" vertical="center" wrapText="1"/>
    </xf>
    <xf numFmtId="0" fontId="2" fillId="12" borderId="102" xfId="0" applyFont="1" applyFill="1" applyBorder="1" applyAlignment="1">
      <alignment horizontal="center" vertical="center" wrapText="1"/>
    </xf>
    <xf numFmtId="0" fontId="2" fillId="12" borderId="103" xfId="0" applyFont="1" applyFill="1" applyBorder="1" applyAlignment="1">
      <alignment horizontal="center" vertical="center" wrapText="1"/>
    </xf>
    <xf numFmtId="0" fontId="2" fillId="12" borderId="98" xfId="0" applyFont="1" applyFill="1" applyBorder="1" applyAlignment="1">
      <alignment horizontal="center" vertical="center" wrapText="1"/>
    </xf>
    <xf numFmtId="0" fontId="1" fillId="8" borderId="104" xfId="0" applyFont="1" applyFill="1" applyBorder="1" applyAlignment="1">
      <alignment horizontal="center"/>
    </xf>
    <xf numFmtId="0" fontId="7" fillId="0" borderId="0" xfId="0" applyFont="1" applyAlignment="1">
      <alignment horizontal="center"/>
    </xf>
    <xf numFmtId="0" fontId="1" fillId="8" borderId="97" xfId="0" applyFont="1" applyFill="1" applyBorder="1" applyAlignment="1">
      <alignment horizontal="center"/>
    </xf>
    <xf numFmtId="0" fontId="1" fillId="8" borderId="105" xfId="0" applyFont="1" applyFill="1" applyBorder="1" applyAlignment="1">
      <alignment horizontal="center"/>
    </xf>
    <xf numFmtId="0" fontId="1" fillId="8" borderId="99" xfId="0" applyFont="1" applyFill="1" applyBorder="1" applyAlignment="1">
      <alignment horizontal="center"/>
    </xf>
    <xf numFmtId="0" fontId="1" fillId="8" borderId="100" xfId="0" applyFont="1" applyFill="1" applyBorder="1" applyAlignment="1">
      <alignment horizontal="center"/>
    </xf>
    <xf numFmtId="0" fontId="7" fillId="0" borderId="0" xfId="0" applyFont="1" applyAlignment="1">
      <alignment horizontal="center" vertical="center" wrapText="1"/>
    </xf>
    <xf numFmtId="0" fontId="1" fillId="8" borderId="106" xfId="0" applyFont="1" applyFill="1" applyBorder="1" applyAlignment="1">
      <alignment horizontal="center"/>
    </xf>
    <xf numFmtId="0" fontId="1" fillId="8" borderId="107" xfId="0" applyFont="1" applyFill="1" applyBorder="1" applyAlignment="1">
      <alignment horizontal="center"/>
    </xf>
    <xf numFmtId="0" fontId="7" fillId="0" borderId="0" xfId="0" applyFont="1" applyAlignment="1">
      <alignment vertical="center" wrapText="1"/>
    </xf>
    <xf numFmtId="0" fontId="1" fillId="0" borderId="0" xfId="0" applyFont="1" applyAlignment="1">
      <alignment vertical="center"/>
    </xf>
    <xf numFmtId="0" fontId="1" fillId="0" borderId="0" xfId="0" applyFont="1" applyAlignment="1">
      <alignment horizontal="center" vertical="center"/>
    </xf>
    <xf numFmtId="0" fontId="9" fillId="5" borderId="5" xfId="0" applyFont="1" applyFill="1" applyBorder="1" applyAlignment="1">
      <alignment horizontal="centerContinuous" wrapText="1"/>
    </xf>
    <xf numFmtId="0" fontId="2" fillId="2" borderId="4"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2" fillId="6" borderId="1" xfId="0" applyFont="1" applyFill="1" applyBorder="1" applyAlignment="1">
      <alignment horizontal="left" vertical="center" wrapText="1"/>
    </xf>
    <xf numFmtId="0" fontId="2" fillId="6"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2" fillId="0" borderId="1" xfId="0" applyFont="1" applyBorder="1"/>
    <xf numFmtId="165" fontId="2" fillId="0" borderId="1" xfId="0" applyNumberFormat="1" applyFont="1" applyBorder="1" applyAlignment="1">
      <alignment horizontal="center"/>
    </xf>
    <xf numFmtId="0" fontId="2" fillId="6" borderId="1" xfId="0" applyFont="1" applyFill="1" applyBorder="1"/>
    <xf numFmtId="165" fontId="2" fillId="6" borderId="1" xfId="0" applyNumberFormat="1" applyFont="1" applyFill="1" applyBorder="1" applyAlignment="1">
      <alignment horizontal="center"/>
    </xf>
    <xf numFmtId="0" fontId="2" fillId="7" borderId="101" xfId="0" applyFont="1" applyFill="1" applyBorder="1"/>
    <xf numFmtId="0" fontId="2" fillId="7" borderId="75" xfId="0" applyFont="1" applyFill="1" applyBorder="1" applyAlignment="1">
      <alignment horizontal="right"/>
    </xf>
    <xf numFmtId="0" fontId="3" fillId="0" borderId="0" xfId="0" applyFont="1" applyAlignment="1">
      <alignment horizontal="right"/>
    </xf>
    <xf numFmtId="0" fontId="2" fillId="0" borderId="0" xfId="0" applyFont="1" applyAlignment="1">
      <alignment horizontal="left"/>
    </xf>
    <xf numFmtId="0" fontId="2" fillId="7" borderId="0" xfId="0" applyFont="1" applyFill="1"/>
    <xf numFmtId="0" fontId="2" fillId="7" borderId="10" xfId="0" applyFont="1" applyFill="1" applyBorder="1"/>
    <xf numFmtId="0" fontId="2" fillId="7" borderId="8" xfId="0" applyFont="1" applyFill="1" applyBorder="1"/>
    <xf numFmtId="0" fontId="2" fillId="7" borderId="11" xfId="0" applyFont="1" applyFill="1" applyBorder="1"/>
    <xf numFmtId="0" fontId="0" fillId="0" borderId="101" xfId="0" applyBorder="1"/>
    <xf numFmtId="0" fontId="23" fillId="0" borderId="0" xfId="0" applyFont="1"/>
    <xf numFmtId="0" fontId="16" fillId="0" borderId="0" xfId="0" applyFont="1"/>
    <xf numFmtId="0" fontId="6" fillId="0" borderId="0" xfId="0" applyFont="1"/>
    <xf numFmtId="0" fontId="4" fillId="0" borderId="0" xfId="0" applyFont="1" applyAlignment="1">
      <alignment vertical="center"/>
    </xf>
    <xf numFmtId="0" fontId="14" fillId="10" borderId="7" xfId="0" applyFont="1" applyFill="1" applyBorder="1" applyAlignment="1">
      <alignment horizontal="center" vertical="center"/>
    </xf>
    <xf numFmtId="0" fontId="14" fillId="10" borderId="95" xfId="0" applyFont="1" applyFill="1" applyBorder="1" applyAlignment="1">
      <alignment horizontal="center" vertical="center"/>
    </xf>
    <xf numFmtId="0" fontId="14" fillId="10" borderId="95" xfId="0" applyFont="1" applyFill="1" applyBorder="1" applyAlignment="1">
      <alignment horizontal="center" vertical="center" wrapText="1"/>
    </xf>
    <xf numFmtId="0" fontId="14" fillId="9" borderId="7" xfId="0" applyFont="1" applyFill="1" applyBorder="1" applyAlignment="1">
      <alignment horizontal="center" vertical="center"/>
    </xf>
    <xf numFmtId="0" fontId="7" fillId="0" borderId="46" xfId="0" applyFont="1" applyBorder="1" applyAlignment="1">
      <alignment horizontal="center"/>
    </xf>
    <xf numFmtId="49" fontId="7" fillId="0" borderId="7" xfId="0" applyNumberFormat="1" applyFont="1" applyBorder="1" applyAlignment="1">
      <alignment horizontal="center"/>
    </xf>
    <xf numFmtId="0" fontId="7" fillId="0" borderId="17" xfId="0" applyFont="1" applyBorder="1" applyAlignment="1">
      <alignment horizontal="center"/>
    </xf>
    <xf numFmtId="0" fontId="18" fillId="7" borderId="73" xfId="0" applyFont="1" applyFill="1" applyBorder="1" applyAlignment="1">
      <alignment horizontal="left" vertical="center" wrapText="1"/>
    </xf>
    <xf numFmtId="0" fontId="18" fillId="7" borderId="12" xfId="0" applyFont="1" applyFill="1" applyBorder="1" applyAlignment="1">
      <alignment horizontal="center" vertical="center" wrapText="1"/>
    </xf>
    <xf numFmtId="0" fontId="18" fillId="7" borderId="13" xfId="0" applyFont="1" applyFill="1" applyBorder="1" applyAlignment="1">
      <alignment horizontal="center" vertical="center" wrapText="1"/>
    </xf>
    <xf numFmtId="0" fontId="18" fillId="7" borderId="76" xfId="0" applyFont="1" applyFill="1" applyBorder="1" applyAlignment="1">
      <alignment horizontal="center" vertical="center" wrapText="1"/>
    </xf>
    <xf numFmtId="0" fontId="18" fillId="7" borderId="76" xfId="0" applyFont="1" applyFill="1" applyBorder="1" applyAlignment="1">
      <alignment vertical="center" wrapText="1"/>
    </xf>
    <xf numFmtId="0" fontId="18" fillId="3" borderId="76" xfId="0" applyFont="1" applyFill="1" applyBorder="1" applyAlignment="1">
      <alignment horizontal="center" vertical="center" wrapText="1"/>
    </xf>
    <xf numFmtId="0" fontId="18" fillId="3" borderId="72" xfId="0" applyFont="1" applyFill="1" applyBorder="1" applyAlignment="1">
      <alignment horizontal="center" vertical="center" wrapText="1"/>
    </xf>
    <xf numFmtId="0" fontId="19" fillId="0" borderId="74" xfId="0" applyFont="1" applyBorder="1" applyAlignment="1">
      <alignment horizontal="left" vertical="center"/>
    </xf>
    <xf numFmtId="164" fontId="19" fillId="0" borderId="93" xfId="0" applyNumberFormat="1" applyFont="1" applyBorder="1" applyAlignment="1">
      <alignment horizontal="center" vertical="center"/>
    </xf>
    <xf numFmtId="164" fontId="19" fillId="0" borderId="109" xfId="0" applyNumberFormat="1" applyFont="1" applyBorder="1" applyAlignment="1">
      <alignment horizontal="center" vertical="center" wrapText="1"/>
    </xf>
    <xf numFmtId="0" fontId="19" fillId="0" borderId="74" xfId="0" applyFont="1" applyBorder="1" applyAlignment="1">
      <alignment horizontal="center" vertical="center" wrapText="1"/>
    </xf>
    <xf numFmtId="0" fontId="19" fillId="4" borderId="74" xfId="0" applyFont="1" applyFill="1" applyBorder="1" applyAlignment="1">
      <alignment horizontal="center" vertical="center" wrapText="1"/>
    </xf>
    <xf numFmtId="0" fontId="19" fillId="0" borderId="74" xfId="0" applyFont="1" applyBorder="1" applyAlignment="1">
      <alignment horizontal="center" vertical="center"/>
    </xf>
    <xf numFmtId="0" fontId="19" fillId="11" borderId="74" xfId="0" applyFont="1" applyFill="1" applyBorder="1" applyAlignment="1">
      <alignment horizontal="left" vertical="center" wrapText="1"/>
    </xf>
    <xf numFmtId="0" fontId="19" fillId="0" borderId="74" xfId="0" applyFont="1" applyBorder="1" applyAlignment="1">
      <alignment wrapText="1"/>
    </xf>
    <xf numFmtId="0" fontId="19" fillId="0" borderId="74" xfId="0" applyFont="1" applyBorder="1" applyAlignment="1">
      <alignment horizontal="left" vertical="center" wrapText="1"/>
    </xf>
    <xf numFmtId="14" fontId="19" fillId="0" borderId="74" xfId="0" applyNumberFormat="1" applyFont="1" applyBorder="1" applyAlignment="1">
      <alignment horizontal="left" vertical="center"/>
    </xf>
    <xf numFmtId="164" fontId="19" fillId="0" borderId="91" xfId="0" applyNumberFormat="1" applyFont="1" applyBorder="1" applyAlignment="1">
      <alignment horizontal="center" vertical="center"/>
    </xf>
    <xf numFmtId="164" fontId="19" fillId="0" borderId="108" xfId="0" applyNumberFormat="1" applyFont="1" applyBorder="1" applyAlignment="1">
      <alignment horizontal="center" vertical="center" wrapText="1"/>
    </xf>
    <xf numFmtId="0" fontId="2" fillId="7" borderId="77" xfId="0" applyFont="1" applyFill="1" applyBorder="1"/>
    <xf numFmtId="0" fontId="2" fillId="7" borderId="88" xfId="0" applyFont="1" applyFill="1" applyBorder="1"/>
    <xf numFmtId="0" fontId="2" fillId="7" borderId="78" xfId="0" applyFont="1" applyFill="1" applyBorder="1"/>
    <xf numFmtId="0" fontId="2" fillId="7" borderId="79" xfId="0" applyFont="1" applyFill="1" applyBorder="1"/>
    <xf numFmtId="0" fontId="2" fillId="7" borderId="87" xfId="0" applyFont="1" applyFill="1" applyBorder="1"/>
    <xf numFmtId="0" fontId="0" fillId="0" borderId="80" xfId="0" applyBorder="1"/>
    <xf numFmtId="0" fontId="2" fillId="7" borderId="81" xfId="0" applyFont="1" applyFill="1" applyBorder="1"/>
    <xf numFmtId="0" fontId="0" fillId="0" borderId="82" xfId="0" applyBorder="1"/>
    <xf numFmtId="0" fontId="2" fillId="7" borderId="118" xfId="0" applyFont="1" applyFill="1" applyBorder="1"/>
    <xf numFmtId="0" fontId="2" fillId="7" borderId="112" xfId="0" applyFont="1" applyFill="1" applyBorder="1"/>
    <xf numFmtId="0" fontId="2" fillId="7" borderId="84" xfId="0" applyFont="1" applyFill="1" applyBorder="1"/>
    <xf numFmtId="0" fontId="2" fillId="7" borderId="86" xfId="0" applyFont="1" applyFill="1" applyBorder="1"/>
    <xf numFmtId="0" fontId="2" fillId="7" borderId="119" xfId="0" applyFont="1" applyFill="1" applyBorder="1"/>
    <xf numFmtId="0" fontId="2" fillId="7" borderId="85" xfId="0" applyFont="1" applyFill="1" applyBorder="1"/>
    <xf numFmtId="0" fontId="2" fillId="7" borderId="83" xfId="0" applyFont="1" applyFill="1" applyBorder="1"/>
    <xf numFmtId="0" fontId="0" fillId="0" borderId="0" xfId="0" applyProtection="1">
      <protection locked="0"/>
    </xf>
    <xf numFmtId="0" fontId="0" fillId="0" borderId="10" xfId="0" applyBorder="1" applyProtection="1">
      <protection locked="0"/>
    </xf>
    <xf numFmtId="0" fontId="2" fillId="0" borderId="9" xfId="0" applyFont="1" applyBorder="1"/>
    <xf numFmtId="0" fontId="2" fillId="0" borderId="11" xfId="0" applyFont="1" applyBorder="1" applyAlignment="1">
      <alignment horizontal="right"/>
    </xf>
    <xf numFmtId="166" fontId="1" fillId="0" borderId="0" xfId="0" applyNumberFormat="1" applyFont="1" applyAlignment="1" applyProtection="1">
      <alignment horizontal="center" vertical="center"/>
      <protection locked="0"/>
    </xf>
    <xf numFmtId="166" fontId="1" fillId="0" borderId="0" xfId="0" applyNumberFormat="1" applyFont="1" applyAlignment="1" applyProtection="1">
      <alignment horizontal="center" vertical="center" wrapText="1"/>
      <protection locked="0"/>
    </xf>
    <xf numFmtId="1" fontId="0" fillId="0" borderId="1" xfId="0" applyNumberFormat="1" applyBorder="1" applyAlignment="1">
      <alignment horizontal="center" vertical="center"/>
    </xf>
    <xf numFmtId="49" fontId="1" fillId="0" borderId="0" xfId="0" applyNumberFormat="1" applyFont="1" applyAlignment="1" applyProtection="1">
      <alignment horizontal="center" vertical="center"/>
      <protection locked="0"/>
    </xf>
    <xf numFmtId="49" fontId="1" fillId="0" borderId="0" xfId="0" applyNumberFormat="1" applyFont="1" applyAlignment="1" applyProtection="1">
      <alignment horizontal="center" vertical="center" wrapText="1"/>
      <protection locked="0"/>
    </xf>
    <xf numFmtId="49" fontId="1" fillId="0" borderId="105" xfId="0" applyNumberFormat="1" applyFont="1" applyBorder="1" applyAlignment="1" applyProtection="1">
      <alignment horizontal="center"/>
      <protection locked="0"/>
    </xf>
    <xf numFmtId="49" fontId="1" fillId="0" borderId="107" xfId="0" applyNumberFormat="1" applyFont="1" applyBorder="1" applyAlignment="1" applyProtection="1">
      <alignment horizontal="center"/>
      <protection locked="0"/>
    </xf>
    <xf numFmtId="49" fontId="7" fillId="0" borderId="99" xfId="0" applyNumberFormat="1" applyFont="1" applyBorder="1" applyAlignment="1" applyProtection="1">
      <alignment horizontal="center"/>
      <protection locked="0"/>
    </xf>
    <xf numFmtId="49" fontId="7" fillId="0" borderId="100" xfId="0" applyNumberFormat="1" applyFont="1" applyBorder="1" applyAlignment="1" applyProtection="1">
      <alignment horizontal="center"/>
      <protection locked="0"/>
    </xf>
    <xf numFmtId="49" fontId="13" fillId="0" borderId="97" xfId="0" applyNumberFormat="1" applyFont="1" applyBorder="1" applyAlignment="1" applyProtection="1">
      <alignment horizontal="left" vertical="center"/>
      <protection locked="0"/>
    </xf>
    <xf numFmtId="49" fontId="7" fillId="0" borderId="0" xfId="0" applyNumberFormat="1" applyFont="1" applyAlignment="1" applyProtection="1">
      <alignment horizontal="center"/>
      <protection locked="0"/>
    </xf>
    <xf numFmtId="0" fontId="0" fillId="7" borderId="0" xfId="0" applyFill="1"/>
    <xf numFmtId="0" fontId="3" fillId="0" borderId="0" xfId="0" applyFont="1" applyAlignment="1">
      <alignment horizontal="center" vertical="center" wrapText="1"/>
    </xf>
    <xf numFmtId="0" fontId="3" fillId="0" borderId="0" xfId="0" applyFont="1" applyAlignment="1">
      <alignment horizontal="center"/>
    </xf>
    <xf numFmtId="0" fontId="2" fillId="0" borderId="0" xfId="0" applyFont="1" applyAlignment="1">
      <alignment horizontal="center"/>
    </xf>
    <xf numFmtId="0" fontId="7" fillId="0" borderId="0" xfId="0" applyFont="1" applyAlignment="1">
      <alignment horizontal="left" vertical="center" wrapText="1"/>
    </xf>
    <xf numFmtId="0" fontId="22" fillId="0" borderId="0" xfId="0" applyFont="1" applyAlignment="1">
      <alignment horizontal="center"/>
    </xf>
    <xf numFmtId="0" fontId="20" fillId="0" borderId="0" xfId="0" applyFont="1" applyAlignment="1">
      <alignment horizontal="center" wrapText="1"/>
    </xf>
    <xf numFmtId="0" fontId="21" fillId="0" borderId="0" xfId="0" applyFont="1" applyAlignment="1">
      <alignment horizontal="center"/>
    </xf>
    <xf numFmtId="0" fontId="11" fillId="7" borderId="12" xfId="0" applyFont="1" applyFill="1" applyBorder="1" applyAlignment="1">
      <alignment horizontal="center" vertical="center" wrapText="1"/>
    </xf>
    <xf numFmtId="0" fontId="11" fillId="7" borderId="13" xfId="0" applyFont="1" applyFill="1" applyBorder="1" applyAlignment="1">
      <alignment horizontal="center" vertical="center" wrapText="1"/>
    </xf>
    <xf numFmtId="0" fontId="11" fillId="7" borderId="14" xfId="0" applyFont="1" applyFill="1" applyBorder="1" applyAlignment="1">
      <alignment horizontal="center" vertical="center" wrapText="1"/>
    </xf>
    <xf numFmtId="0" fontId="11" fillId="4" borderId="21" xfId="0" applyFont="1" applyFill="1" applyBorder="1" applyAlignment="1">
      <alignment horizontal="left"/>
    </xf>
    <xf numFmtId="0" fontId="11" fillId="4" borderId="45" xfId="0" applyFont="1" applyFill="1" applyBorder="1" applyAlignment="1">
      <alignment horizontal="left"/>
    </xf>
    <xf numFmtId="0" fontId="11" fillId="7" borderId="12" xfId="0" applyFont="1" applyFill="1" applyBorder="1" applyAlignment="1">
      <alignment horizontal="left" vertical="center" wrapText="1"/>
    </xf>
    <xf numFmtId="0" fontId="11" fillId="7" borderId="13" xfId="0" applyFont="1" applyFill="1" applyBorder="1" applyAlignment="1">
      <alignment horizontal="left" vertical="center" wrapText="1"/>
    </xf>
    <xf numFmtId="0" fontId="11" fillId="7" borderId="28" xfId="0" applyFont="1" applyFill="1" applyBorder="1" applyAlignment="1">
      <alignment horizontal="left" vertical="center" wrapText="1"/>
    </xf>
    <xf numFmtId="0" fontId="12" fillId="4" borderId="29" xfId="0" applyFont="1" applyFill="1" applyBorder="1" applyAlignment="1">
      <alignment horizontal="left" vertical="center" wrapText="1"/>
    </xf>
    <xf numFmtId="0" fontId="12" fillId="4" borderId="30" xfId="0" applyFont="1" applyFill="1" applyBorder="1" applyAlignment="1">
      <alignment horizontal="left" vertical="center" wrapText="1"/>
    </xf>
    <xf numFmtId="0" fontId="12" fillId="4" borderId="24" xfId="0" applyFont="1" applyFill="1" applyBorder="1" applyAlignment="1">
      <alignment horizontal="left" vertical="center" wrapText="1"/>
    </xf>
    <xf numFmtId="0" fontId="12" fillId="4" borderId="7" xfId="0" applyFont="1" applyFill="1" applyBorder="1" applyAlignment="1">
      <alignment horizontal="left" vertical="center" wrapText="1"/>
    </xf>
    <xf numFmtId="0" fontId="11" fillId="4" borderId="7" xfId="0" applyFont="1" applyFill="1" applyBorder="1" applyAlignment="1">
      <alignment horizontal="left"/>
    </xf>
    <xf numFmtId="0" fontId="11" fillId="7" borderId="38" xfId="0" applyFont="1" applyFill="1" applyBorder="1" applyAlignment="1">
      <alignment horizontal="center" vertical="center" wrapText="1"/>
    </xf>
    <xf numFmtId="0" fontId="11" fillId="7" borderId="39" xfId="0" applyFont="1" applyFill="1" applyBorder="1" applyAlignment="1">
      <alignment horizontal="center" vertical="center" wrapText="1"/>
    </xf>
    <xf numFmtId="0" fontId="11" fillId="7" borderId="40" xfId="0" applyFont="1" applyFill="1" applyBorder="1" applyAlignment="1">
      <alignment horizontal="center" vertical="center" wrapText="1"/>
    </xf>
    <xf numFmtId="0" fontId="11" fillId="7" borderId="36" xfId="0" applyFont="1" applyFill="1" applyBorder="1" applyAlignment="1">
      <alignment horizontal="left" vertical="center" wrapText="1"/>
    </xf>
    <xf numFmtId="0" fontId="11" fillId="7" borderId="37" xfId="0" applyFont="1" applyFill="1" applyBorder="1" applyAlignment="1">
      <alignment horizontal="left" vertical="center" wrapText="1"/>
    </xf>
    <xf numFmtId="0" fontId="11" fillId="4" borderId="43" xfId="0" applyFont="1" applyFill="1" applyBorder="1" applyAlignment="1">
      <alignment horizontal="left"/>
    </xf>
    <xf numFmtId="0" fontId="11" fillId="4" borderId="44" xfId="0" applyFont="1" applyFill="1" applyBorder="1" applyAlignment="1">
      <alignment horizontal="left"/>
    </xf>
    <xf numFmtId="0" fontId="3" fillId="0" borderId="52" xfId="0" applyFont="1" applyBorder="1" applyAlignment="1">
      <alignment horizontal="center"/>
    </xf>
    <xf numFmtId="0" fontId="2" fillId="7" borderId="0" xfId="0" applyFont="1" applyFill="1" applyAlignment="1">
      <alignment horizontal="left"/>
    </xf>
    <xf numFmtId="0" fontId="0" fillId="0" borderId="91" xfId="0" applyBorder="1" applyAlignment="1">
      <alignment horizontal="center"/>
    </xf>
    <xf numFmtId="0" fontId="0" fillId="0" borderId="92" xfId="0" applyBorder="1" applyAlignment="1">
      <alignment horizontal="center"/>
    </xf>
    <xf numFmtId="0" fontId="2" fillId="7" borderId="13" xfId="0" applyFont="1" applyFill="1" applyBorder="1" applyAlignment="1">
      <alignment horizontal="center"/>
    </xf>
    <xf numFmtId="0" fontId="2" fillId="7" borderId="96" xfId="0" applyFont="1" applyFill="1" applyBorder="1" applyAlignment="1">
      <alignment horizontal="center"/>
    </xf>
    <xf numFmtId="0" fontId="2" fillId="7" borderId="84" xfId="0" applyFont="1" applyFill="1" applyBorder="1" applyAlignment="1">
      <alignment horizontal="right"/>
    </xf>
    <xf numFmtId="0" fontId="2" fillId="7" borderId="113" xfId="0" applyFont="1" applyFill="1" applyBorder="1" applyAlignment="1">
      <alignment horizontal="right"/>
    </xf>
    <xf numFmtId="0" fontId="2" fillId="7" borderId="95" xfId="0" applyFont="1" applyFill="1" applyBorder="1" applyAlignment="1">
      <alignment horizontal="right"/>
    </xf>
    <xf numFmtId="0" fontId="2" fillId="7" borderId="9" xfId="0" applyFont="1" applyFill="1" applyBorder="1" applyAlignment="1">
      <alignment horizontal="right"/>
    </xf>
    <xf numFmtId="0" fontId="2" fillId="7" borderId="117" xfId="0" applyFont="1" applyFill="1" applyBorder="1" applyAlignment="1">
      <alignment horizontal="right"/>
    </xf>
    <xf numFmtId="0" fontId="2" fillId="7" borderId="116" xfId="0" applyFont="1" applyFill="1" applyBorder="1" applyAlignment="1">
      <alignment horizontal="right"/>
    </xf>
    <xf numFmtId="0" fontId="0" fillId="0" borderId="114" xfId="0" applyBorder="1" applyAlignment="1">
      <alignment horizontal="center"/>
    </xf>
    <xf numFmtId="0" fontId="0" fillId="0" borderId="115" xfId="0" applyBorder="1" applyAlignment="1">
      <alignment horizontal="center"/>
    </xf>
    <xf numFmtId="164" fontId="19" fillId="0" borderId="91" xfId="0" applyNumberFormat="1" applyFont="1" applyBorder="1" applyAlignment="1">
      <alignment horizontal="center" vertical="center"/>
    </xf>
    <xf numFmtId="164" fontId="19" fillId="0" borderId="92" xfId="0" applyNumberFormat="1" applyFont="1" applyBorder="1" applyAlignment="1">
      <alignment horizontal="center" vertical="center"/>
    </xf>
    <xf numFmtId="164" fontId="19" fillId="0" borderId="93" xfId="0" applyNumberFormat="1" applyFont="1" applyBorder="1" applyAlignment="1">
      <alignment horizontal="center" vertical="center"/>
    </xf>
    <xf numFmtId="164" fontId="19" fillId="0" borderId="94" xfId="0" applyNumberFormat="1" applyFont="1" applyBorder="1" applyAlignment="1">
      <alignment horizontal="center" vertical="center"/>
    </xf>
    <xf numFmtId="0" fontId="18" fillId="7" borderId="12" xfId="0" applyFont="1" applyFill="1" applyBorder="1" applyAlignment="1">
      <alignment horizontal="center" vertical="center" wrapText="1"/>
    </xf>
    <xf numFmtId="0" fontId="18" fillId="7" borderId="14" xfId="0" applyFont="1" applyFill="1" applyBorder="1" applyAlignment="1">
      <alignment horizontal="center" vertical="center" wrapText="1"/>
    </xf>
    <xf numFmtId="0" fontId="13" fillId="0" borderId="19" xfId="0" applyFont="1" applyBorder="1" applyAlignment="1">
      <alignment horizontal="left" vertical="center"/>
    </xf>
    <xf numFmtId="0" fontId="13" fillId="0" borderId="46" xfId="0" applyFont="1" applyBorder="1" applyAlignment="1">
      <alignment horizontal="left" vertical="center"/>
    </xf>
    <xf numFmtId="0" fontId="13" fillId="0" borderId="20" xfId="0" applyFont="1" applyBorder="1" applyAlignment="1">
      <alignment horizontal="left" vertical="center"/>
    </xf>
    <xf numFmtId="0" fontId="18" fillId="7" borderId="13" xfId="0" applyFont="1" applyFill="1" applyBorder="1" applyAlignment="1">
      <alignment horizontal="center" vertical="center" wrapText="1"/>
    </xf>
    <xf numFmtId="0" fontId="19" fillId="0" borderId="91" xfId="0" applyFont="1" applyBorder="1" applyAlignment="1">
      <alignment horizontal="left" vertical="center"/>
    </xf>
    <xf numFmtId="0" fontId="19" fillId="0" borderId="108" xfId="0" applyFont="1" applyBorder="1" applyAlignment="1">
      <alignment horizontal="left" vertical="center"/>
    </xf>
    <xf numFmtId="0" fontId="19" fillId="0" borderId="93" xfId="0" applyFont="1" applyBorder="1" applyAlignment="1">
      <alignment horizontal="left" vertical="center"/>
    </xf>
    <xf numFmtId="0" fontId="19" fillId="0" borderId="109" xfId="0" applyFont="1" applyBorder="1" applyAlignment="1">
      <alignment horizontal="left" vertical="center"/>
    </xf>
    <xf numFmtId="0" fontId="7" fillId="0" borderId="7" xfId="0" applyFont="1" applyBorder="1" applyAlignment="1">
      <alignment horizontal="center" vertical="center" wrapText="1"/>
    </xf>
    <xf numFmtId="0" fontId="14" fillId="9" borderId="7" xfId="0" applyFont="1" applyFill="1" applyBorder="1" applyAlignment="1">
      <alignment horizontal="center" vertical="center" wrapText="1"/>
    </xf>
    <xf numFmtId="0" fontId="20" fillId="0" borderId="95" xfId="0" applyFont="1" applyBorder="1" applyAlignment="1">
      <alignment horizontal="center" wrapText="1"/>
    </xf>
    <xf numFmtId="0" fontId="19" fillId="0" borderId="91" xfId="0" applyFont="1" applyBorder="1" applyAlignment="1">
      <alignment horizontal="center" vertical="center" wrapText="1"/>
    </xf>
    <xf numFmtId="0" fontId="19" fillId="0" borderId="92" xfId="0" applyFont="1" applyBorder="1" applyAlignment="1">
      <alignment horizontal="center" vertical="center" wrapText="1"/>
    </xf>
    <xf numFmtId="0" fontId="19" fillId="0" borderId="93" xfId="0" applyFont="1" applyBorder="1" applyAlignment="1">
      <alignment horizontal="center" vertical="center" wrapText="1"/>
    </xf>
    <xf numFmtId="0" fontId="19" fillId="0" borderId="94" xfId="0" applyFont="1" applyBorder="1" applyAlignment="1">
      <alignment horizontal="center" vertical="center" wrapText="1"/>
    </xf>
    <xf numFmtId="0" fontId="14" fillId="10" borderId="89" xfId="0" applyFont="1" applyFill="1" applyBorder="1" applyAlignment="1">
      <alignment horizontal="left" vertical="center"/>
    </xf>
    <xf numFmtId="0" fontId="14" fillId="10" borderId="90" xfId="0" applyFont="1" applyFill="1" applyBorder="1" applyAlignment="1">
      <alignment horizontal="left" vertical="center"/>
    </xf>
    <xf numFmtId="0" fontId="0" fillId="0" borderId="52" xfId="0" applyBorder="1" applyAlignment="1">
      <alignment horizontal="left"/>
    </xf>
    <xf numFmtId="0" fontId="7" fillId="8" borderId="7" xfId="0" applyFont="1" applyFill="1" applyBorder="1" applyAlignment="1">
      <alignment horizontal="center"/>
    </xf>
    <xf numFmtId="0" fontId="14" fillId="9" borderId="7" xfId="0" applyFont="1" applyFill="1" applyBorder="1" applyAlignment="1">
      <alignment horizontal="center" vertical="center"/>
    </xf>
    <xf numFmtId="0" fontId="0" fillId="0" borderId="93" xfId="0" applyBorder="1" applyAlignment="1">
      <alignment horizontal="center"/>
    </xf>
    <xf numFmtId="0" fontId="0" fillId="0" borderId="94" xfId="0" applyBorder="1" applyAlignment="1">
      <alignment horizontal="center"/>
    </xf>
  </cellXfs>
  <cellStyles count="2">
    <cellStyle name="Hyperlink" xfId="1" builtinId="8"/>
    <cellStyle name="Normal" xfId="0" builtinId="0"/>
  </cellStyles>
  <dxfs count="1005">
    <dxf>
      <font>
        <b/>
        <i val="0"/>
        <color rgb="FFFF0000"/>
      </font>
    </dxf>
    <dxf>
      <font>
        <color rgb="FF9C0006"/>
      </font>
      <fill>
        <patternFill>
          <bgColor rgb="FFFFC7CE"/>
        </patternFill>
      </fill>
    </dxf>
    <dxf>
      <font>
        <color theme="5" tint="-0.24994659260841701"/>
      </font>
      <fill>
        <patternFill>
          <bgColor theme="5" tint="0.39994506668294322"/>
        </patternFill>
      </fill>
    </dxf>
    <dxf>
      <font>
        <b/>
        <i val="0"/>
        <color rgb="FFC00000"/>
      </font>
      <fill>
        <patternFill>
          <bgColor rgb="FFFFCCCC"/>
        </patternFill>
      </fill>
    </dxf>
    <dxf>
      <fill>
        <patternFill patternType="none">
          <bgColor auto="1"/>
        </patternFill>
      </fill>
    </dxf>
    <dxf>
      <font>
        <color rgb="FF9C5700"/>
      </font>
      <fill>
        <patternFill>
          <bgColor rgb="FFFFEB9C"/>
        </patternFill>
      </fill>
    </dxf>
    <dxf>
      <font>
        <color theme="5" tint="-0.24994659260841701"/>
      </font>
      <fill>
        <patternFill>
          <bgColor theme="5" tint="0.39994506668294322"/>
        </patternFill>
      </fill>
    </dxf>
    <dxf>
      <font>
        <color rgb="FF9C0006"/>
      </font>
      <fill>
        <patternFill>
          <bgColor rgb="FFFFC7CE"/>
        </patternFill>
      </fill>
    </dxf>
    <dxf>
      <font>
        <b/>
        <i val="0"/>
        <color rgb="FFC00000"/>
      </font>
      <fill>
        <patternFill>
          <bgColor rgb="FFFFCCCC"/>
        </patternFill>
      </fill>
    </dxf>
    <dxf>
      <fill>
        <patternFill patternType="none">
          <bgColor auto="1"/>
        </patternFill>
      </fill>
    </dxf>
    <dxf>
      <font>
        <color theme="0"/>
      </font>
    </dxf>
    <dxf>
      <font>
        <color theme="4" tint="0.79998168889431442"/>
      </font>
    </dxf>
    <dxf>
      <font>
        <color theme="0"/>
      </font>
    </dxf>
    <dxf>
      <font>
        <color theme="0"/>
      </font>
    </dxf>
    <dxf>
      <font>
        <color theme="0"/>
      </font>
    </dxf>
    <dxf>
      <font>
        <color theme="0"/>
      </font>
    </dxf>
    <dxf>
      <font>
        <color theme="0"/>
      </font>
    </dxf>
    <dxf>
      <font>
        <color theme="0"/>
      </font>
    </dxf>
    <dxf>
      <font>
        <color theme="0"/>
      </font>
    </dxf>
    <dxf>
      <font>
        <color theme="0"/>
      </font>
    </dxf>
    <dxf>
      <font>
        <color theme="4" tint="0.79998168889431442"/>
      </font>
    </dxf>
    <dxf>
      <font>
        <color theme="3"/>
      </font>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5700"/>
      </font>
      <fill>
        <patternFill>
          <bgColor rgb="FFFFF8D9"/>
        </patternFill>
      </fill>
    </dxf>
    <dxf>
      <font>
        <color rgb="FF006100"/>
      </font>
      <fill>
        <patternFill>
          <bgColor rgb="FFE8F8EB"/>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dxf>
    <dxf>
      <font>
        <color theme="0"/>
      </font>
    </dxf>
    <dxf>
      <fill>
        <patternFill>
          <bgColor rgb="FFFF0000"/>
        </patternFill>
      </fill>
    </dxf>
    <dxf>
      <fill>
        <patternFill>
          <bgColor rgb="FFFF0000"/>
        </patternFill>
      </fill>
    </dxf>
    <dxf>
      <fill>
        <patternFill>
          <bgColor rgb="FFFF0000"/>
        </patternFill>
      </fill>
    </dxf>
    <dxf>
      <font>
        <color theme="0"/>
      </font>
    </dxf>
    <dxf>
      <font>
        <color theme="0"/>
      </font>
    </dxf>
    <dxf>
      <font>
        <color theme="0"/>
      </font>
    </dxf>
    <dxf>
      <fill>
        <patternFill>
          <bgColor rgb="FFFF0000"/>
        </patternFill>
      </fill>
    </dxf>
    <dxf>
      <font>
        <b/>
        <i val="0"/>
        <color rgb="FFFF0000"/>
      </font>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5700"/>
      </font>
      <fill>
        <patternFill>
          <bgColor rgb="FFFFF8D9"/>
        </patternFill>
      </fill>
    </dxf>
    <dxf>
      <font>
        <color rgb="FF006100"/>
      </font>
      <fill>
        <patternFill>
          <bgColor rgb="FFE8F8EB"/>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dxf>
    <dxf>
      <font>
        <color theme="0"/>
      </font>
    </dxf>
    <dxf>
      <fill>
        <patternFill>
          <bgColor rgb="FFFF0000"/>
        </patternFill>
      </fill>
    </dxf>
    <dxf>
      <fill>
        <patternFill>
          <bgColor rgb="FFFF0000"/>
        </patternFill>
      </fill>
    </dxf>
    <dxf>
      <fill>
        <patternFill>
          <bgColor rgb="FFFF0000"/>
        </patternFill>
      </fill>
    </dxf>
    <dxf>
      <font>
        <color theme="0"/>
      </font>
    </dxf>
    <dxf>
      <font>
        <color theme="0"/>
      </font>
    </dxf>
    <dxf>
      <font>
        <color theme="0"/>
      </font>
    </dxf>
    <dxf>
      <fill>
        <patternFill>
          <bgColor rgb="FFFF0000"/>
        </patternFill>
      </fill>
    </dxf>
    <dxf>
      <font>
        <b/>
        <i val="0"/>
        <color rgb="FFFF0000"/>
      </font>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5700"/>
      </font>
      <fill>
        <patternFill>
          <bgColor rgb="FFFFF8D9"/>
        </patternFill>
      </fill>
    </dxf>
    <dxf>
      <font>
        <color rgb="FF006100"/>
      </font>
      <fill>
        <patternFill>
          <bgColor rgb="FFE8F8EB"/>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dxf>
    <dxf>
      <font>
        <color theme="0"/>
      </font>
    </dxf>
    <dxf>
      <fill>
        <patternFill>
          <bgColor rgb="FFFF0000"/>
        </patternFill>
      </fill>
    </dxf>
    <dxf>
      <fill>
        <patternFill>
          <bgColor rgb="FFFF0000"/>
        </patternFill>
      </fill>
    </dxf>
    <dxf>
      <fill>
        <patternFill>
          <bgColor rgb="FFFF0000"/>
        </patternFill>
      </fill>
    </dxf>
    <dxf>
      <font>
        <color theme="0"/>
      </font>
    </dxf>
    <dxf>
      <font>
        <color theme="0"/>
      </font>
    </dxf>
    <dxf>
      <font>
        <color theme="0"/>
      </font>
    </dxf>
    <dxf>
      <fill>
        <patternFill>
          <bgColor rgb="FFFF0000"/>
        </patternFill>
      </fill>
    </dxf>
    <dxf>
      <font>
        <b/>
        <i val="0"/>
        <color rgb="FFFF0000"/>
      </font>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5700"/>
      </font>
      <fill>
        <patternFill>
          <bgColor rgb="FFFFF8D9"/>
        </patternFill>
      </fill>
    </dxf>
    <dxf>
      <font>
        <color rgb="FF006100"/>
      </font>
      <fill>
        <patternFill>
          <bgColor rgb="FFE8F8EB"/>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dxf>
    <dxf>
      <font>
        <color theme="0"/>
      </font>
    </dxf>
    <dxf>
      <fill>
        <patternFill>
          <bgColor rgb="FFFF0000"/>
        </patternFill>
      </fill>
    </dxf>
    <dxf>
      <fill>
        <patternFill>
          <bgColor rgb="FFFF0000"/>
        </patternFill>
      </fill>
    </dxf>
    <dxf>
      <fill>
        <patternFill>
          <bgColor rgb="FFFF0000"/>
        </patternFill>
      </fill>
    </dxf>
    <dxf>
      <font>
        <color theme="0"/>
      </font>
    </dxf>
    <dxf>
      <font>
        <color theme="0"/>
      </font>
    </dxf>
    <dxf>
      <font>
        <color theme="0"/>
      </font>
    </dxf>
    <dxf>
      <fill>
        <patternFill>
          <bgColor rgb="FFFF0000"/>
        </patternFill>
      </fill>
    </dxf>
    <dxf>
      <font>
        <b/>
        <i val="0"/>
        <color rgb="FFFF0000"/>
      </font>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5700"/>
      </font>
      <fill>
        <patternFill>
          <bgColor rgb="FFFFF8D9"/>
        </patternFill>
      </fill>
    </dxf>
    <dxf>
      <font>
        <color rgb="FF006100"/>
      </font>
      <fill>
        <patternFill>
          <bgColor rgb="FFE8F8EB"/>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dxf>
    <dxf>
      <font>
        <color theme="0"/>
      </font>
    </dxf>
    <dxf>
      <fill>
        <patternFill>
          <bgColor rgb="FFFF0000"/>
        </patternFill>
      </fill>
    </dxf>
    <dxf>
      <fill>
        <patternFill>
          <bgColor rgb="FFFF0000"/>
        </patternFill>
      </fill>
    </dxf>
    <dxf>
      <fill>
        <patternFill>
          <bgColor rgb="FFFF0000"/>
        </patternFill>
      </fill>
    </dxf>
    <dxf>
      <font>
        <color theme="0"/>
      </font>
    </dxf>
    <dxf>
      <font>
        <color theme="0"/>
      </font>
    </dxf>
    <dxf>
      <font>
        <color theme="0"/>
      </font>
    </dxf>
    <dxf>
      <fill>
        <patternFill>
          <bgColor rgb="FFFF0000"/>
        </patternFill>
      </fill>
    </dxf>
    <dxf>
      <font>
        <b/>
        <i val="0"/>
        <color rgb="FFFF0000"/>
      </font>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5700"/>
      </font>
      <fill>
        <patternFill>
          <bgColor rgb="FFFFF8D9"/>
        </patternFill>
      </fill>
    </dxf>
    <dxf>
      <font>
        <color rgb="FF006100"/>
      </font>
      <fill>
        <patternFill>
          <bgColor rgb="FFE8F8EB"/>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dxf>
    <dxf>
      <font>
        <color theme="0"/>
      </font>
    </dxf>
    <dxf>
      <fill>
        <patternFill>
          <bgColor rgb="FFFF0000"/>
        </patternFill>
      </fill>
    </dxf>
    <dxf>
      <fill>
        <patternFill>
          <bgColor rgb="FFFF0000"/>
        </patternFill>
      </fill>
    </dxf>
    <dxf>
      <fill>
        <patternFill>
          <bgColor rgb="FFFF0000"/>
        </patternFill>
      </fill>
    </dxf>
    <dxf>
      <font>
        <color theme="0"/>
      </font>
    </dxf>
    <dxf>
      <font>
        <color theme="0"/>
      </font>
    </dxf>
    <dxf>
      <font>
        <color theme="0"/>
      </font>
    </dxf>
    <dxf>
      <fill>
        <patternFill>
          <bgColor rgb="FFFF0000"/>
        </patternFill>
      </fill>
    </dxf>
    <dxf>
      <font>
        <b/>
        <i val="0"/>
        <color rgb="FFFF0000"/>
      </font>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5700"/>
      </font>
      <fill>
        <patternFill>
          <bgColor rgb="FFFFF8D9"/>
        </patternFill>
      </fill>
    </dxf>
    <dxf>
      <font>
        <color rgb="FF006100"/>
      </font>
      <fill>
        <patternFill>
          <bgColor rgb="FFE8F8EB"/>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dxf>
    <dxf>
      <font>
        <color theme="0"/>
      </font>
    </dxf>
    <dxf>
      <fill>
        <patternFill>
          <bgColor rgb="FFFF0000"/>
        </patternFill>
      </fill>
    </dxf>
    <dxf>
      <fill>
        <patternFill>
          <bgColor rgb="FFFF0000"/>
        </patternFill>
      </fill>
    </dxf>
    <dxf>
      <fill>
        <patternFill>
          <bgColor rgb="FFFF0000"/>
        </patternFill>
      </fill>
    </dxf>
    <dxf>
      <font>
        <color theme="0"/>
      </font>
    </dxf>
    <dxf>
      <font>
        <color theme="0"/>
      </font>
    </dxf>
    <dxf>
      <font>
        <color theme="0"/>
      </font>
    </dxf>
    <dxf>
      <fill>
        <patternFill>
          <bgColor rgb="FFFF0000"/>
        </patternFill>
      </fill>
    </dxf>
    <dxf>
      <font>
        <b/>
        <i val="0"/>
        <color rgb="FFFF0000"/>
      </font>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5700"/>
      </font>
      <fill>
        <patternFill>
          <bgColor rgb="FFFFF8D9"/>
        </patternFill>
      </fill>
    </dxf>
    <dxf>
      <font>
        <color rgb="FF006100"/>
      </font>
      <fill>
        <patternFill>
          <bgColor rgb="FFE8F8EB"/>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dxf>
    <dxf>
      <font>
        <color theme="0"/>
      </font>
    </dxf>
    <dxf>
      <fill>
        <patternFill>
          <bgColor rgb="FFFF0000"/>
        </patternFill>
      </fill>
    </dxf>
    <dxf>
      <fill>
        <patternFill>
          <bgColor rgb="FFFF0000"/>
        </patternFill>
      </fill>
    </dxf>
    <dxf>
      <fill>
        <patternFill>
          <bgColor rgb="FFFF0000"/>
        </patternFill>
      </fill>
    </dxf>
    <dxf>
      <font>
        <color theme="0"/>
      </font>
    </dxf>
    <dxf>
      <font>
        <color theme="0"/>
      </font>
    </dxf>
    <dxf>
      <font>
        <color theme="0"/>
      </font>
    </dxf>
    <dxf>
      <fill>
        <patternFill>
          <bgColor rgb="FFFF0000"/>
        </patternFill>
      </fill>
    </dxf>
    <dxf>
      <font>
        <b/>
        <i val="0"/>
        <color rgb="FFFF0000"/>
      </font>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5700"/>
      </font>
      <fill>
        <patternFill>
          <bgColor rgb="FFFFF8D9"/>
        </patternFill>
      </fill>
    </dxf>
    <dxf>
      <font>
        <color rgb="FF006100"/>
      </font>
      <fill>
        <patternFill>
          <bgColor rgb="FFE8F8EB"/>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dxf>
    <dxf>
      <font>
        <color theme="0"/>
      </font>
    </dxf>
    <dxf>
      <fill>
        <patternFill>
          <bgColor rgb="FFFF0000"/>
        </patternFill>
      </fill>
    </dxf>
    <dxf>
      <fill>
        <patternFill>
          <bgColor rgb="FFFF0000"/>
        </patternFill>
      </fill>
    </dxf>
    <dxf>
      <fill>
        <patternFill>
          <bgColor rgb="FFFF0000"/>
        </patternFill>
      </fill>
    </dxf>
    <dxf>
      <font>
        <color theme="0"/>
      </font>
    </dxf>
    <dxf>
      <font>
        <color theme="0"/>
      </font>
    </dxf>
    <dxf>
      <font>
        <color theme="0"/>
      </font>
    </dxf>
    <dxf>
      <fill>
        <patternFill>
          <bgColor rgb="FFFF0000"/>
        </patternFill>
      </fill>
    </dxf>
    <dxf>
      <font>
        <b/>
        <i val="0"/>
        <color rgb="FFFF0000"/>
      </font>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5700"/>
      </font>
      <fill>
        <patternFill>
          <bgColor rgb="FFFFF8D9"/>
        </patternFill>
      </fill>
    </dxf>
    <dxf>
      <font>
        <color rgb="FF006100"/>
      </font>
      <fill>
        <patternFill>
          <bgColor rgb="FFE8F8EB"/>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dxf>
    <dxf>
      <font>
        <color theme="0"/>
      </font>
    </dxf>
    <dxf>
      <fill>
        <patternFill>
          <bgColor rgb="FFFF0000"/>
        </patternFill>
      </fill>
    </dxf>
    <dxf>
      <fill>
        <patternFill>
          <bgColor rgb="FFFF0000"/>
        </patternFill>
      </fill>
    </dxf>
    <dxf>
      <fill>
        <patternFill>
          <bgColor rgb="FFFF0000"/>
        </patternFill>
      </fill>
    </dxf>
    <dxf>
      <font>
        <color theme="0"/>
      </font>
    </dxf>
    <dxf>
      <font>
        <color theme="0"/>
      </font>
    </dxf>
    <dxf>
      <font>
        <color theme="0"/>
      </font>
    </dxf>
    <dxf>
      <fill>
        <patternFill>
          <bgColor rgb="FFFF0000"/>
        </patternFill>
      </fill>
    </dxf>
    <dxf>
      <font>
        <b/>
        <i val="0"/>
        <color rgb="FFFF0000"/>
      </font>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5700"/>
      </font>
      <fill>
        <patternFill>
          <bgColor rgb="FFFFF8D9"/>
        </patternFill>
      </fill>
    </dxf>
    <dxf>
      <font>
        <color rgb="FF006100"/>
      </font>
      <fill>
        <patternFill>
          <bgColor rgb="FFE8F8EB"/>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dxf>
    <dxf>
      <font>
        <color theme="0"/>
      </font>
    </dxf>
    <dxf>
      <fill>
        <patternFill>
          <bgColor rgb="FFFF0000"/>
        </patternFill>
      </fill>
    </dxf>
    <dxf>
      <fill>
        <patternFill>
          <bgColor rgb="FFFF0000"/>
        </patternFill>
      </fill>
    </dxf>
    <dxf>
      <fill>
        <patternFill>
          <bgColor rgb="FFFF0000"/>
        </patternFill>
      </fill>
    </dxf>
    <dxf>
      <font>
        <color theme="0"/>
      </font>
    </dxf>
    <dxf>
      <font>
        <color theme="0"/>
      </font>
    </dxf>
    <dxf>
      <font>
        <color theme="0"/>
      </font>
    </dxf>
    <dxf>
      <fill>
        <patternFill>
          <bgColor rgb="FFFF0000"/>
        </patternFill>
      </fill>
    </dxf>
    <dxf>
      <font>
        <b/>
        <i val="0"/>
        <color rgb="FFFF0000"/>
      </font>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5700"/>
      </font>
      <fill>
        <patternFill>
          <bgColor rgb="FFFFF8D9"/>
        </patternFill>
      </fill>
    </dxf>
    <dxf>
      <font>
        <color rgb="FF006100"/>
      </font>
      <fill>
        <patternFill>
          <bgColor rgb="FFE8F8EB"/>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dxf>
    <dxf>
      <font>
        <color theme="0"/>
      </font>
    </dxf>
    <dxf>
      <fill>
        <patternFill>
          <bgColor rgb="FFFF0000"/>
        </patternFill>
      </fill>
    </dxf>
    <dxf>
      <fill>
        <patternFill>
          <bgColor rgb="FFFF0000"/>
        </patternFill>
      </fill>
    </dxf>
    <dxf>
      <fill>
        <patternFill>
          <bgColor rgb="FFFF0000"/>
        </patternFill>
      </fill>
    </dxf>
    <dxf>
      <font>
        <color theme="0"/>
      </font>
    </dxf>
    <dxf>
      <font>
        <color theme="0"/>
      </font>
    </dxf>
    <dxf>
      <font>
        <color theme="0"/>
      </font>
    </dxf>
    <dxf>
      <fill>
        <patternFill>
          <bgColor rgb="FFFF0000"/>
        </patternFill>
      </fill>
    </dxf>
    <dxf>
      <font>
        <b/>
        <i val="0"/>
        <color rgb="FFFF0000"/>
      </font>
    </dxf>
    <dxf>
      <font>
        <color rgb="FFFF0000"/>
      </font>
      <fill>
        <patternFill>
          <bgColor rgb="FFFF0000"/>
        </patternFill>
      </fill>
    </dxf>
    <dxf>
      <font>
        <b/>
        <i val="0"/>
        <color rgb="FFFF0000"/>
      </font>
    </dxf>
    <dxf>
      <font>
        <b val="0"/>
        <i val="0"/>
        <strike val="0"/>
        <condense val="0"/>
        <extend val="0"/>
        <outline val="0"/>
        <shadow val="0"/>
        <u val="none"/>
        <vertAlign val="baseline"/>
        <sz val="9"/>
        <color theme="1"/>
        <name val="Calibri"/>
        <scheme val="minor"/>
      </font>
      <alignment horizontal="center" vertical="bottom" textRotation="0" wrapText="0" indent="0" justifyLastLine="0" shrinkToFit="0" readingOrder="0"/>
      <border diagonalUp="0" diagonalDown="0">
        <left/>
        <right/>
        <top style="thin">
          <color theme="2" tint="-0.249977111117893"/>
        </top>
        <bottom style="thin">
          <color theme="2" tint="-0.249977111117893"/>
        </bottom>
        <vertical style="thin">
          <color theme="2" tint="-0.249977111117893"/>
        </vertical>
        <horizontal style="thin">
          <color theme="2" tint="-0.249977111117893"/>
        </horizontal>
      </border>
      <protection locked="1" hidden="0"/>
    </dxf>
    <dxf>
      <border>
        <top style="thin">
          <color theme="2" tint="-0.249977111117893"/>
        </top>
      </border>
    </dxf>
    <dxf>
      <border diagonalUp="0" diagonalDown="0">
        <left style="thin">
          <color theme="2" tint="-0.249977111117893"/>
        </left>
        <right style="thin">
          <color theme="2" tint="-0.249977111117893"/>
        </right>
        <top style="thin">
          <color theme="2" tint="-0.249977111117893"/>
        </top>
        <bottom style="thin">
          <color theme="2" tint="-0.249977111117893"/>
        </bottom>
      </border>
    </dxf>
    <dxf>
      <font>
        <b val="0"/>
        <i val="0"/>
        <strike val="0"/>
        <condense val="0"/>
        <extend val="0"/>
        <outline val="0"/>
        <shadow val="0"/>
        <u val="none"/>
        <vertAlign val="baseline"/>
        <sz val="9"/>
        <color theme="1"/>
        <name val="Calibri"/>
        <scheme val="minor"/>
      </font>
      <alignment horizontal="center" vertical="bottom" textRotation="0" wrapText="0" indent="0" justifyLastLine="0" shrinkToFit="0" readingOrder="0"/>
      <protection locked="1" hidden="0"/>
    </dxf>
    <dxf>
      <border>
        <bottom style="thin">
          <color theme="2" tint="-0.249977111117893"/>
        </bottom>
      </border>
    </dxf>
    <dxf>
      <font>
        <b/>
        <i val="0"/>
        <strike val="0"/>
        <condense val="0"/>
        <extend val="0"/>
        <outline val="0"/>
        <shadow val="0"/>
        <u val="none"/>
        <vertAlign val="baseline"/>
        <sz val="11"/>
        <color auto="1"/>
        <name val="Calibri"/>
        <scheme val="minor"/>
      </font>
      <fill>
        <patternFill patternType="solid">
          <fgColor theme="6"/>
          <bgColor theme="0" tint="-0.14999847407452621"/>
        </patternFill>
      </fill>
      <alignment horizontal="center" vertical="center" textRotation="0" wrapText="0" indent="0" justifyLastLine="0" shrinkToFit="0" readingOrder="0"/>
      <border diagonalUp="0" diagonalDown="0">
        <left style="thin">
          <color theme="2" tint="-0.249977111117893"/>
        </left>
        <right style="thin">
          <color theme="2" tint="-0.249977111117893"/>
        </right>
        <top/>
        <bottom/>
        <vertical style="thin">
          <color theme="2" tint="-0.249977111117893"/>
        </vertical>
        <horizontal style="thin">
          <color theme="2" tint="-0.249977111117893"/>
        </horizontal>
      </border>
      <protection locked="1" hidden="0"/>
    </dxf>
    <dxf>
      <font>
        <b val="0"/>
        <i val="0"/>
        <strike val="0"/>
        <condense val="0"/>
        <extend val="0"/>
        <outline val="0"/>
        <shadow val="0"/>
        <u val="none"/>
        <vertAlign val="baseline"/>
        <sz val="9"/>
        <color theme="1"/>
        <name val="Calibri"/>
        <scheme val="minor"/>
      </font>
      <alignment horizontal="center" vertical="bottom" textRotation="0" wrapText="0" indent="0" justifyLastLine="0" shrinkToFit="0" readingOrder="0"/>
      <border diagonalUp="0" diagonalDown="0">
        <left/>
        <right/>
        <top style="thin">
          <color theme="2" tint="-0.249977111117893"/>
        </top>
        <bottom style="thin">
          <color theme="2" tint="-0.249977111117893"/>
        </bottom>
        <vertical style="thin">
          <color theme="2" tint="-0.249977111117893"/>
        </vertical>
        <horizontal style="thin">
          <color theme="2" tint="-0.249977111117893"/>
        </horizontal>
      </border>
      <protection locked="1" hidden="0"/>
    </dxf>
    <dxf>
      <border>
        <top style="thin">
          <color theme="2" tint="-0.249977111117893"/>
        </top>
      </border>
    </dxf>
    <dxf>
      <border diagonalUp="0" diagonalDown="0">
        <left style="thin">
          <color theme="2" tint="-0.249977111117893"/>
        </left>
        <right style="thin">
          <color theme="2" tint="-0.249977111117893"/>
        </right>
        <top style="thin">
          <color theme="2" tint="-0.249977111117893"/>
        </top>
        <bottom style="thin">
          <color theme="2" tint="-0.249977111117893"/>
        </bottom>
      </border>
    </dxf>
    <dxf>
      <font>
        <b val="0"/>
        <i val="0"/>
        <strike val="0"/>
        <condense val="0"/>
        <extend val="0"/>
        <outline val="0"/>
        <shadow val="0"/>
        <u val="none"/>
        <vertAlign val="baseline"/>
        <sz val="9"/>
        <color theme="1"/>
        <name val="Calibri"/>
        <scheme val="minor"/>
      </font>
      <alignment horizontal="center" vertical="bottom" textRotation="0" wrapText="0" indent="0" justifyLastLine="0" shrinkToFit="0" readingOrder="0"/>
      <protection locked="1" hidden="0"/>
    </dxf>
    <dxf>
      <border>
        <bottom style="thin">
          <color theme="2" tint="-0.249977111117893"/>
        </bottom>
      </border>
    </dxf>
    <dxf>
      <font>
        <b/>
        <i val="0"/>
        <strike val="0"/>
        <condense val="0"/>
        <extend val="0"/>
        <outline val="0"/>
        <shadow val="0"/>
        <u val="none"/>
        <vertAlign val="baseline"/>
        <sz val="11"/>
        <color auto="1"/>
        <name val="Calibri"/>
        <scheme val="minor"/>
      </font>
      <fill>
        <patternFill patternType="solid">
          <fgColor theme="6"/>
          <bgColor theme="0" tint="-0.14999847407452621"/>
        </patternFill>
      </fill>
      <alignment horizontal="center" vertical="center" textRotation="0" wrapText="1" indent="0" justifyLastLine="0" shrinkToFit="0" readingOrder="0"/>
      <border diagonalUp="0" diagonalDown="0">
        <left style="thin">
          <color theme="2" tint="-0.249977111117893"/>
        </left>
        <right style="thin">
          <color theme="2" tint="-0.249977111117893"/>
        </right>
        <top/>
        <bottom/>
        <vertical style="thin">
          <color theme="2" tint="-0.249977111117893"/>
        </vertical>
        <horizontal style="thin">
          <color theme="2" tint="-0.249977111117893"/>
        </horizontal>
      </border>
      <protection locked="1" hidden="0"/>
    </dxf>
    <dxf>
      <fill>
        <patternFill patternType="none"/>
      </fill>
      <protection locked="0" hidden="0"/>
    </dxf>
    <dxf>
      <protection locked="1" hidden="0"/>
    </dxf>
    <dxf>
      <protection locked="1" hidden="0"/>
    </dxf>
    <dxf>
      <protection locked="1" hidden="0"/>
    </dxf>
    <dxf>
      <fill>
        <patternFill patternType="none"/>
      </fill>
      <protection locked="0" hidden="0"/>
    </dxf>
    <dxf>
      <protection locked="1" hidden="0"/>
    </dxf>
    <dxf>
      <protection locked="1" hidden="0"/>
    </dxf>
    <dxf>
      <protection locked="1" hidden="0"/>
    </dxf>
    <dxf>
      <fill>
        <patternFill patternType="none"/>
      </fill>
      <protection locked="0" hidden="0"/>
    </dxf>
    <dxf>
      <protection locked="1" hidden="0"/>
    </dxf>
    <dxf>
      <protection locked="1" hidden="0"/>
    </dxf>
    <dxf>
      <protection locked="1" hidden="0"/>
    </dxf>
    <dxf>
      <fill>
        <patternFill patternType="none"/>
      </fill>
      <protection locked="0" hidden="0"/>
    </dxf>
    <dxf>
      <protection locked="1" hidden="0"/>
    </dxf>
    <dxf>
      <protection locked="1" hidden="0"/>
    </dxf>
    <dxf>
      <protection locked="1" hidden="0"/>
    </dxf>
    <dxf>
      <fill>
        <patternFill patternType="none"/>
      </fill>
      <protection locked="0" hidden="0"/>
    </dxf>
    <dxf>
      <protection locked="1" hidden="0"/>
    </dxf>
    <dxf>
      <protection locked="1" hidden="0"/>
    </dxf>
    <dxf>
      <protection locked="1" hidden="0"/>
    </dxf>
    <dxf>
      <fill>
        <patternFill patternType="none"/>
      </fill>
      <protection locked="0" hidden="0"/>
    </dxf>
    <dxf>
      <protection locked="1" hidden="0"/>
    </dxf>
    <dxf>
      <protection locked="1" hidden="0"/>
    </dxf>
    <dxf>
      <protection locked="1" hidden="0"/>
    </dxf>
    <dxf>
      <fill>
        <patternFill patternType="none"/>
      </fill>
      <protection locked="0" hidden="0"/>
    </dxf>
    <dxf>
      <protection locked="1" hidden="0"/>
    </dxf>
    <dxf>
      <protection locked="1" hidden="0"/>
    </dxf>
    <dxf>
      <protection locked="1" hidden="0"/>
    </dxf>
    <dxf>
      <fill>
        <patternFill patternType="none"/>
      </fill>
      <protection locked="0" hidden="0"/>
    </dxf>
    <dxf>
      <protection locked="1" hidden="0"/>
    </dxf>
    <dxf>
      <protection locked="1" hidden="0"/>
    </dxf>
    <dxf>
      <protection locked="1" hidden="0"/>
    </dxf>
    <dxf>
      <fill>
        <patternFill patternType="none"/>
      </fill>
      <protection locked="0" hidden="0"/>
    </dxf>
    <dxf>
      <protection locked="1" hidden="0"/>
    </dxf>
    <dxf>
      <protection locked="1" hidden="0"/>
    </dxf>
    <dxf>
      <protection locked="1" hidden="0"/>
    </dxf>
    <dxf>
      <fill>
        <patternFill patternType="none"/>
      </fill>
      <protection locked="0" hidden="0"/>
    </dxf>
    <dxf>
      <protection locked="1" hidden="0"/>
    </dxf>
    <dxf>
      <protection locked="1" hidden="0"/>
    </dxf>
    <dxf>
      <protection locked="1" hidden="0"/>
    </dxf>
    <dxf>
      <fill>
        <patternFill patternType="none"/>
      </fill>
      <protection locked="0" hidden="0"/>
    </dxf>
    <dxf>
      <protection locked="1" hidden="0"/>
    </dxf>
    <dxf>
      <protection locked="1" hidden="0"/>
    </dxf>
    <dxf>
      <protection locked="1" hidden="0"/>
    </dxf>
    <dxf>
      <fill>
        <patternFill patternType="none"/>
      </fill>
      <protection locked="0" hidden="0"/>
    </dxf>
    <dxf>
      <protection locked="1" hidden="0"/>
    </dxf>
    <dxf>
      <protection locked="1" hidden="0"/>
    </dxf>
    <dxf>
      <protection locked="1" hidden="0"/>
    </dxf>
    <dxf>
      <font>
        <strike val="0"/>
        <outline val="0"/>
        <shadow val="0"/>
        <u val="none"/>
        <vertAlign val="baseline"/>
        <sz val="8"/>
        <color theme="1"/>
        <name val="Calibri"/>
        <scheme val="minor"/>
      </font>
      <alignment horizontal="left"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numFmt numFmtId="0" formatCode="General"/>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numFmt numFmtId="30" formatCode="@"/>
      <alignment horizontal="center" vertical="center" textRotation="0" indent="0" justifyLastLine="0" shrinkToFit="0" readingOrder="0"/>
      <protection locked="0" hidden="0"/>
    </dxf>
    <dxf>
      <alignment horizontal="center" vertical="bottom" textRotation="0" wrapText="0" indent="0" justifyLastLine="0" shrinkToFit="0" readingOrder="0"/>
      <protection locked="1" hidden="0"/>
    </dxf>
    <dxf>
      <font>
        <strike val="0"/>
        <outline val="0"/>
        <shadow val="0"/>
        <u val="none"/>
        <vertAlign val="baseline"/>
        <sz val="8"/>
        <color rgb="FF000000"/>
        <name val="Calibri"/>
        <scheme val="none"/>
      </font>
      <alignment vertical="center" textRotation="0" indent="0" justifyLastLine="0" shrinkToFit="0" readingOrder="0"/>
      <protection locked="1" hidden="0"/>
    </dxf>
    <dxf>
      <font>
        <strike val="0"/>
        <outline val="0"/>
        <shadow val="0"/>
        <u val="none"/>
        <vertAlign val="baseline"/>
        <sz val="8"/>
        <color theme="1"/>
        <name val="Calibri"/>
        <scheme val="minor"/>
      </font>
      <fill>
        <patternFill patternType="solid">
          <fgColor indexed="64"/>
          <bgColor theme="4" tint="0.79998168889431442"/>
        </patternFill>
      </fill>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numFmt numFmtId="0" formatCode="General"/>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numFmt numFmtId="30" formatCode="@"/>
      <alignment horizontal="center" vertical="center" textRotation="0" indent="0" justifyLastLine="0" shrinkToFit="0" readingOrder="0"/>
      <protection locked="0" hidden="0"/>
    </dxf>
    <dxf>
      <alignment horizontal="center" vertical="bottom" textRotation="0" wrapText="0" indent="0" justifyLastLine="0" shrinkToFit="0" readingOrder="0"/>
      <protection locked="1" hidden="0"/>
    </dxf>
    <dxf>
      <font>
        <strike val="0"/>
        <outline val="0"/>
        <shadow val="0"/>
        <u val="none"/>
        <vertAlign val="baseline"/>
        <sz val="8"/>
        <color rgb="FF000000"/>
        <name val="Calibri"/>
        <scheme val="none"/>
      </font>
      <alignment vertical="center" textRotation="0" indent="0" justifyLastLine="0" shrinkToFit="0" readingOrder="0"/>
      <protection locked="1" hidden="0"/>
    </dxf>
    <dxf>
      <font>
        <strike val="0"/>
        <outline val="0"/>
        <shadow val="0"/>
        <u val="none"/>
        <vertAlign val="baseline"/>
        <sz val="8"/>
        <color theme="1"/>
        <name val="Calibri"/>
        <scheme val="minor"/>
      </font>
      <fill>
        <patternFill patternType="solid">
          <fgColor indexed="64"/>
          <bgColor theme="4" tint="0.79998168889431442"/>
        </patternFill>
      </fill>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numFmt numFmtId="0" formatCode="General"/>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numFmt numFmtId="30" formatCode="@"/>
      <alignment horizontal="center" vertical="center" textRotation="0" indent="0" justifyLastLine="0" shrinkToFit="0" readingOrder="0"/>
      <protection locked="0" hidden="0"/>
    </dxf>
    <dxf>
      <alignment horizontal="center" vertical="bottom" textRotation="0" wrapText="0" indent="0" justifyLastLine="0" shrinkToFit="0" readingOrder="0"/>
      <protection locked="1" hidden="0"/>
    </dxf>
    <dxf>
      <font>
        <strike val="0"/>
        <outline val="0"/>
        <shadow val="0"/>
        <u val="none"/>
        <vertAlign val="baseline"/>
        <sz val="8"/>
        <color rgb="FF000000"/>
        <name val="Calibri"/>
        <scheme val="none"/>
      </font>
      <alignment vertical="center" textRotation="0" indent="0" justifyLastLine="0" shrinkToFit="0" readingOrder="0"/>
      <protection locked="1" hidden="0"/>
    </dxf>
    <dxf>
      <font>
        <strike val="0"/>
        <outline val="0"/>
        <shadow val="0"/>
        <u val="none"/>
        <vertAlign val="baseline"/>
        <sz val="8"/>
        <color theme="1"/>
        <name val="Calibri"/>
        <scheme val="minor"/>
      </font>
      <fill>
        <patternFill patternType="solid">
          <fgColor indexed="64"/>
          <bgColor theme="4" tint="0.79998168889431442"/>
        </patternFill>
      </fill>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numFmt numFmtId="0" formatCode="General"/>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numFmt numFmtId="30" formatCode="@"/>
      <alignment horizontal="center" vertical="center" textRotation="0" indent="0" justifyLastLine="0" shrinkToFit="0" readingOrder="0"/>
      <protection locked="0" hidden="0"/>
    </dxf>
    <dxf>
      <alignment horizontal="center" vertical="bottom" textRotation="0" wrapText="0" indent="0" justifyLastLine="0" shrinkToFit="0" readingOrder="0"/>
      <protection locked="1" hidden="0"/>
    </dxf>
    <dxf>
      <font>
        <strike val="0"/>
        <outline val="0"/>
        <shadow val="0"/>
        <u val="none"/>
        <vertAlign val="baseline"/>
        <sz val="8"/>
        <color rgb="FF000000"/>
        <name val="Calibri"/>
        <scheme val="none"/>
      </font>
      <alignment vertical="center" textRotation="0" indent="0" justifyLastLine="0" shrinkToFit="0" readingOrder="0"/>
      <protection locked="1" hidden="0"/>
    </dxf>
    <dxf>
      <font>
        <strike val="0"/>
        <outline val="0"/>
        <shadow val="0"/>
        <u val="none"/>
        <vertAlign val="baseline"/>
        <sz val="8"/>
        <color theme="1"/>
        <name val="Calibri"/>
        <scheme val="minor"/>
      </font>
      <fill>
        <patternFill patternType="solid">
          <fgColor indexed="64"/>
          <bgColor theme="4" tint="0.79998168889431442"/>
        </patternFill>
      </fill>
      <protection locked="1" hidden="0"/>
    </dxf>
    <dxf>
      <font>
        <strike val="0"/>
        <outline val="0"/>
        <shadow val="0"/>
        <u val="none"/>
        <vertAlign val="baseline"/>
        <sz val="8"/>
        <color theme="1"/>
        <name val="Calibri"/>
        <scheme val="minor"/>
      </font>
      <alignment horizontal="left"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numFmt numFmtId="0" formatCode="General"/>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numFmt numFmtId="30" formatCode="@"/>
      <alignment horizontal="center" vertical="center" textRotation="0" indent="0" justifyLastLine="0" shrinkToFit="0" readingOrder="0"/>
      <protection locked="0" hidden="0"/>
    </dxf>
    <dxf>
      <alignment horizontal="center" vertical="bottom" textRotation="0" wrapText="0" indent="0" justifyLastLine="0" shrinkToFit="0" readingOrder="0"/>
      <protection locked="1" hidden="0"/>
    </dxf>
    <dxf>
      <font>
        <strike val="0"/>
        <outline val="0"/>
        <shadow val="0"/>
        <u val="none"/>
        <vertAlign val="baseline"/>
        <sz val="8"/>
        <color rgb="FF000000"/>
        <name val="Calibri"/>
        <scheme val="none"/>
      </font>
      <alignment vertical="center" textRotation="0" indent="0" justifyLastLine="0" shrinkToFit="0" readingOrder="0"/>
      <protection locked="1" hidden="0"/>
    </dxf>
    <dxf>
      <font>
        <strike val="0"/>
        <outline val="0"/>
        <shadow val="0"/>
        <u val="none"/>
        <vertAlign val="baseline"/>
        <sz val="8"/>
        <color theme="1"/>
        <name val="Calibri"/>
        <scheme val="minor"/>
      </font>
      <fill>
        <patternFill patternType="solid">
          <fgColor indexed="64"/>
          <bgColor theme="4" tint="0.79998168889431442"/>
        </patternFill>
      </fill>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numFmt numFmtId="0" formatCode="General"/>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numFmt numFmtId="30" formatCode="@"/>
      <alignment horizontal="center" vertical="center" textRotation="0" indent="0" justifyLastLine="0" shrinkToFit="0" readingOrder="0"/>
      <protection locked="0" hidden="0"/>
    </dxf>
    <dxf>
      <alignment horizontal="center" vertical="bottom" textRotation="0" wrapText="0" indent="0" justifyLastLine="0" shrinkToFit="0" readingOrder="0"/>
      <protection locked="1" hidden="0"/>
    </dxf>
    <dxf>
      <font>
        <strike val="0"/>
        <outline val="0"/>
        <shadow val="0"/>
        <u val="none"/>
        <vertAlign val="baseline"/>
        <sz val="8"/>
        <color rgb="FF000000"/>
        <name val="Calibri"/>
        <scheme val="none"/>
      </font>
      <alignment vertical="center" textRotation="0" indent="0" justifyLastLine="0" shrinkToFit="0" readingOrder="0"/>
      <protection locked="1" hidden="0"/>
    </dxf>
    <dxf>
      <font>
        <strike val="0"/>
        <outline val="0"/>
        <shadow val="0"/>
        <u val="none"/>
        <vertAlign val="baseline"/>
        <sz val="8"/>
        <color theme="1"/>
        <name val="Calibri"/>
        <scheme val="minor"/>
      </font>
      <fill>
        <patternFill patternType="solid">
          <fgColor indexed="64"/>
          <bgColor theme="4" tint="0.79998168889431442"/>
        </patternFill>
      </fill>
      <protection locked="1" hidden="0"/>
    </dxf>
    <dxf>
      <font>
        <strike val="0"/>
        <outline val="0"/>
        <shadow val="0"/>
        <u val="none"/>
        <vertAlign val="baseline"/>
        <sz val="8"/>
        <color theme="1"/>
        <name val="Calibri"/>
        <scheme val="minor"/>
      </font>
      <alignment horizontal="left"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numFmt numFmtId="0" formatCode="General"/>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numFmt numFmtId="30" formatCode="@"/>
      <alignment horizontal="center" vertical="center" textRotation="0" indent="0" justifyLastLine="0" shrinkToFit="0" readingOrder="0"/>
      <protection locked="0" hidden="0"/>
    </dxf>
    <dxf>
      <alignment horizontal="center" vertical="bottom" textRotation="0" wrapText="0" indent="0" justifyLastLine="0" shrinkToFit="0" readingOrder="0"/>
      <protection locked="1" hidden="0"/>
    </dxf>
    <dxf>
      <font>
        <strike val="0"/>
        <outline val="0"/>
        <shadow val="0"/>
        <u val="none"/>
        <vertAlign val="baseline"/>
        <sz val="8"/>
        <color rgb="FF000000"/>
        <name val="Calibri"/>
        <scheme val="none"/>
      </font>
      <alignment vertical="center" textRotation="0" indent="0" justifyLastLine="0" shrinkToFit="0" readingOrder="0"/>
      <protection locked="1" hidden="0"/>
    </dxf>
    <dxf>
      <font>
        <strike val="0"/>
        <outline val="0"/>
        <shadow val="0"/>
        <u val="none"/>
        <vertAlign val="baseline"/>
        <sz val="8"/>
        <color theme="1"/>
        <name val="Calibri"/>
        <scheme val="minor"/>
      </font>
      <fill>
        <patternFill patternType="solid">
          <fgColor indexed="64"/>
          <bgColor theme="4" tint="0.79998168889431442"/>
        </patternFill>
      </fill>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numFmt numFmtId="0" formatCode="General"/>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numFmt numFmtId="30" formatCode="@"/>
      <alignment horizontal="center" vertical="center" textRotation="0" indent="0" justifyLastLine="0" shrinkToFit="0" readingOrder="0"/>
      <protection locked="0" hidden="0"/>
    </dxf>
    <dxf>
      <alignment horizontal="center" vertical="bottom" textRotation="0" wrapText="0" indent="0" justifyLastLine="0" shrinkToFit="0" readingOrder="0"/>
      <protection locked="1" hidden="0"/>
    </dxf>
    <dxf>
      <font>
        <strike val="0"/>
        <outline val="0"/>
        <shadow val="0"/>
        <u val="none"/>
        <vertAlign val="baseline"/>
        <sz val="8"/>
        <color rgb="FF000000"/>
        <name val="Calibri"/>
        <scheme val="none"/>
      </font>
      <alignment vertical="center" textRotation="0" indent="0" justifyLastLine="0" shrinkToFit="0" readingOrder="0"/>
      <protection locked="1" hidden="0"/>
    </dxf>
    <dxf>
      <font>
        <strike val="0"/>
        <outline val="0"/>
        <shadow val="0"/>
        <u val="none"/>
        <vertAlign val="baseline"/>
        <sz val="8"/>
        <color theme="1"/>
        <name val="Calibri"/>
        <scheme val="minor"/>
      </font>
      <fill>
        <patternFill patternType="solid">
          <fgColor indexed="64"/>
          <bgColor theme="4" tint="0.79998168889431442"/>
        </patternFill>
      </fill>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numFmt numFmtId="0" formatCode="General"/>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numFmt numFmtId="30" formatCode="@"/>
      <alignment horizontal="center" vertical="center" textRotation="0" indent="0" justifyLastLine="0" shrinkToFit="0" readingOrder="0"/>
      <protection locked="0" hidden="0"/>
    </dxf>
    <dxf>
      <alignment horizontal="center" vertical="bottom" textRotation="0" wrapText="0" indent="0" justifyLastLine="0" shrinkToFit="0" readingOrder="0"/>
      <protection locked="1" hidden="0"/>
    </dxf>
    <dxf>
      <font>
        <strike val="0"/>
        <outline val="0"/>
        <shadow val="0"/>
        <u val="none"/>
        <vertAlign val="baseline"/>
        <sz val="8"/>
        <color rgb="FF000000"/>
        <name val="Calibri"/>
        <scheme val="none"/>
      </font>
      <alignment vertical="center" textRotation="0" indent="0" justifyLastLine="0" shrinkToFit="0" readingOrder="0"/>
      <protection locked="1" hidden="0"/>
    </dxf>
    <dxf>
      <font>
        <strike val="0"/>
        <outline val="0"/>
        <shadow val="0"/>
        <u val="none"/>
        <vertAlign val="baseline"/>
        <sz val="8"/>
        <color theme="1"/>
        <name val="Calibri"/>
        <scheme val="minor"/>
      </font>
      <fill>
        <patternFill patternType="solid">
          <fgColor indexed="64"/>
          <bgColor theme="4" tint="0.79998168889431442"/>
        </patternFill>
      </fill>
      <protection locked="1" hidden="0"/>
    </dxf>
    <dxf>
      <font>
        <strike val="0"/>
        <outline val="0"/>
        <shadow val="0"/>
        <u val="none"/>
        <vertAlign val="baseline"/>
        <sz val="8"/>
        <color theme="1"/>
        <name val="Calibri"/>
        <scheme val="minor"/>
      </font>
      <alignment horizontal="left"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numFmt numFmtId="0" formatCode="General"/>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numFmt numFmtId="30" formatCode="@"/>
      <alignment horizontal="center" vertical="center" textRotation="0" indent="0" justifyLastLine="0" shrinkToFit="0" readingOrder="0"/>
      <protection locked="0" hidden="0"/>
    </dxf>
    <dxf>
      <alignment horizontal="center" vertical="bottom" textRotation="0" wrapText="0" indent="0" justifyLastLine="0" shrinkToFit="0" readingOrder="0"/>
      <protection locked="1" hidden="0"/>
    </dxf>
    <dxf>
      <font>
        <strike val="0"/>
        <outline val="0"/>
        <shadow val="0"/>
        <u val="none"/>
        <vertAlign val="baseline"/>
        <sz val="8"/>
        <color rgb="FF000000"/>
        <name val="Calibri"/>
        <scheme val="none"/>
      </font>
      <alignment vertical="center" textRotation="0" indent="0" justifyLastLine="0" shrinkToFit="0" readingOrder="0"/>
      <protection locked="1" hidden="0"/>
    </dxf>
    <dxf>
      <font>
        <strike val="0"/>
        <outline val="0"/>
        <shadow val="0"/>
        <u val="none"/>
        <vertAlign val="baseline"/>
        <sz val="8"/>
        <color theme="1"/>
        <name val="Calibri"/>
        <scheme val="minor"/>
      </font>
      <fill>
        <patternFill patternType="solid">
          <fgColor indexed="64"/>
          <bgColor theme="4" tint="0.79998168889431442"/>
        </patternFill>
      </fill>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numFmt numFmtId="0" formatCode="General"/>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numFmt numFmtId="30" formatCode="@"/>
      <alignment horizontal="center" vertical="center" textRotation="0" indent="0" justifyLastLine="0" shrinkToFit="0" readingOrder="0"/>
      <protection locked="0" hidden="0"/>
    </dxf>
    <dxf>
      <alignment horizontal="center" vertical="bottom" textRotation="0" wrapText="0" indent="0" justifyLastLine="0" shrinkToFit="0" readingOrder="0"/>
      <protection locked="1" hidden="0"/>
    </dxf>
    <dxf>
      <font>
        <strike val="0"/>
        <outline val="0"/>
        <shadow val="0"/>
        <u val="none"/>
        <vertAlign val="baseline"/>
        <sz val="8"/>
        <color rgb="FF000000"/>
        <name val="Calibri"/>
        <scheme val="none"/>
      </font>
      <alignment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fill>
        <patternFill patternType="solid">
          <fgColor indexed="64"/>
          <bgColor theme="0"/>
        </patternFill>
      </fill>
      <alignment horizontal="center" vertical="center" textRotation="0" wrapText="1" indent="0" justifyLastLine="0" shrinkToFit="0" readingOrder="0"/>
      <protection locked="1" hidden="0"/>
    </dxf>
    <dxf>
      <font>
        <strike val="0"/>
        <outline val="0"/>
        <shadow val="0"/>
        <u val="none"/>
        <vertAlign val="baseline"/>
        <sz val="8"/>
        <color theme="1"/>
        <name val="Calibri"/>
        <scheme val="minor"/>
      </font>
      <alignment horizontal="left"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numFmt numFmtId="0" formatCode="General"/>
      <fill>
        <patternFill patternType="solid">
          <fgColor indexed="64"/>
          <bgColor rgb="FFF7F7F7"/>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Calibri"/>
        <scheme val="minor"/>
      </font>
      <numFmt numFmtId="166" formatCode="mm/dd/yyyy"/>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alignment horizontal="left" vertical="center" textRotation="0" indent="0" justifyLastLine="0" shrinkToFit="0" readingOrder="0"/>
      <protection locked="0" hidden="0"/>
    </dxf>
    <dxf>
      <font>
        <b val="0"/>
        <i val="0"/>
        <strike val="0"/>
        <condense val="0"/>
        <extend val="0"/>
        <outline val="0"/>
        <shadow val="0"/>
        <u val="none"/>
        <vertAlign val="baseline"/>
        <sz val="8"/>
        <color theme="1"/>
        <name val="Calibri"/>
        <scheme val="minor"/>
      </font>
      <alignment horizontal="center" vertical="bottom" textRotation="0" wrapText="0" indent="0" justifyLastLine="0" shrinkToFit="0" readingOrder="0"/>
    </dxf>
    <dxf>
      <font>
        <strike val="0"/>
        <outline val="0"/>
        <shadow val="0"/>
        <u val="none"/>
        <vertAlign val="baseline"/>
        <sz val="8"/>
        <color theme="1"/>
        <name val="Calibri"/>
        <scheme val="minor"/>
      </font>
      <numFmt numFmtId="30" formatCode="@"/>
      <alignment horizontal="center" vertical="center" textRotation="0" indent="0" justifyLastLine="0" shrinkToFit="0" readingOrder="0"/>
      <protection locked="0" hidden="0"/>
    </dxf>
    <dxf>
      <alignment horizontal="center" vertical="bottom" textRotation="0" wrapText="0" indent="0" justifyLastLine="0" shrinkToFit="0" readingOrder="0"/>
      <protection locked="1" hidden="0"/>
    </dxf>
    <dxf>
      <font>
        <strike val="0"/>
        <outline val="0"/>
        <shadow val="0"/>
        <u val="none"/>
        <vertAlign val="baseline"/>
        <sz val="8"/>
        <color theme="1"/>
        <name val="Calibri"/>
        <scheme val="minor"/>
      </font>
      <alignment vertical="center" textRotation="0" indent="0" justifyLastLine="0" shrinkToFit="0" readingOrder="0"/>
      <protection locked="1" hidden="0"/>
    </dxf>
    <dxf>
      <font>
        <strike val="0"/>
        <outline val="0"/>
        <shadow val="0"/>
        <u val="none"/>
        <vertAlign val="baseline"/>
        <sz val="8"/>
        <color theme="1"/>
        <name val="Calibri"/>
        <scheme val="minor"/>
      </font>
      <fill>
        <patternFill patternType="solid">
          <fgColor indexed="64"/>
          <bgColor theme="4" tint="0.79998168889431442"/>
        </patternFill>
      </fill>
      <protection locked="1" hidden="0"/>
    </dxf>
    <dxf>
      <font>
        <b val="0"/>
        <i val="0"/>
        <strike val="0"/>
        <condense val="0"/>
        <extend val="0"/>
        <outline val="0"/>
        <shadow val="0"/>
        <u val="none"/>
        <vertAlign val="baseline"/>
        <sz val="8"/>
        <color theme="1"/>
        <name val="Calibri"/>
        <scheme val="minor"/>
      </font>
      <fill>
        <patternFill patternType="solid">
          <fgColor indexed="64"/>
          <bgColor theme="0" tint="-4.9989318521683403E-2"/>
        </patternFill>
      </fill>
      <alignment horizontal="center" vertical="bottom" textRotation="0" wrapText="0" indent="0" justifyLastLine="0" shrinkToFit="0" readingOrder="0"/>
      <protection locked="1" hidden="0"/>
    </dxf>
    <dxf>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8"/>
        <color theme="1"/>
        <name val="Calibri"/>
        <scheme val="minor"/>
      </font>
      <fill>
        <patternFill patternType="solid">
          <fgColor indexed="64"/>
          <bgColor theme="0" tint="-4.9989318521683403E-2"/>
        </patternFill>
      </fill>
      <alignment horizontal="center" vertical="bottom" textRotation="0" wrapText="0" indent="0" justifyLastLine="0" shrinkToFit="0" readingOrder="0"/>
      <protection locked="1" hidden="0"/>
    </dxf>
    <dxf>
      <font>
        <b/>
        <i val="0"/>
        <strike val="0"/>
        <condense val="0"/>
        <extend val="0"/>
        <outline val="0"/>
        <shadow val="0"/>
        <u val="none"/>
        <vertAlign val="baseline"/>
        <sz val="11"/>
        <color theme="1"/>
        <name val="Calibri"/>
        <scheme val="minor"/>
      </font>
      <fill>
        <patternFill patternType="solid">
          <fgColor indexed="64"/>
          <bgColor theme="2" tint="-9.9978637043366805E-2"/>
        </patternFill>
      </fill>
      <alignment horizontal="center" vertical="center" textRotation="0" wrapText="1" indent="0" justifyLastLine="0" shrinkToFit="0" readingOrder="0"/>
      <protection locked="1" hidden="0"/>
    </dxf>
    <dxf>
      <font>
        <strike val="0"/>
        <outline val="0"/>
        <shadow val="0"/>
        <u val="none"/>
        <vertAlign val="baseline"/>
        <sz val="9"/>
        <color theme="1"/>
        <name val="Calibri"/>
        <scheme val="minor"/>
      </font>
      <numFmt numFmtId="30" formatCode="@"/>
      <alignment horizontal="center" vertical="bottom" textRotation="0" wrapText="0" indent="0" justifyLastLine="0" shrinkToFit="0" readingOrder="0"/>
      <protection locked="0" hidden="0"/>
    </dxf>
    <dxf>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strike val="0"/>
        <outline val="0"/>
        <shadow val="0"/>
        <u val="none"/>
        <vertAlign val="baseline"/>
        <sz val="9"/>
        <color theme="1"/>
        <name val="Calibri"/>
        <scheme val="minor"/>
      </font>
      <numFmt numFmtId="30" formatCode="@"/>
      <alignment horizontal="center" vertical="bottom" textRotation="0" wrapText="0" indent="0" justifyLastLine="0" shrinkToFit="0" readingOrder="0"/>
      <protection locked="0" hidden="0"/>
    </dxf>
    <dxf>
      <font>
        <b/>
        <strike val="0"/>
        <outline val="0"/>
        <shadow val="0"/>
        <u val="none"/>
        <vertAlign val="baseline"/>
        <sz val="11"/>
        <color theme="1"/>
        <name val="Calibri"/>
        <scheme val="minor"/>
      </font>
      <fill>
        <patternFill patternType="solid">
          <fgColor indexed="64"/>
          <bgColor theme="0" tint="-0.14999847407452621"/>
        </patternFill>
      </fill>
      <alignment horizontal="center" vertical="center" textRotation="0" wrapText="0" indent="0" justifyLastLine="0" shrinkToFit="0" readingOrder="0"/>
      <protection locked="0" hidden="0"/>
    </dxf>
    <dxf>
      <protection locked="1" hidden="0"/>
    </dxf>
    <dxf>
      <border diagonalUp="0" diagonalDown="0">
        <left style="thin">
          <color theme="0" tint="-0.34998626667073579"/>
        </left>
        <right style="thin">
          <color theme="0" tint="-0.34998626667073579"/>
        </right>
        <top style="thin">
          <color theme="0" tint="-0.34998626667073579"/>
        </top>
        <bottom style="thin">
          <color theme="0" tint="-0.34998626667073579"/>
        </bottom>
      </border>
    </dxf>
    <dxf>
      <protection locked="1" hidden="0"/>
    </dxf>
    <dxf>
      <protection locked="1" hidden="0"/>
    </dxf>
    <dxf>
      <font>
        <b val="0"/>
        <i val="0"/>
        <strike val="0"/>
        <condense val="0"/>
        <extend val="0"/>
        <outline val="0"/>
        <shadow val="0"/>
        <u val="none"/>
        <vertAlign val="baseline"/>
        <sz val="8"/>
        <color theme="1"/>
        <name val="Calibri"/>
        <scheme val="minor"/>
      </font>
      <fill>
        <patternFill patternType="solid">
          <fgColor indexed="64"/>
          <bgColor theme="0" tint="-4.9989318521683403E-2"/>
        </patternFill>
      </fill>
      <alignment horizontal="center" vertical="bottom" textRotation="0" wrapText="0" indent="0" justifyLastLine="0" shrinkToFit="0" readingOrder="0"/>
      <protection locked="1" hidden="0"/>
    </dxf>
    <dxf>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8"/>
        <color theme="1"/>
        <name val="Calibri"/>
        <scheme val="minor"/>
      </font>
      <fill>
        <patternFill patternType="solid">
          <fgColor indexed="64"/>
          <bgColor theme="0" tint="-4.9989318521683403E-2"/>
        </patternFill>
      </fill>
      <alignment horizontal="center" vertical="bottom" textRotation="0" wrapText="0" indent="0" justifyLastLine="0" shrinkToFit="0" readingOrder="0"/>
      <protection locked="1" hidden="0"/>
    </dxf>
    <dxf>
      <font>
        <b/>
        <i val="0"/>
        <strike val="0"/>
        <condense val="0"/>
        <extend val="0"/>
        <outline val="0"/>
        <shadow val="0"/>
        <u val="none"/>
        <vertAlign val="baseline"/>
        <sz val="11"/>
        <color theme="1"/>
        <name val="Calibri"/>
        <scheme val="minor"/>
      </font>
      <fill>
        <patternFill patternType="solid">
          <fgColor indexed="64"/>
          <bgColor theme="2" tint="-9.9978637043366805E-2"/>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8"/>
        <color theme="1"/>
        <name val="Calibri"/>
        <scheme val="minor"/>
      </font>
      <fill>
        <patternFill patternType="solid">
          <fgColor indexed="64"/>
          <bgColor theme="0" tint="-4.9989318521683403E-2"/>
        </patternFill>
      </fill>
      <alignment horizontal="center" vertical="bottom" textRotation="0" wrapText="0" indent="0" justifyLastLine="0" shrinkToFit="0" readingOrder="0"/>
      <border diagonalUp="0" diagonalDown="0">
        <left/>
        <right/>
        <top style="thin">
          <color theme="0" tint="-0.34998626667073579"/>
        </top>
        <bottom style="thin">
          <color theme="0" tint="-0.34998626667073579"/>
        </bottom>
        <vertical style="thin">
          <color theme="0" tint="-0.34998626667073579"/>
        </vertical>
        <horizontal style="thin">
          <color theme="0" tint="-0.34998626667073579"/>
        </horizontal>
      </border>
      <protection locked="1" hidden="0"/>
    </dxf>
    <dxf>
      <border>
        <top style="thin">
          <color theme="0" tint="-0.34998626667073579"/>
        </top>
      </border>
    </dxf>
    <dxf>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8"/>
        <color theme="1"/>
        <name val="Calibri"/>
        <scheme val="minor"/>
      </font>
      <fill>
        <patternFill patternType="solid">
          <fgColor indexed="64"/>
          <bgColor theme="0" tint="-4.9989318521683403E-2"/>
        </patternFill>
      </fill>
      <alignment horizontal="center" vertical="bottom" textRotation="0" wrapText="0" indent="0" justifyLastLine="0" shrinkToFit="0" readingOrder="0"/>
      <protection locked="1" hidden="0"/>
    </dxf>
    <dxf>
      <border>
        <bottom style="thin">
          <color theme="0" tint="-0.34998626667073579"/>
        </bottom>
      </border>
    </dxf>
    <dxf>
      <font>
        <b/>
        <i val="0"/>
        <strike val="0"/>
        <condense val="0"/>
        <extend val="0"/>
        <outline val="0"/>
        <shadow val="0"/>
        <u val="none"/>
        <vertAlign val="baseline"/>
        <sz val="11"/>
        <color theme="1"/>
        <name val="Calibri"/>
        <scheme val="minor"/>
      </font>
      <fill>
        <patternFill patternType="solid">
          <fgColor indexed="64"/>
          <bgColor theme="2" tint="-9.9978637043366805E-2"/>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bottom/>
        <vertical style="thin">
          <color theme="0" tint="-0.34998626667073579"/>
        </vertical>
        <horizontal style="thin">
          <color theme="0" tint="-0.34998626667073579"/>
        </horizontal>
      </border>
      <protection locked="1" hidden="0"/>
    </dxf>
    <dxf>
      <font>
        <b val="0"/>
        <i val="0"/>
        <strike val="0"/>
        <condense val="0"/>
        <extend val="0"/>
        <outline val="0"/>
        <shadow val="0"/>
        <u val="none"/>
        <vertAlign val="baseline"/>
        <sz val="8"/>
        <color theme="1"/>
        <name val="Calibri"/>
        <scheme val="minor"/>
      </font>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style="thin">
          <color theme="0" tint="-0.34998626667073579"/>
        </vertical>
        <horizontal style="thin">
          <color theme="0" tint="-0.34998626667073579"/>
        </horizontal>
      </border>
      <protection locked="1" hidden="0"/>
    </dxf>
    <dxf>
      <font>
        <b val="0"/>
        <i val="0"/>
        <strike val="0"/>
        <condense val="0"/>
        <extend val="0"/>
        <outline val="0"/>
        <shadow val="0"/>
        <u val="none"/>
        <vertAlign val="baseline"/>
        <sz val="8"/>
        <color theme="1"/>
        <name val="Calibri"/>
        <scheme val="minor"/>
      </font>
      <fill>
        <patternFill patternType="solid">
          <fgColor indexed="64"/>
          <bgColor theme="0" tint="-4.9989318521683403E-2"/>
        </patternFill>
      </fill>
      <alignment horizontal="center" vertical="bottom"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protection locked="1" hidden="0"/>
    </dxf>
    <dxf>
      <border>
        <top style="thin">
          <color theme="0" tint="-0.34998626667073579"/>
        </top>
      </border>
    </dxf>
    <dxf>
      <border diagonalUp="0" diagonalDown="0">
        <left style="thin">
          <color theme="0" tint="-0.34998626667073579"/>
        </left>
        <right style="thin">
          <color theme="0" tint="-0.34998626667073579"/>
        </right>
        <top style="thin">
          <color theme="0" tint="-0.34998626667073579"/>
        </top>
        <bottom style="thin">
          <color theme="0" tint="-0.34998626667073579"/>
        </bottom>
      </border>
    </dxf>
    <dxf>
      <protection locked="1" hidden="0"/>
    </dxf>
    <dxf>
      <border>
        <bottom style="thin">
          <color theme="0" tint="-0.34998626667073579"/>
        </bottom>
      </border>
    </dxf>
    <dxf>
      <font>
        <b/>
        <i val="0"/>
        <strike val="0"/>
        <condense val="0"/>
        <extend val="0"/>
        <outline val="0"/>
        <shadow val="0"/>
        <u val="none"/>
        <vertAlign val="baseline"/>
        <sz val="11"/>
        <color theme="1"/>
        <name val="Calibri"/>
        <scheme val="minor"/>
      </font>
      <fill>
        <patternFill patternType="solid">
          <fgColor indexed="64"/>
          <bgColor theme="2" tint="-9.9978637043366805E-2"/>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bottom/>
        <vertical style="thin">
          <color theme="0" tint="-0.34998626667073579"/>
        </vertical>
        <horizontal style="thin">
          <color theme="0" tint="-0.34998626667073579"/>
        </horizontal>
      </border>
      <protection locked="1" hidden="0"/>
    </dxf>
    <dxf>
      <font>
        <strike val="0"/>
        <outline val="0"/>
        <shadow val="0"/>
        <u val="none"/>
        <vertAlign val="baseline"/>
        <sz val="8"/>
        <color theme="1"/>
        <name val="Calibri"/>
        <scheme val="minor"/>
      </font>
      <numFmt numFmtId="30" formatCode="@"/>
      <alignment horizontal="center" vertical="bottom"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protection locked="0" hidden="0"/>
    </dxf>
    <dxf>
      <font>
        <strike val="0"/>
        <outline val="0"/>
        <shadow val="0"/>
        <u val="none"/>
        <vertAlign val="baseline"/>
        <sz val="8"/>
        <color theme="1"/>
        <name val="Calibri"/>
        <scheme val="minor"/>
      </font>
      <fill>
        <patternFill patternType="solid">
          <fgColor indexed="64"/>
          <bgColor theme="0" tint="-4.9989318521683403E-2"/>
        </patternFill>
      </fill>
      <alignment horizontal="center" vertical="bottom" textRotation="0" wrapText="0" indent="0" justifyLastLine="0" shrinkToFit="0" readingOrder="0"/>
      <border diagonalUp="0" diagonalDown="0" outline="0">
        <left/>
        <right style="thin">
          <color theme="0" tint="-0.34998626667073579"/>
        </right>
        <top style="thin">
          <color theme="0" tint="-0.34998626667073579"/>
        </top>
        <bottom style="thin">
          <color theme="0" tint="-0.34998626667073579"/>
        </bottom>
      </border>
      <protection locked="1" hidden="0"/>
    </dxf>
    <dxf>
      <border>
        <top style="thin">
          <color theme="0" tint="-0.34998626667073579"/>
        </top>
      </border>
    </dxf>
    <dxf>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strike val="0"/>
        <outline val="0"/>
        <shadow val="0"/>
        <u val="none"/>
        <vertAlign val="baseline"/>
        <sz val="8"/>
        <color theme="1"/>
        <name val="Calibri"/>
        <scheme val="minor"/>
      </font>
      <alignment horizontal="center" vertical="bottom" textRotation="0" wrapText="0" indent="0" justifyLastLine="0" shrinkToFit="0" readingOrder="0"/>
      <protection locked="1" hidden="0"/>
    </dxf>
    <dxf>
      <border>
        <bottom style="thin">
          <color theme="0" tint="-0.34998626667073579"/>
        </bottom>
      </border>
    </dxf>
    <dxf>
      <font>
        <b/>
        <strike val="0"/>
        <outline val="0"/>
        <shadow val="0"/>
        <u val="none"/>
        <vertAlign val="baseline"/>
        <sz val="11"/>
        <color theme="1"/>
        <name val="Calibri"/>
        <scheme val="minor"/>
      </font>
      <fill>
        <patternFill patternType="solid">
          <fgColor indexed="64"/>
          <bgColor theme="2" tint="-9.9978637043366805E-2"/>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bottom/>
      </border>
      <protection locked="1" hidden="0"/>
    </dxf>
    <dxf>
      <font>
        <strike val="0"/>
        <outline val="0"/>
        <shadow val="0"/>
        <u val="none"/>
        <vertAlign val="baseline"/>
        <sz val="9"/>
        <color theme="1"/>
        <name val="Calibri"/>
        <scheme val="minor"/>
      </font>
      <numFmt numFmtId="30" formatCode="@"/>
      <alignment horizontal="center" vertical="bottom" textRotation="0" wrapText="0" indent="0" justifyLastLine="0" shrinkToFit="0" readingOrder="0"/>
      <border diagonalUp="0" diagonalDown="0" outline="0">
        <left/>
        <right/>
        <top style="thin">
          <color theme="0" tint="-0.34998626667073579"/>
        </top>
        <bottom style="thin">
          <color theme="0" tint="-0.34998626667073579"/>
        </bottom>
      </border>
      <protection locked="0" hidden="0"/>
    </dxf>
    <dxf>
      <border>
        <top style="thin">
          <color theme="0" tint="-0.34998626667073579"/>
        </top>
      </border>
    </dxf>
    <dxf>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strike val="0"/>
        <outline val="0"/>
        <shadow val="0"/>
        <u val="none"/>
        <vertAlign val="baseline"/>
        <sz val="9"/>
        <color theme="1"/>
        <name val="Calibri"/>
        <scheme val="minor"/>
      </font>
      <numFmt numFmtId="30" formatCode="@"/>
      <alignment horizontal="center" vertical="bottom" textRotation="0" wrapText="0" indent="0" justifyLastLine="0" shrinkToFit="0" readingOrder="0"/>
      <protection locked="0" hidden="0"/>
    </dxf>
    <dxf>
      <border>
        <bottom style="thin">
          <color theme="0" tint="-0.34998626667073579"/>
        </bottom>
      </border>
    </dxf>
    <dxf>
      <font>
        <b/>
        <strike val="0"/>
        <outline val="0"/>
        <shadow val="0"/>
        <u val="none"/>
        <vertAlign val="baseline"/>
        <sz val="11"/>
        <color theme="1"/>
        <name val="Calibri"/>
        <scheme val="minor"/>
      </font>
      <fill>
        <patternFill patternType="solid">
          <fgColor indexed="64"/>
          <bgColor theme="0" tint="-0.14999847407452621"/>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bottom/>
      </border>
      <protection locked="0" hidden="0"/>
    </dxf>
    <dxf>
      <font>
        <strike val="0"/>
        <outline val="0"/>
        <shadow val="0"/>
        <u val="none"/>
        <vertAlign val="baseline"/>
        <sz val="9"/>
        <color theme="1"/>
        <name val="Calibri"/>
        <scheme val="minor"/>
      </font>
      <numFmt numFmtId="30" formatCode="@"/>
      <alignment horizontal="center" vertical="bottom" textRotation="0" wrapText="0" indent="0" justifyLastLine="0" shrinkToFit="0" readingOrder="0"/>
      <border diagonalUp="0" diagonalDown="0" outline="0">
        <left/>
        <right/>
        <top style="thin">
          <color theme="0" tint="-0.34998626667073579"/>
        </top>
        <bottom style="thin">
          <color theme="0" tint="-0.34998626667073579"/>
        </bottom>
      </border>
      <protection locked="0" hidden="0"/>
    </dxf>
    <dxf>
      <border>
        <top style="thin">
          <color theme="0" tint="-0.34998626667073579"/>
        </top>
      </border>
    </dxf>
    <dxf>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strike val="0"/>
        <outline val="0"/>
        <shadow val="0"/>
        <u val="none"/>
        <vertAlign val="baseline"/>
        <sz val="9"/>
        <color theme="1"/>
        <name val="Calibri"/>
        <scheme val="minor"/>
      </font>
      <numFmt numFmtId="30" formatCode="@"/>
      <alignment horizontal="center" vertical="bottom" textRotation="0" wrapText="0" indent="0" justifyLastLine="0" shrinkToFit="0" readingOrder="0"/>
      <protection locked="0" hidden="0"/>
    </dxf>
    <dxf>
      <border outline="0">
        <bottom style="thin">
          <color theme="0" tint="-0.34998626667073579"/>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alignment horizontal="center" vertical="center" textRotation="0" wrapText="1" indent="0" justifyLastLine="0" shrinkToFit="0" readingOrder="0"/>
      <protection locked="1" hidden="0"/>
    </dxf>
    <dxf>
      <font>
        <strike val="0"/>
        <outline val="0"/>
        <shadow val="0"/>
        <u val="none"/>
        <vertAlign val="baseline"/>
        <sz val="9"/>
        <color theme="1"/>
        <name val="Calibri"/>
        <scheme val="minor"/>
      </font>
      <numFmt numFmtId="30" formatCode="@"/>
      <alignment horizontal="center" vertical="bottom" textRotation="0" wrapText="0" indent="0" justifyLastLine="0" shrinkToFit="0" readingOrder="0"/>
      <border diagonalUp="0" diagonalDown="0" outline="0">
        <left/>
        <right/>
        <top style="thin">
          <color theme="0" tint="-0.34998626667073579"/>
        </top>
        <bottom style="thin">
          <color theme="0" tint="-0.34998626667073579"/>
        </bottom>
      </border>
      <protection locked="0" hidden="0"/>
    </dxf>
    <dxf>
      <border>
        <top style="thin">
          <color theme="0" tint="-0.34998626667073579"/>
        </top>
      </border>
    </dxf>
    <dxf>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strike val="0"/>
        <outline val="0"/>
        <shadow val="0"/>
        <u val="none"/>
        <vertAlign val="baseline"/>
        <sz val="9"/>
        <color theme="1"/>
        <name val="Calibri"/>
        <scheme val="minor"/>
      </font>
      <numFmt numFmtId="30" formatCode="@"/>
      <alignment horizontal="center" vertical="bottom" textRotation="0" wrapText="0" indent="0" justifyLastLine="0" shrinkToFit="0" readingOrder="0"/>
      <protection locked="0" hidden="0"/>
    </dxf>
    <dxf>
      <border>
        <bottom style="thin">
          <color theme="0" tint="-0.34998626667073579"/>
        </bottom>
      </border>
    </dxf>
    <dxf>
      <font>
        <b/>
        <strike val="0"/>
        <outline val="0"/>
        <shadow val="0"/>
        <u val="none"/>
        <vertAlign val="baseline"/>
        <sz val="11"/>
        <color theme="1"/>
        <name val="Calibri"/>
        <scheme val="minor"/>
      </font>
      <fill>
        <patternFill patternType="solid">
          <fgColor indexed="64"/>
          <bgColor theme="0" tint="-0.14999847407452621"/>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bottom/>
      </border>
      <protection locked="1" hidden="0"/>
    </dxf>
    <dxf>
      <border>
        <bottom style="thin">
          <color auto="1"/>
        </bottom>
      </border>
    </dxf>
    <dxf>
      <border>
        <top style="thin">
          <color theme="2" tint="-9.9948118533890809E-2"/>
        </top>
        <bottom style="thin">
          <color theme="2" tint="-9.9948118533890809E-2"/>
        </bottom>
      </border>
    </dxf>
    <dxf>
      <border>
        <top style="thin">
          <color theme="2" tint="-9.9948118533890809E-2"/>
        </top>
        <bottom style="thin">
          <color theme="2" tint="-9.9948118533890809E-2"/>
        </bottom>
      </border>
    </dxf>
    <dxf>
      <border>
        <right style="medium">
          <color theme="2" tint="-0.24994659260841701"/>
        </right>
      </border>
    </dxf>
    <dxf>
      <border>
        <left style="medium">
          <color theme="2" tint="-0.24994659260841701"/>
        </left>
      </border>
    </dxf>
    <dxf>
      <fill>
        <patternFill>
          <bgColor theme="2"/>
        </patternFill>
      </fill>
      <border>
        <left style="thin">
          <color theme="2" tint="-0.24994659260841701"/>
        </left>
        <right style="thin">
          <color theme="2" tint="-0.24994659260841701"/>
        </right>
        <top style="medium">
          <color theme="2" tint="-0.24994659260841701"/>
        </top>
        <bottom style="medium">
          <color theme="2" tint="-0.24994659260841701"/>
        </bottom>
      </border>
    </dxf>
    <dxf>
      <font>
        <b/>
        <i val="0"/>
        <color theme="1"/>
      </font>
      <fill>
        <patternFill>
          <bgColor theme="2"/>
        </patternFill>
      </fill>
      <border>
        <left style="thin">
          <color theme="2" tint="-0.24994659260841701"/>
        </left>
        <right style="thin">
          <color theme="2" tint="-0.24994659260841701"/>
        </right>
        <top style="medium">
          <color theme="2" tint="-0.24994659260841701"/>
        </top>
        <bottom style="medium">
          <color theme="2" tint="-0.24994659260841701"/>
        </bottom>
      </border>
    </dxf>
    <dxf>
      <border>
        <left style="medium">
          <color theme="2" tint="-9.9948118533890809E-2"/>
        </left>
        <right style="medium">
          <color theme="2" tint="-9.9948118533890809E-2"/>
        </right>
        <vertical style="medium">
          <color theme="2" tint="-9.9948118533890809E-2"/>
        </vertical>
      </border>
    </dxf>
  </dxfs>
  <tableStyles count="2" defaultTableStyle="TableStyleMedium2" defaultPivotStyle="PivotStyleLight16">
    <tableStyle name="Table Style 1" pivot="0" count="8" xr9:uid="{00000000-0011-0000-FFFF-FFFF00000000}">
      <tableStyleElement type="wholeTable" dxfId="1004"/>
      <tableStyleElement type="headerRow" dxfId="1003"/>
      <tableStyleElement type="totalRow" dxfId="1002"/>
      <tableStyleElement type="firstColumn" dxfId="1001"/>
      <tableStyleElement type="lastColumn" dxfId="1000"/>
      <tableStyleElement type="firstRowStripe" dxfId="999"/>
      <tableStyleElement type="secondRowStripe" dxfId="998"/>
      <tableStyleElement type="lastTotalCell" dxfId="997"/>
    </tableStyle>
    <tableStyle name="Table Style 2" pivot="0" count="0" xr9:uid="{00000000-0011-0000-FFFF-FFFF01000000}"/>
  </tableStyles>
  <colors>
    <mruColors>
      <color rgb="FFFF9900"/>
      <color rgb="FFFFCCCC"/>
      <color rgb="FFFFF8D9"/>
      <color rgb="FFE8F8EB"/>
      <color rgb="FFF7F7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2" Type="http://schemas.microsoft.com/office/2011/relationships/chartColorStyle" Target="colors62.xml"/><Relationship Id="rId1" Type="http://schemas.microsoft.com/office/2011/relationships/chartStyle" Target="style62.xml"/></Relationships>
</file>

<file path=xl/charts/_rels/chart63.xml.rels><?xml version="1.0" encoding="UTF-8" standalone="yes"?>
<Relationships xmlns="http://schemas.openxmlformats.org/package/2006/relationships"><Relationship Id="rId2" Type="http://schemas.microsoft.com/office/2011/relationships/chartColorStyle" Target="colors63.xml"/><Relationship Id="rId1" Type="http://schemas.microsoft.com/office/2011/relationships/chartStyle" Target="style63.xml"/></Relationships>
</file>

<file path=xl/charts/_rels/chart64.xml.rels><?xml version="1.0" encoding="UTF-8" standalone="yes"?>
<Relationships xmlns="http://schemas.openxmlformats.org/package/2006/relationships"><Relationship Id="rId2" Type="http://schemas.microsoft.com/office/2011/relationships/chartColorStyle" Target="colors64.xml"/><Relationship Id="rId1" Type="http://schemas.microsoft.com/office/2011/relationships/chartStyle" Target="style64.xml"/></Relationships>
</file>

<file path=xl/charts/_rels/chart65.xml.rels><?xml version="1.0" encoding="UTF-8" standalone="yes"?>
<Relationships xmlns="http://schemas.openxmlformats.org/package/2006/relationships"><Relationship Id="rId2" Type="http://schemas.microsoft.com/office/2011/relationships/chartColorStyle" Target="colors65.xml"/><Relationship Id="rId1" Type="http://schemas.microsoft.com/office/2011/relationships/chartStyle" Target="style65.xml"/></Relationships>
</file>

<file path=xl/charts/_rels/chart66.xml.rels><?xml version="1.0" encoding="UTF-8" standalone="yes"?>
<Relationships xmlns="http://schemas.openxmlformats.org/package/2006/relationships"><Relationship Id="rId2" Type="http://schemas.microsoft.com/office/2011/relationships/chartColorStyle" Target="colors66.xml"/><Relationship Id="rId1" Type="http://schemas.microsoft.com/office/2011/relationships/chartStyle" Target="style66.xml"/></Relationships>
</file>

<file path=xl/charts/_rels/chart67.xml.rels><?xml version="1.0" encoding="UTF-8" standalone="yes"?>
<Relationships xmlns="http://schemas.openxmlformats.org/package/2006/relationships"><Relationship Id="rId2" Type="http://schemas.microsoft.com/office/2011/relationships/chartColorStyle" Target="colors67.xml"/><Relationship Id="rId1" Type="http://schemas.microsoft.com/office/2011/relationships/chartStyle" Target="style67.xml"/></Relationships>
</file>

<file path=xl/charts/_rels/chart68.xml.rels><?xml version="1.0" encoding="UTF-8" standalone="yes"?>
<Relationships xmlns="http://schemas.openxmlformats.org/package/2006/relationships"><Relationship Id="rId2" Type="http://schemas.microsoft.com/office/2011/relationships/chartColorStyle" Target="colors68.xml"/><Relationship Id="rId1" Type="http://schemas.microsoft.com/office/2011/relationships/chartStyle" Target="style68.xml"/></Relationships>
</file>

<file path=xl/charts/_rels/chart69.xml.rels><?xml version="1.0" encoding="UTF-8" standalone="yes"?>
<Relationships xmlns="http://schemas.openxmlformats.org/package/2006/relationships"><Relationship Id="rId2" Type="http://schemas.microsoft.com/office/2011/relationships/chartColorStyle" Target="colors69.xml"/><Relationship Id="rId1" Type="http://schemas.microsoft.com/office/2011/relationships/chartStyle" Target="style69.xml"/></Relationships>
</file>

<file path=xl/charts/_rels/chart70.xml.rels><?xml version="1.0" encoding="UTF-8" standalone="yes"?>
<Relationships xmlns="http://schemas.openxmlformats.org/package/2006/relationships"><Relationship Id="rId2" Type="http://schemas.microsoft.com/office/2011/relationships/chartColorStyle" Target="colors70.xml"/><Relationship Id="rId1" Type="http://schemas.microsoft.com/office/2011/relationships/chartStyle" Target="style70.xml"/></Relationships>
</file>

<file path=xl/charts/_rels/chart71.xml.rels><?xml version="1.0" encoding="UTF-8" standalone="yes"?>
<Relationships xmlns="http://schemas.openxmlformats.org/package/2006/relationships"><Relationship Id="rId2" Type="http://schemas.microsoft.com/office/2011/relationships/chartColorStyle" Target="colors71.xml"/><Relationship Id="rId1" Type="http://schemas.microsoft.com/office/2011/relationships/chartStyle" Target="style71.xml"/></Relationships>
</file>

<file path=xl/charts/_rels/chart72.xml.rels><?xml version="1.0" encoding="UTF-8" standalone="yes"?>
<Relationships xmlns="http://schemas.openxmlformats.org/package/2006/relationships"><Relationship Id="rId2" Type="http://schemas.microsoft.com/office/2011/relationships/chartColorStyle" Target="colors72.xml"/><Relationship Id="rId1" Type="http://schemas.microsoft.com/office/2011/relationships/chartStyle" Target="style72.xml"/></Relationships>
</file>

<file path=xl/charts/_rels/chart73.xml.rels><?xml version="1.0" encoding="UTF-8" standalone="yes"?>
<Relationships xmlns="http://schemas.openxmlformats.org/package/2006/relationships"><Relationship Id="rId2" Type="http://schemas.microsoft.com/office/2011/relationships/chartColorStyle" Target="colors73.xml"/><Relationship Id="rId1" Type="http://schemas.microsoft.com/office/2011/relationships/chartStyle" Target="style73.xml"/></Relationships>
</file>

<file path=xl/charts/_rels/chart74.xml.rels><?xml version="1.0" encoding="UTF-8" standalone="yes"?>
<Relationships xmlns="http://schemas.openxmlformats.org/package/2006/relationships"><Relationship Id="rId2" Type="http://schemas.microsoft.com/office/2011/relationships/chartColorStyle" Target="colors74.xml"/><Relationship Id="rId1" Type="http://schemas.microsoft.com/office/2011/relationships/chartStyle" Target="style74.xml"/></Relationships>
</file>

<file path=xl/charts/_rels/chart75.xml.rels><?xml version="1.0" encoding="UTF-8" standalone="yes"?>
<Relationships xmlns="http://schemas.openxmlformats.org/package/2006/relationships"><Relationship Id="rId2" Type="http://schemas.microsoft.com/office/2011/relationships/chartColorStyle" Target="colors75.xml"/><Relationship Id="rId1" Type="http://schemas.microsoft.com/office/2011/relationships/chartStyle" Target="style75.xml"/></Relationships>
</file>

<file path=xl/charts/_rels/chart76.xml.rels><?xml version="1.0" encoding="UTF-8" standalone="yes"?>
<Relationships xmlns="http://schemas.openxmlformats.org/package/2006/relationships"><Relationship Id="rId2" Type="http://schemas.microsoft.com/office/2011/relationships/chartColorStyle" Target="colors76.xml"/><Relationship Id="rId1" Type="http://schemas.microsoft.com/office/2011/relationships/chartStyle" Target="style76.xml"/></Relationships>
</file>

<file path=xl/charts/_rels/chart77.xml.rels><?xml version="1.0" encoding="UTF-8" standalone="yes"?>
<Relationships xmlns="http://schemas.openxmlformats.org/package/2006/relationships"><Relationship Id="rId2" Type="http://schemas.microsoft.com/office/2011/relationships/chartColorStyle" Target="colors77.xml"/><Relationship Id="rId1" Type="http://schemas.microsoft.com/office/2011/relationships/chartStyle" Target="style77.xml"/></Relationships>
</file>

<file path=xl/charts/_rels/chart78.xml.rels><?xml version="1.0" encoding="UTF-8" standalone="yes"?>
<Relationships xmlns="http://schemas.openxmlformats.org/package/2006/relationships"><Relationship Id="rId2" Type="http://schemas.microsoft.com/office/2011/relationships/chartColorStyle" Target="colors78.xml"/><Relationship Id="rId1" Type="http://schemas.microsoft.com/office/2011/relationships/chartStyle" Target="style78.xml"/></Relationships>
</file>

<file path=xl/charts/_rels/chart79.xml.rels><?xml version="1.0" encoding="UTF-8" standalone="yes"?>
<Relationships xmlns="http://schemas.openxmlformats.org/package/2006/relationships"><Relationship Id="rId2" Type="http://schemas.microsoft.com/office/2011/relationships/chartColorStyle" Target="colors79.xml"/><Relationship Id="rId1" Type="http://schemas.microsoft.com/office/2011/relationships/chartStyle" Target="style79.xml"/></Relationships>
</file>

<file path=xl/charts/_rels/chart80.xml.rels><?xml version="1.0" encoding="UTF-8" standalone="yes"?>
<Relationships xmlns="http://schemas.openxmlformats.org/package/2006/relationships"><Relationship Id="rId2" Type="http://schemas.microsoft.com/office/2011/relationships/chartColorStyle" Target="colors80.xml"/><Relationship Id="rId1" Type="http://schemas.microsoft.com/office/2011/relationships/chartStyle" Target="style80.xml"/></Relationships>
</file>

<file path=xl/charts/_rels/chart81.xml.rels><?xml version="1.0" encoding="UTF-8" standalone="yes"?>
<Relationships xmlns="http://schemas.openxmlformats.org/package/2006/relationships"><Relationship Id="rId2" Type="http://schemas.microsoft.com/office/2011/relationships/chartColorStyle" Target="colors81.xml"/><Relationship Id="rId1" Type="http://schemas.microsoft.com/office/2011/relationships/chartStyle" Target="style81.xml"/></Relationships>
</file>

<file path=xl/charts/_rels/chart82.xml.rels><?xml version="1.0" encoding="UTF-8" standalone="yes"?>
<Relationships xmlns="http://schemas.openxmlformats.org/package/2006/relationships"><Relationship Id="rId2" Type="http://schemas.microsoft.com/office/2011/relationships/chartColorStyle" Target="colors82.xml"/><Relationship Id="rId1" Type="http://schemas.microsoft.com/office/2011/relationships/chartStyle" Target="style82.xml"/></Relationships>
</file>

<file path=xl/charts/_rels/chart83.xml.rels><?xml version="1.0" encoding="UTF-8" standalone="yes"?>
<Relationships xmlns="http://schemas.openxmlformats.org/package/2006/relationships"><Relationship Id="rId2" Type="http://schemas.microsoft.com/office/2011/relationships/chartColorStyle" Target="colors83.xml"/><Relationship Id="rId1" Type="http://schemas.microsoft.com/office/2011/relationships/chartStyle" Target="style83.xml"/></Relationships>
</file>

<file path=xl/charts/_rels/chart84.xml.rels><?xml version="1.0" encoding="UTF-8" standalone="yes"?>
<Relationships xmlns="http://schemas.openxmlformats.org/package/2006/relationships"><Relationship Id="rId2" Type="http://schemas.microsoft.com/office/2011/relationships/chartColorStyle" Target="colors84.xml"/><Relationship Id="rId1" Type="http://schemas.microsoft.com/office/2011/relationships/chartStyle" Target="style84.xml"/></Relationships>
</file>

<file path=xl/charts/_rels/chart85.xml.rels><?xml version="1.0" encoding="UTF-8" standalone="yes"?>
<Relationships xmlns="http://schemas.openxmlformats.org/package/2006/relationships"><Relationship Id="rId2" Type="http://schemas.microsoft.com/office/2011/relationships/chartColorStyle" Target="colors85.xml"/><Relationship Id="rId1" Type="http://schemas.microsoft.com/office/2011/relationships/chartStyle" Target="style85.xml"/></Relationships>
</file>

<file path=xl/charts/_rels/chart86.xml.rels><?xml version="1.0" encoding="UTF-8" standalone="yes"?>
<Relationships xmlns="http://schemas.openxmlformats.org/package/2006/relationships"><Relationship Id="rId2" Type="http://schemas.microsoft.com/office/2011/relationships/chartColorStyle" Target="colors86.xml"/><Relationship Id="rId1" Type="http://schemas.microsoft.com/office/2011/relationships/chartStyle" Target="style86.xml"/></Relationships>
</file>

<file path=xl/charts/_rels/chart87.xml.rels><?xml version="1.0" encoding="UTF-8" standalone="yes"?>
<Relationships xmlns="http://schemas.openxmlformats.org/package/2006/relationships"><Relationship Id="rId2" Type="http://schemas.microsoft.com/office/2011/relationships/chartColorStyle" Target="colors87.xml"/><Relationship Id="rId1" Type="http://schemas.microsoft.com/office/2011/relationships/chartStyle" Target="style87.xml"/></Relationships>
</file>

<file path=xl/charts/_rels/chart88.xml.rels><?xml version="1.0" encoding="UTF-8" standalone="yes"?>
<Relationships xmlns="http://schemas.openxmlformats.org/package/2006/relationships"><Relationship Id="rId2" Type="http://schemas.microsoft.com/office/2011/relationships/chartColorStyle" Target="colors88.xml"/><Relationship Id="rId1" Type="http://schemas.microsoft.com/office/2011/relationships/chartStyle" Target="style88.xml"/></Relationships>
</file>

<file path=xl/charts/_rels/chart89.xml.rels><?xml version="1.0" encoding="UTF-8" standalone="yes"?>
<Relationships xmlns="http://schemas.openxmlformats.org/package/2006/relationships"><Relationship Id="rId2" Type="http://schemas.microsoft.com/office/2011/relationships/chartColorStyle" Target="colors89.xml"/><Relationship Id="rId1" Type="http://schemas.microsoft.com/office/2011/relationships/chartStyle" Target="style89.xml"/></Relationships>
</file>

<file path=xl/charts/_rels/chart90.xml.rels><?xml version="1.0" encoding="UTF-8" standalone="yes"?>
<Relationships xmlns="http://schemas.openxmlformats.org/package/2006/relationships"><Relationship Id="rId2" Type="http://schemas.microsoft.com/office/2011/relationships/chartColorStyle" Target="colors90.xml"/><Relationship Id="rId1" Type="http://schemas.microsoft.com/office/2011/relationships/chartStyle" Target="style90.xml"/></Relationships>
</file>

<file path=xl/charts/_rels/chart91.xml.rels><?xml version="1.0" encoding="UTF-8" standalone="yes"?>
<Relationships xmlns="http://schemas.openxmlformats.org/package/2006/relationships"><Relationship Id="rId2" Type="http://schemas.microsoft.com/office/2011/relationships/chartColorStyle" Target="colors91.xml"/><Relationship Id="rId1" Type="http://schemas.microsoft.com/office/2011/relationships/chartStyle" Target="style91.xml"/></Relationships>
</file>

<file path=xl/charts/_rels/chart92.xml.rels><?xml version="1.0" encoding="UTF-8" standalone="yes"?>
<Relationships xmlns="http://schemas.openxmlformats.org/package/2006/relationships"><Relationship Id="rId2" Type="http://schemas.microsoft.com/office/2011/relationships/chartColorStyle" Target="colors92.xml"/><Relationship Id="rId1" Type="http://schemas.microsoft.com/office/2011/relationships/chartStyle" Target="style92.xml"/></Relationships>
</file>

<file path=xl/charts/_rels/chart93.xml.rels><?xml version="1.0" encoding="UTF-8" standalone="yes"?>
<Relationships xmlns="http://schemas.openxmlformats.org/package/2006/relationships"><Relationship Id="rId2" Type="http://schemas.microsoft.com/office/2011/relationships/chartColorStyle" Target="colors93.xml"/><Relationship Id="rId1" Type="http://schemas.microsoft.com/office/2011/relationships/chartStyle" Target="style93.xml"/></Relationships>
</file>

<file path=xl/charts/_rels/chart94.xml.rels><?xml version="1.0" encoding="UTF-8" standalone="yes"?>
<Relationships xmlns="http://schemas.openxmlformats.org/package/2006/relationships"><Relationship Id="rId2" Type="http://schemas.microsoft.com/office/2011/relationships/chartColorStyle" Target="colors94.xml"/><Relationship Id="rId1" Type="http://schemas.microsoft.com/office/2011/relationships/chartStyle" Target="style94.xml"/></Relationships>
</file>

<file path=xl/charts/_rels/chart95.xml.rels><?xml version="1.0" encoding="UTF-8" standalone="yes"?>
<Relationships xmlns="http://schemas.openxmlformats.org/package/2006/relationships"><Relationship Id="rId2" Type="http://schemas.microsoft.com/office/2011/relationships/chartColorStyle" Target="colors95.xml"/><Relationship Id="rId1" Type="http://schemas.microsoft.com/office/2011/relationships/chartStyle" Target="style95.xml"/></Relationships>
</file>

<file path=xl/charts/_rels/chart96.xml.rels><?xml version="1.0" encoding="UTF-8" standalone="yes"?>
<Relationships xmlns="http://schemas.openxmlformats.org/package/2006/relationships"><Relationship Id="rId2" Type="http://schemas.microsoft.com/office/2011/relationships/chartColorStyle" Target="colors96.xml"/><Relationship Id="rId1" Type="http://schemas.microsoft.com/office/2011/relationships/chartStyle" Target="style96.xml"/></Relationships>
</file>

<file path=xl/charts/_rels/chart97.xml.rels><?xml version="1.0" encoding="UTF-8" standalone="yes"?>
<Relationships xmlns="http://schemas.openxmlformats.org/package/2006/relationships"><Relationship Id="rId2" Type="http://schemas.microsoft.com/office/2011/relationships/chartColorStyle" Target="colors97.xml"/><Relationship Id="rId1" Type="http://schemas.microsoft.com/office/2011/relationships/chartStyle" Target="style97.xml"/></Relationships>
</file>

<file path=xl/charts/_rels/chart98.xml.rels><?xml version="1.0" encoding="UTF-8" standalone="yes"?>
<Relationships xmlns="http://schemas.openxmlformats.org/package/2006/relationships"><Relationship Id="rId2" Type="http://schemas.microsoft.com/office/2011/relationships/chartColorStyle" Target="colors98.xml"/><Relationship Id="rId1" Type="http://schemas.microsoft.com/office/2011/relationships/chartStyle" Target="style98.xml"/></Relationships>
</file>

<file path=xl/charts/_rels/chart99.xml.rels><?xml version="1.0" encoding="UTF-8" standalone="yes"?>
<Relationships xmlns="http://schemas.openxmlformats.org/package/2006/relationships"><Relationship Id="rId2" Type="http://schemas.microsoft.com/office/2011/relationships/chartColorStyle" Target="colors99.xml"/><Relationship Id="rId1" Type="http://schemas.microsoft.com/office/2011/relationships/chartStyle" Target="style99.xml"/></Relationships>
</file>

<file path=xl/charts/_rels/chart100.xml.rels><?xml version="1.0" encoding="UTF-8" standalone="yes"?>
<Relationships xmlns="http://schemas.openxmlformats.org/package/2006/relationships"><Relationship Id="rId2" Type="http://schemas.microsoft.com/office/2011/relationships/chartColorStyle" Target="colors100.xml"/><Relationship Id="rId1" Type="http://schemas.microsoft.com/office/2011/relationships/chartStyle" Target="style100.xml"/></Relationships>
</file>

<file path=xl/charts/_rels/chart101.xml.rels><?xml version="1.0" encoding="UTF-8" standalone="yes"?>
<Relationships xmlns="http://schemas.openxmlformats.org/package/2006/relationships"><Relationship Id="rId2" Type="http://schemas.microsoft.com/office/2011/relationships/chartColorStyle" Target="colors101.xml"/><Relationship Id="rId1" Type="http://schemas.microsoft.com/office/2011/relationships/chartStyle" Target="style101.xml"/></Relationships>
</file>

<file path=xl/charts/_rels/chart102.xml.rels><?xml version="1.0" encoding="UTF-8" standalone="yes"?>
<Relationships xmlns="http://schemas.openxmlformats.org/package/2006/relationships"><Relationship Id="rId2" Type="http://schemas.microsoft.com/office/2011/relationships/chartColorStyle" Target="colors102.xml"/><Relationship Id="rId1" Type="http://schemas.microsoft.com/office/2011/relationships/chartStyle" Target="style102.xml"/></Relationships>
</file>

<file path=xl/charts/_rels/chart103.xml.rels><?xml version="1.0" encoding="UTF-8" standalone="yes"?>
<Relationships xmlns="http://schemas.openxmlformats.org/package/2006/relationships"><Relationship Id="rId2" Type="http://schemas.microsoft.com/office/2011/relationships/chartColorStyle" Target="colors103.xml"/><Relationship Id="rId1" Type="http://schemas.microsoft.com/office/2011/relationships/chartStyle" Target="style103.xml"/></Relationships>
</file>

<file path=xl/charts/_rels/chart104.xml.rels><?xml version="1.0" encoding="UTF-8" standalone="yes"?>
<Relationships xmlns="http://schemas.openxmlformats.org/package/2006/relationships"><Relationship Id="rId2" Type="http://schemas.microsoft.com/office/2011/relationships/chartColorStyle" Target="colors104.xml"/><Relationship Id="rId1" Type="http://schemas.microsoft.com/office/2011/relationships/chartStyle" Target="style104.xml"/></Relationships>
</file>

<file path=xl/charts/_rels/chart105.xml.rels><?xml version="1.0" encoding="UTF-8" standalone="yes"?>
<Relationships xmlns="http://schemas.openxmlformats.org/package/2006/relationships"><Relationship Id="rId2" Type="http://schemas.microsoft.com/office/2011/relationships/chartColorStyle" Target="colors105.xml"/><Relationship Id="rId1" Type="http://schemas.microsoft.com/office/2011/relationships/chartStyle" Target="style105.xml"/></Relationships>
</file>

<file path=xl/charts/_rels/chart106.xml.rels><?xml version="1.0" encoding="UTF-8" standalone="yes"?>
<Relationships xmlns="http://schemas.openxmlformats.org/package/2006/relationships"><Relationship Id="rId2" Type="http://schemas.microsoft.com/office/2011/relationships/chartColorStyle" Target="colors106.xml"/><Relationship Id="rId1" Type="http://schemas.microsoft.com/office/2011/relationships/chartStyle" Target="style106.xml"/></Relationships>
</file>

<file path=xl/charts/_rels/chart107.xml.rels><?xml version="1.0" encoding="UTF-8" standalone="yes"?>
<Relationships xmlns="http://schemas.openxmlformats.org/package/2006/relationships"><Relationship Id="rId2" Type="http://schemas.microsoft.com/office/2011/relationships/chartColorStyle" Target="colors107.xml"/><Relationship Id="rId1" Type="http://schemas.microsoft.com/office/2011/relationships/chartStyle" Target="style107.xml"/></Relationships>
</file>

<file path=xl/charts/_rels/chart108.xml.rels><?xml version="1.0" encoding="UTF-8" standalone="yes"?>
<Relationships xmlns="http://schemas.openxmlformats.org/package/2006/relationships"><Relationship Id="rId2" Type="http://schemas.microsoft.com/office/2011/relationships/chartColorStyle" Target="colors108.xml"/><Relationship Id="rId1" Type="http://schemas.microsoft.com/office/2011/relationships/chartStyle" Target="style108.xml"/></Relationships>
</file>

<file path=xl/charts/_rels/chart109.xml.rels><?xml version="1.0" encoding="UTF-8" standalone="yes"?>
<Relationships xmlns="http://schemas.openxmlformats.org/package/2006/relationships"><Relationship Id="rId2" Type="http://schemas.microsoft.com/office/2011/relationships/chartColorStyle" Target="colors109.xml"/><Relationship Id="rId1" Type="http://schemas.microsoft.com/office/2011/relationships/chartStyle" Target="style109.xml"/></Relationships>
</file>

<file path=xl/charts/_rels/chart110.xml.rels><?xml version="1.0" encoding="UTF-8" standalone="yes"?>
<Relationships xmlns="http://schemas.openxmlformats.org/package/2006/relationships"><Relationship Id="rId2" Type="http://schemas.microsoft.com/office/2011/relationships/chartColorStyle" Target="colors110.xml"/><Relationship Id="rId1" Type="http://schemas.microsoft.com/office/2011/relationships/chartStyle" Target="style110.xml"/></Relationships>
</file>

<file path=xl/charts/_rels/chart111.xml.rels><?xml version="1.0" encoding="UTF-8" standalone="yes"?>
<Relationships xmlns="http://schemas.openxmlformats.org/package/2006/relationships"><Relationship Id="rId2" Type="http://schemas.microsoft.com/office/2011/relationships/chartColorStyle" Target="colors111.xml"/><Relationship Id="rId1" Type="http://schemas.microsoft.com/office/2011/relationships/chartStyle" Target="style111.xml"/></Relationships>
</file>

<file path=xl/charts/_rels/chart112.xml.rels><?xml version="1.0" encoding="UTF-8" standalone="yes"?>
<Relationships xmlns="http://schemas.openxmlformats.org/package/2006/relationships"><Relationship Id="rId2" Type="http://schemas.microsoft.com/office/2011/relationships/chartColorStyle" Target="colors112.xml"/><Relationship Id="rId1" Type="http://schemas.microsoft.com/office/2011/relationships/chartStyle" Target="style112.xml"/></Relationships>
</file>

<file path=xl/charts/_rels/chart113.xml.rels><?xml version="1.0" encoding="UTF-8" standalone="yes"?>
<Relationships xmlns="http://schemas.openxmlformats.org/package/2006/relationships"><Relationship Id="rId2" Type="http://schemas.microsoft.com/office/2011/relationships/chartColorStyle" Target="colors113.xml"/><Relationship Id="rId1" Type="http://schemas.microsoft.com/office/2011/relationships/chartStyle" Target="style113.xml"/></Relationships>
</file>

<file path=xl/charts/_rels/chart114.xml.rels><?xml version="1.0" encoding="UTF-8" standalone="yes"?>
<Relationships xmlns="http://schemas.openxmlformats.org/package/2006/relationships"><Relationship Id="rId2" Type="http://schemas.microsoft.com/office/2011/relationships/chartColorStyle" Target="colors114.xml"/><Relationship Id="rId1" Type="http://schemas.microsoft.com/office/2011/relationships/chartStyle" Target="style114.xml"/></Relationships>
</file>

<file path=xl/charts/_rels/chart115.xml.rels><?xml version="1.0" encoding="UTF-8" standalone="yes"?>
<Relationships xmlns="http://schemas.openxmlformats.org/package/2006/relationships"><Relationship Id="rId2" Type="http://schemas.microsoft.com/office/2011/relationships/chartColorStyle" Target="colors115.xml"/><Relationship Id="rId1" Type="http://schemas.microsoft.com/office/2011/relationships/chartStyle" Target="style115.xml"/></Relationships>
</file>

<file path=xl/charts/_rels/chart116.xml.rels><?xml version="1.0" encoding="UTF-8" standalone="yes"?>
<Relationships xmlns="http://schemas.openxmlformats.org/package/2006/relationships"><Relationship Id="rId2" Type="http://schemas.microsoft.com/office/2011/relationships/chartColorStyle" Target="colors116.xml"/><Relationship Id="rId1" Type="http://schemas.microsoft.com/office/2011/relationships/chartStyle" Target="style116.xml"/></Relationships>
</file>

<file path=xl/charts/_rels/chart117.xml.rels><?xml version="1.0" encoding="UTF-8" standalone="yes"?>
<Relationships xmlns="http://schemas.openxmlformats.org/package/2006/relationships"><Relationship Id="rId2" Type="http://schemas.microsoft.com/office/2011/relationships/chartColorStyle" Target="colors117.xml"/><Relationship Id="rId1" Type="http://schemas.microsoft.com/office/2011/relationships/chartStyle" Target="style117.xml"/></Relationships>
</file>

<file path=xl/charts/_rels/chart118.xml.rels><?xml version="1.0" encoding="UTF-8" standalone="yes"?>
<Relationships xmlns="http://schemas.openxmlformats.org/package/2006/relationships"><Relationship Id="rId2" Type="http://schemas.microsoft.com/office/2011/relationships/chartColorStyle" Target="colors118.xml"/><Relationship Id="rId1" Type="http://schemas.microsoft.com/office/2011/relationships/chartStyle" Target="style118.xml"/></Relationships>
</file>

<file path=xl/charts/_rels/chart119.xml.rels><?xml version="1.0" encoding="UTF-8" standalone="yes"?>
<Relationships xmlns="http://schemas.openxmlformats.org/package/2006/relationships"><Relationship Id="rId2" Type="http://schemas.microsoft.com/office/2011/relationships/chartColorStyle" Target="colors119.xml"/><Relationship Id="rId1" Type="http://schemas.microsoft.com/office/2011/relationships/chartStyle" Target="style119.xml"/></Relationships>
</file>

<file path=xl/charts/_rels/chart120.xml.rels><?xml version="1.0" encoding="UTF-8" standalone="yes"?>
<Relationships xmlns="http://schemas.openxmlformats.org/package/2006/relationships"><Relationship Id="rId2" Type="http://schemas.microsoft.com/office/2011/relationships/chartColorStyle" Target="colors120.xml"/><Relationship Id="rId1" Type="http://schemas.microsoft.com/office/2011/relationships/chartStyle" Target="style120.xml"/></Relationships>
</file>

<file path=xl/charts/_rels/chart121.xml.rels><?xml version="1.0" encoding="UTF-8" standalone="yes"?>
<Relationships xmlns="http://schemas.openxmlformats.org/package/2006/relationships"><Relationship Id="rId2" Type="http://schemas.microsoft.com/office/2011/relationships/chartColorStyle" Target="colors121.xml"/><Relationship Id="rId1" Type="http://schemas.microsoft.com/office/2011/relationships/chartStyle" Target="style121.xml"/></Relationships>
</file>

<file path=xl/charts/_rels/chart122.xml.rels><?xml version="1.0" encoding="UTF-8" standalone="yes"?>
<Relationships xmlns="http://schemas.openxmlformats.org/package/2006/relationships"><Relationship Id="rId2" Type="http://schemas.microsoft.com/office/2011/relationships/chartColorStyle" Target="colors122.xml"/><Relationship Id="rId1" Type="http://schemas.microsoft.com/office/2011/relationships/chartStyle" Target="style122.xml"/></Relationships>
</file>

<file path=xl/charts/_rels/chart123.xml.rels><?xml version="1.0" encoding="UTF-8" standalone="yes"?>
<Relationships xmlns="http://schemas.openxmlformats.org/package/2006/relationships"><Relationship Id="rId2" Type="http://schemas.microsoft.com/office/2011/relationships/chartColorStyle" Target="colors123.xml"/><Relationship Id="rId1" Type="http://schemas.microsoft.com/office/2011/relationships/chartStyle" Target="style123.xml"/></Relationships>
</file>

<file path=xl/charts/_rels/chart124.xml.rels><?xml version="1.0" encoding="UTF-8" standalone="yes"?>
<Relationships xmlns="http://schemas.openxmlformats.org/package/2006/relationships"><Relationship Id="rId2" Type="http://schemas.microsoft.com/office/2011/relationships/chartColorStyle" Target="colors124.xml"/><Relationship Id="rId1" Type="http://schemas.microsoft.com/office/2011/relationships/chartStyle" Target="style124.xml"/></Relationships>
</file>

<file path=xl/charts/_rels/chart125.xml.rels><?xml version="1.0" encoding="UTF-8" standalone="yes"?>
<Relationships xmlns="http://schemas.openxmlformats.org/package/2006/relationships"><Relationship Id="rId2" Type="http://schemas.microsoft.com/office/2011/relationships/chartColorStyle" Target="colors125.xml"/><Relationship Id="rId1" Type="http://schemas.microsoft.com/office/2011/relationships/chartStyle" Target="style125.xml"/></Relationships>
</file>

<file path=xl/charts/_rels/chart126.xml.rels><?xml version="1.0" encoding="UTF-8" standalone="yes"?>
<Relationships xmlns="http://schemas.openxmlformats.org/package/2006/relationships"><Relationship Id="rId2" Type="http://schemas.microsoft.com/office/2011/relationships/chartColorStyle" Target="colors126.xml"/><Relationship Id="rId1" Type="http://schemas.microsoft.com/office/2011/relationships/chartStyle" Target="style126.xml"/></Relationships>
</file>

<file path=xl/charts/_rels/chart127.xml.rels><?xml version="1.0" encoding="UTF-8" standalone="yes"?>
<Relationships xmlns="http://schemas.openxmlformats.org/package/2006/relationships"><Relationship Id="rId2" Type="http://schemas.microsoft.com/office/2011/relationships/chartColorStyle" Target="colors127.xml"/><Relationship Id="rId1" Type="http://schemas.microsoft.com/office/2011/relationships/chartStyle" Target="style127.xml"/></Relationships>
</file>

<file path=xl/charts/_rels/chart128.xml.rels><?xml version="1.0" encoding="UTF-8" standalone="yes"?>
<Relationships xmlns="http://schemas.openxmlformats.org/package/2006/relationships"><Relationship Id="rId2" Type="http://schemas.microsoft.com/office/2011/relationships/chartColorStyle" Target="colors128.xml"/><Relationship Id="rId1" Type="http://schemas.microsoft.com/office/2011/relationships/chartStyle" Target="style128.xml"/></Relationships>
</file>

<file path=xl/charts/_rels/chart129.xml.rels><?xml version="1.0" encoding="UTF-8" standalone="yes"?>
<Relationships xmlns="http://schemas.openxmlformats.org/package/2006/relationships"><Relationship Id="rId2" Type="http://schemas.microsoft.com/office/2011/relationships/chartColorStyle" Target="colors129.xml"/><Relationship Id="rId1" Type="http://schemas.microsoft.com/office/2011/relationships/chartStyle" Target="style129.xml"/></Relationships>
</file>

<file path=xl/charts/_rels/chart130.xml.rels><?xml version="1.0" encoding="UTF-8" standalone="yes"?>
<Relationships xmlns="http://schemas.openxmlformats.org/package/2006/relationships"><Relationship Id="rId2" Type="http://schemas.microsoft.com/office/2011/relationships/chartColorStyle" Target="colors130.xml"/><Relationship Id="rId1" Type="http://schemas.microsoft.com/office/2011/relationships/chartStyle" Target="style130.xml"/></Relationships>
</file>

<file path=xl/charts/_rels/chart131.xml.rels><?xml version="1.0" encoding="UTF-8" standalone="yes"?>
<Relationships xmlns="http://schemas.openxmlformats.org/package/2006/relationships"><Relationship Id="rId2" Type="http://schemas.microsoft.com/office/2011/relationships/chartColorStyle" Target="colors131.xml"/><Relationship Id="rId1" Type="http://schemas.microsoft.com/office/2011/relationships/chartStyle" Target="style131.xml"/></Relationships>
</file>

<file path=xl/charts/_rels/chart132.xml.rels><?xml version="1.0" encoding="UTF-8" standalone="yes"?>
<Relationships xmlns="http://schemas.openxmlformats.org/package/2006/relationships"><Relationship Id="rId2" Type="http://schemas.microsoft.com/office/2011/relationships/chartColorStyle" Target="colors132.xml"/><Relationship Id="rId1" Type="http://schemas.microsoft.com/office/2011/relationships/chartStyle" Target="style132.xml"/></Relationships>
</file>

<file path=xl/charts/_rels/chart133.xml.rels><?xml version="1.0" encoding="UTF-8" standalone="yes"?>
<Relationships xmlns="http://schemas.openxmlformats.org/package/2006/relationships"><Relationship Id="rId2" Type="http://schemas.microsoft.com/office/2011/relationships/chartColorStyle" Target="colors133.xml"/><Relationship Id="rId1" Type="http://schemas.microsoft.com/office/2011/relationships/chartStyle" Target="style13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Jan!$B$93</c:f>
          <c:strCache>
            <c:ptCount val="1"/>
            <c:pt idx="0">
              <c:v>Falls by Location</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Jan!$D$94</c:f>
              <c:strCache>
                <c:ptCount val="1"/>
                <c:pt idx="0">
                  <c:v>Total</c:v>
                </c:pt>
              </c:strCache>
            </c:strRef>
          </c:tx>
          <c:spPr>
            <a:solidFill>
              <a:schemeClr val="accent3">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Jan!$B$95:$B$105</c:f>
              <c:strCache>
                <c:ptCount val="7"/>
                <c:pt idx="0">
                  <c:v>Activity Room</c:v>
                </c:pt>
                <c:pt idx="1">
                  <c:v>Bedroom</c:v>
                </c:pt>
                <c:pt idx="2">
                  <c:v>Bathroom</c:v>
                </c:pt>
                <c:pt idx="3">
                  <c:v>Hallway</c:v>
                </c:pt>
                <c:pt idx="4">
                  <c:v>Offsite</c:v>
                </c:pt>
                <c:pt idx="5">
                  <c:v>Shower Room</c:v>
                </c:pt>
                <c:pt idx="6">
                  <c:v>Dining Room</c:v>
                </c:pt>
              </c:strCache>
            </c:strRef>
          </c:cat>
          <c:val>
            <c:numRef>
              <c:f>Jan!$D$95:$D$105</c:f>
              <c:numCache>
                <c:formatCode>General</c:formatCode>
                <c:ptCount val="11"/>
                <c:pt idx="0">
                  <c:v>0</c:v>
                </c:pt>
                <c:pt idx="1">
                  <c:v>0</c:v>
                </c:pt>
                <c:pt idx="2">
                  <c:v>0</c:v>
                </c:pt>
                <c:pt idx="3">
                  <c:v>0</c:v>
                </c:pt>
                <c:pt idx="4">
                  <c:v>0</c:v>
                </c:pt>
                <c:pt idx="5">
                  <c:v>0</c:v>
                </c:pt>
                <c:pt idx="6">
                  <c:v>0</c:v>
                </c:pt>
                <c:pt idx="7">
                  <c:v>#N/A</c:v>
                </c:pt>
                <c:pt idx="8">
                  <c:v>#N/A</c:v>
                </c:pt>
                <c:pt idx="9">
                  <c:v>#N/A</c:v>
                </c:pt>
                <c:pt idx="10">
                  <c:v>#N/A</c:v>
                </c:pt>
              </c:numCache>
            </c:numRef>
          </c:val>
          <c:extLst>
            <c:ext xmlns:c16="http://schemas.microsoft.com/office/drawing/2014/chart" uri="{C3380CC4-5D6E-409C-BE32-E72D297353CC}">
              <c16:uniqueId val="{00000004-3423-45E3-9871-E9120103B51C}"/>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Jan!$B$123</c:f>
          <c:strCache>
            <c:ptCount val="1"/>
            <c:pt idx="0">
              <c:v>Falls by Day of the Week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Jan!$D$124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Jan!$B$125:$B$131</c:f>
              <c:strCache>
                <c:ptCount val="7"/>
                <c:pt idx="0">
                  <c:v>Sun</c:v>
                </c:pt>
                <c:pt idx="1">
                  <c:v>Mon</c:v>
                </c:pt>
                <c:pt idx="2">
                  <c:v>Tue</c:v>
                </c:pt>
                <c:pt idx="3">
                  <c:v>Wed</c:v>
                </c:pt>
                <c:pt idx="4">
                  <c:v>Thu</c:v>
                </c:pt>
                <c:pt idx="5">
                  <c:v>Fri</c:v>
                </c:pt>
                <c:pt idx="6">
                  <c:v>Sat</c:v>
                </c:pt>
              </c:strCache>
            </c:strRef>
          </c:cat>
          <c:val>
            <c:numRef>
              <c:f>Jan!$D$125:$D$131</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2-9D51-435F-901A-644FF9710FB1}"/>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Jan!$B$108</c:f>
          <c:strCache>
            <c:ptCount val="1"/>
            <c:pt idx="0">
              <c:v>Falls by Nursing Station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Jan!$D$109</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Jan!$B$110:$B$120</c:f>
              <c:strCache>
                <c:ptCount val="5"/>
                <c:pt idx="0">
                  <c:v>1</c:v>
                </c:pt>
                <c:pt idx="1">
                  <c:v>2</c:v>
                </c:pt>
                <c:pt idx="2">
                  <c:v>3</c:v>
                </c:pt>
                <c:pt idx="3">
                  <c:v>4</c:v>
                </c:pt>
                <c:pt idx="4">
                  <c:v>5</c:v>
                </c:pt>
              </c:strCache>
            </c:strRef>
          </c:cat>
          <c:val>
            <c:numRef>
              <c:f>Jan!$D$110:$D$120</c:f>
              <c:numCache>
                <c:formatCode>General</c:formatCode>
                <c:ptCount val="11"/>
                <c:pt idx="0">
                  <c:v>0</c:v>
                </c:pt>
                <c:pt idx="1">
                  <c:v>0</c:v>
                </c:pt>
                <c:pt idx="2">
                  <c:v>0</c:v>
                </c:pt>
                <c:pt idx="3">
                  <c:v>0</c:v>
                </c:pt>
                <c:pt idx="4">
                  <c:v>0</c:v>
                </c:pt>
                <c:pt idx="5">
                  <c:v>#N/A</c:v>
                </c:pt>
                <c:pt idx="6">
                  <c:v>#N/A</c:v>
                </c:pt>
                <c:pt idx="7">
                  <c:v>#N/A</c:v>
                </c:pt>
                <c:pt idx="8">
                  <c:v>#N/A</c:v>
                </c:pt>
                <c:pt idx="9">
                  <c:v>#N/A</c:v>
                </c:pt>
                <c:pt idx="10">
                  <c:v>#N/A</c:v>
                </c:pt>
              </c:numCache>
            </c:numRef>
          </c:val>
          <c:extLst>
            <c:ext xmlns:c16="http://schemas.microsoft.com/office/drawing/2014/chart" uri="{C3380CC4-5D6E-409C-BE32-E72D297353CC}">
              <c16:uniqueId val="{00000004-ABF3-4785-AA8E-9D709099C7A4}"/>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Jan!$F$58</c:f>
          <c:strCache>
            <c:ptCount val="1"/>
            <c:pt idx="0">
              <c:v>Falls by BIMS Score</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Jan!$H$59</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Jan!$F$60:$F$62</c:f>
              <c:strCache>
                <c:ptCount val="3"/>
                <c:pt idx="0">
                  <c:v>Severe (1–7)</c:v>
                </c:pt>
                <c:pt idx="1">
                  <c:v>Moderate (8–12)</c:v>
                </c:pt>
                <c:pt idx="2">
                  <c:v>Intact (13–15)</c:v>
                </c:pt>
              </c:strCache>
            </c:strRef>
          </c:cat>
          <c:val>
            <c:numRef>
              <c:f>Jan!$H$60:$H$62</c:f>
              <c:numCache>
                <c:formatCode>General</c:formatCode>
                <c:ptCount val="3"/>
                <c:pt idx="0">
                  <c:v>0</c:v>
                </c:pt>
                <c:pt idx="1">
                  <c:v>0</c:v>
                </c:pt>
                <c:pt idx="2">
                  <c:v>0</c:v>
                </c:pt>
              </c:numCache>
            </c:numRef>
          </c:val>
          <c:extLst>
            <c:ext xmlns:c16="http://schemas.microsoft.com/office/drawing/2014/chart" uri="{C3380CC4-5D6E-409C-BE32-E72D297353CC}">
              <c16:uniqueId val="{00000000-09C2-4BAB-935B-6F6823B8D4AE}"/>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Jan!$B$134</c:f>
          <c:strCache>
            <c:ptCount val="1"/>
            <c:pt idx="0">
              <c:v>Falls by Shift</c:v>
            </c:pt>
          </c:strCache>
        </c:strRef>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1"/>
          <c:order val="0"/>
          <c:tx>
            <c:strRef>
              <c:f>Jan!$D$135</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Jan!$B$136:$B$140</c:f>
              <c:strCache>
                <c:ptCount val="4"/>
                <c:pt idx="0">
                  <c:v>11-7</c:v>
                </c:pt>
                <c:pt idx="1">
                  <c:v>11–7</c:v>
                </c:pt>
                <c:pt idx="2">
                  <c:v>7–3</c:v>
                </c:pt>
                <c:pt idx="3">
                  <c:v>3–11</c:v>
                </c:pt>
              </c:strCache>
            </c:strRef>
          </c:cat>
          <c:val>
            <c:numRef>
              <c:f>Jan!$D$136:$D$140</c:f>
              <c:numCache>
                <c:formatCode>General</c:formatCode>
                <c:ptCount val="5"/>
                <c:pt idx="0">
                  <c:v>0</c:v>
                </c:pt>
                <c:pt idx="1">
                  <c:v>0</c:v>
                </c:pt>
                <c:pt idx="2">
                  <c:v>0</c:v>
                </c:pt>
                <c:pt idx="3">
                  <c:v>0</c:v>
                </c:pt>
                <c:pt idx="4">
                  <c:v>#N/A</c:v>
                </c:pt>
              </c:numCache>
            </c:numRef>
          </c:val>
          <c:extLst>
            <c:ext xmlns:c16="http://schemas.microsoft.com/office/drawing/2014/chart" uri="{C3380CC4-5D6E-409C-BE32-E72D297353CC}">
              <c16:uniqueId val="{00000002-0112-4051-B1AA-EA15695F0D0B}"/>
            </c:ext>
          </c:extLst>
        </c:ser>
        <c:dLbls>
          <c:showLegendKey val="0"/>
          <c:showVal val="0"/>
          <c:showCatName val="0"/>
          <c:showSerName val="0"/>
          <c:showPercent val="0"/>
          <c:showBubbleSize val="0"/>
        </c:dLbls>
        <c:gapWidth val="219"/>
        <c:axId val="789078271"/>
        <c:axId val="789056671"/>
      </c:barChart>
      <c:catAx>
        <c:axId val="7890782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789056671"/>
        <c:crosses val="autoZero"/>
        <c:auto val="1"/>
        <c:lblAlgn val="ctr"/>
        <c:lblOffset val="100"/>
        <c:noMultiLvlLbl val="0"/>
      </c:catAx>
      <c:valAx>
        <c:axId val="789056671"/>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7890782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Jan!$B$143</c:f>
          <c:strCache>
            <c:ptCount val="1"/>
            <c:pt idx="0">
              <c:v>Falls by Hour </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1"/>
          <c:order val="0"/>
          <c:tx>
            <c:strRef>
              <c:f>Jan!$D$144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Jan!$B$145:$B$168</c:f>
              <c:strCache>
                <c:ptCount val="24"/>
                <c:pt idx="0">
                  <c:v>23:00–24:00</c:v>
                </c:pt>
                <c:pt idx="1">
                  <c:v>24:00–01:00</c:v>
                </c:pt>
                <c:pt idx="2">
                  <c:v>01:00–02:00</c:v>
                </c:pt>
                <c:pt idx="3">
                  <c:v>02:00–03:00</c:v>
                </c:pt>
                <c:pt idx="4">
                  <c:v>03:00–04:00</c:v>
                </c:pt>
                <c:pt idx="5">
                  <c:v>04:00–05:00</c:v>
                </c:pt>
                <c:pt idx="6">
                  <c:v>05:00–06:00</c:v>
                </c:pt>
                <c:pt idx="7">
                  <c:v>06:00–07:00</c:v>
                </c:pt>
                <c:pt idx="8">
                  <c:v>07:00–08:00</c:v>
                </c:pt>
                <c:pt idx="9">
                  <c:v>08:00–09:00</c:v>
                </c:pt>
                <c:pt idx="10">
                  <c:v>09:00–10:00</c:v>
                </c:pt>
                <c:pt idx="11">
                  <c:v>10:00–11:00</c:v>
                </c:pt>
                <c:pt idx="12">
                  <c:v>11:00–12:00</c:v>
                </c:pt>
                <c:pt idx="13">
                  <c:v>12:00–13:00</c:v>
                </c:pt>
                <c:pt idx="14">
                  <c:v>13:00–14:00</c:v>
                </c:pt>
                <c:pt idx="15">
                  <c:v>14:00–15:00</c:v>
                </c:pt>
                <c:pt idx="16">
                  <c:v>15:00–16:00</c:v>
                </c:pt>
                <c:pt idx="17">
                  <c:v>16:00–17:00</c:v>
                </c:pt>
                <c:pt idx="18">
                  <c:v>17:00–18:00</c:v>
                </c:pt>
                <c:pt idx="19">
                  <c:v>18:00–19:00</c:v>
                </c:pt>
                <c:pt idx="20">
                  <c:v>19:00–20:00</c:v>
                </c:pt>
                <c:pt idx="21">
                  <c:v>20:00–21:00</c:v>
                </c:pt>
                <c:pt idx="22">
                  <c:v>21:00–22:00</c:v>
                </c:pt>
                <c:pt idx="23">
                  <c:v>22:00–23:00</c:v>
                </c:pt>
              </c:strCache>
            </c:strRef>
          </c:cat>
          <c:val>
            <c:numRef>
              <c:f>Jan!$D$145:$D$168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2-1891-4C8B-9078-B49F8DC2F10A}"/>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Jan!$B$65</c:f>
          <c:strCache>
            <c:ptCount val="1"/>
            <c:pt idx="0">
              <c:v>Falls by Activity</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Jan!$G$66</c:f>
              <c:strCache>
                <c:ptCount val="1"/>
                <c:pt idx="0">
                  <c:v>Total</c:v>
                </c:pt>
              </c:strCache>
            </c:strRef>
          </c:tx>
          <c:spPr>
            <a:solidFill>
              <a:schemeClr val="bg1">
                <a:lumMod val="75000"/>
              </a:schemeClr>
            </a:solidFill>
            <a:ln>
              <a:solidFill>
                <a:schemeClr val="bg1">
                  <a:lumMod val="85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Jan!$B$67:$B$90</c:f>
              <c:strCache>
                <c:ptCount val="11"/>
                <c:pt idx="0">
                  <c:v>Ambulating with assistive device (walker, cane, wheelchair)</c:v>
                </c:pt>
                <c:pt idx="1">
                  <c:v>Ambulating with staff assistance</c:v>
                </c:pt>
                <c:pt idx="2">
                  <c:v>Ambulating without assistance or assistive device</c:v>
                </c:pt>
                <c:pt idx="3">
                  <c:v>Changing position (e.g., in bed, chair)</c:v>
                </c:pt>
                <c:pt idx="4">
                  <c:v>Dressing or undressing</c:v>
                </c:pt>
                <c:pt idx="5">
                  <c:v>Other activity</c:v>
                </c:pt>
                <c:pt idx="6">
                  <c:v>Reaching for an item</c:v>
                </c:pt>
                <c:pt idx="7">
                  <c:v>Showering or bathing</c:v>
                </c:pt>
                <c:pt idx="8">
                  <c:v>Toileting</c:v>
                </c:pt>
                <c:pt idx="9">
                  <c:v>Transferring to or from bed, chair, wheelchair, etc.</c:v>
                </c:pt>
                <c:pt idx="10">
                  <c:v>Unknown</c:v>
                </c:pt>
              </c:strCache>
            </c:strRef>
          </c:cat>
          <c:val>
            <c:numRef>
              <c:f>Jan!$G$67:$G$90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14-F649-45CE-84D1-0DAD624B2190}"/>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Jan!$B$51</c:f>
          <c:strCache>
            <c:ptCount val="1"/>
            <c:pt idx="0">
              <c:v>Witnessed Falls</c:v>
            </c:pt>
          </c:strCache>
        </c:strRef>
      </c:tx>
      <c:layout>
        <c:manualLayout>
          <c:xMode val="edge"/>
          <c:yMode val="edge"/>
          <c:x val="0.28456383934819923"/>
          <c:y val="4.8263836268180225E-2"/>
        </c:manualLayout>
      </c:layout>
      <c:overlay val="0"/>
      <c:spPr>
        <a:noFill/>
        <a:ln>
          <a:noFill/>
        </a:ln>
        <a:effectLst/>
      </c:spPr>
      <c:txPr>
        <a:bodyPr rot="0" spcFirstLastPara="1" vertOverflow="ellipsis" vert="horz" wrap="square" anchor="ctr" anchorCtr="1"/>
        <a:lstStyle/>
        <a:p>
          <a:pPr>
            <a:defRPr sz="1100" b="1" i="0" u="none" strike="noStrike" kern="1200" spc="0" baseline="0">
              <a:solidFill>
                <a:sysClr val="windowText" lastClr="000000"/>
              </a:solidFill>
              <a:latin typeface="+mn-lt"/>
              <a:ea typeface="+mn-ea"/>
              <a:cs typeface="+mn-cs"/>
            </a:defRPr>
          </a:pPr>
          <a:endParaRPr lang="en-US"/>
        </a:p>
      </c:txPr>
    </c:title>
    <c:autoTitleDeleted val="0"/>
    <c:plotArea>
      <c:layout/>
      <c:pieChart>
        <c:varyColors val="1"/>
        <c:ser>
          <c:idx val="2"/>
          <c:order val="0"/>
          <c:tx>
            <c:strRef>
              <c:f>Jan!$D$52</c:f>
              <c:strCache>
                <c:ptCount val="1"/>
                <c:pt idx="0">
                  <c:v>Total</c:v>
                </c:pt>
              </c:strCache>
            </c:strRef>
          </c:tx>
          <c:spPr>
            <a:solidFill>
              <a:srgbClr val="F7F7F7"/>
            </a:solidFill>
            <a:ln w="19050">
              <a:solidFill>
                <a:schemeClr val="bg2">
                  <a:lumMod val="90000"/>
                </a:schemeClr>
              </a:solidFill>
            </a:ln>
          </c:spPr>
          <c:dPt>
            <c:idx val="0"/>
            <c:bubble3D val="0"/>
            <c:spPr>
              <a:solidFill>
                <a:srgbClr val="F7F7F7"/>
              </a:solidFill>
              <a:ln w="19050">
                <a:solidFill>
                  <a:schemeClr val="bg2">
                    <a:lumMod val="90000"/>
                  </a:schemeClr>
                </a:solidFill>
              </a:ln>
              <a:effectLst/>
            </c:spPr>
            <c:extLst>
              <c:ext xmlns:c16="http://schemas.microsoft.com/office/drawing/2014/chart" uri="{C3380CC4-5D6E-409C-BE32-E72D297353CC}">
                <c16:uniqueId val="{0000000E-6B68-4C4D-BE49-03D456B4C48B}"/>
              </c:ext>
            </c:extLst>
          </c:dPt>
          <c:dPt>
            <c:idx val="1"/>
            <c:bubble3D val="0"/>
            <c:spPr>
              <a:solidFill>
                <a:schemeClr val="bg2"/>
              </a:solidFill>
              <a:ln w="19050">
                <a:solidFill>
                  <a:schemeClr val="bg2">
                    <a:lumMod val="90000"/>
                  </a:schemeClr>
                </a:solidFill>
              </a:ln>
              <a:effectLst/>
            </c:spPr>
            <c:extLst>
              <c:ext xmlns:c16="http://schemas.microsoft.com/office/drawing/2014/chart" uri="{C3380CC4-5D6E-409C-BE32-E72D297353CC}">
                <c16:uniqueId val="{0000000F-6B68-4C4D-BE49-03D456B4C48B}"/>
              </c:ext>
            </c:extLst>
          </c:dPt>
          <c:dLbls>
            <c:dLbl>
              <c:idx val="0"/>
              <c:layout>
                <c:manualLayout>
                  <c:x val="6.2922200858950839E-2"/>
                  <c:y val="-5.7940247469122956E-2"/>
                </c:manualLayout>
              </c:layout>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E-6B68-4C4D-BE49-03D456B4C48B}"/>
                </c:ext>
              </c:extLst>
            </c:dLbl>
            <c:dLbl>
              <c:idx val="1"/>
              <c:layout>
                <c:manualLayout>
                  <c:x val="-4.8011385115936479E-2"/>
                  <c:y val="2.6697554736401265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15:layout>
                    <c:manualLayout>
                      <c:w val="0.24931745400710711"/>
                      <c:h val="0.11967240535812428"/>
                    </c:manualLayout>
                  </c15:layout>
                </c:ext>
                <c:ext xmlns:c16="http://schemas.microsoft.com/office/drawing/2014/chart" uri="{C3380CC4-5D6E-409C-BE32-E72D297353CC}">
                  <c16:uniqueId val="{0000000F-6B68-4C4D-BE49-03D456B4C48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Jan!$B$53:$B$54</c:f>
              <c:strCache>
                <c:ptCount val="2"/>
                <c:pt idx="0">
                  <c:v>Yes</c:v>
                </c:pt>
                <c:pt idx="1">
                  <c:v>No</c:v>
                </c:pt>
              </c:strCache>
            </c:strRef>
          </c:cat>
          <c:val>
            <c:numRef>
              <c:f>Jan!$D$53:$D$54</c:f>
              <c:numCache>
                <c:formatCode>General</c:formatCode>
                <c:ptCount val="2"/>
                <c:pt idx="0">
                  <c:v>0</c:v>
                </c:pt>
                <c:pt idx="1">
                  <c:v>0</c:v>
                </c:pt>
              </c:numCache>
            </c:numRef>
          </c:val>
          <c:extLst>
            <c:ext xmlns:c16="http://schemas.microsoft.com/office/drawing/2014/chart" uri="{C3380CC4-5D6E-409C-BE32-E72D297353CC}">
              <c16:uniqueId val="{0000000D-6B68-4C4D-BE49-03D456B4C48B}"/>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Jan!$B$171</c:f>
          <c:strCache>
            <c:ptCount val="1"/>
            <c:pt idx="0">
              <c:v>Falls by Contributing Factors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4"/>
          <c:order val="0"/>
          <c:tx>
            <c:strRef>
              <c:f>Jan!$G$172</c:f>
              <c:strCache>
                <c:ptCount val="1"/>
                <c:pt idx="0">
                  <c:v>Total</c:v>
                </c:pt>
              </c:strCache>
            </c:strRef>
          </c:tx>
          <c:spPr>
            <a:solidFill>
              <a:schemeClr val="bg2">
                <a:lumMod val="9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Jan!$B$173:$B$196</c:f>
              <c:strCache>
                <c:ptCount val="11"/>
                <c:pt idx="0">
                  <c:v>Assisted/caregiver transfer</c:v>
                </c:pt>
                <c:pt idx="1">
                  <c:v>Bowel and bladder (B&amp;B) needs</c:v>
                </c:pt>
                <c:pt idx="2">
                  <c:v>Behavioral or situational</c:v>
                </c:pt>
                <c:pt idx="3">
                  <c:v>Change of condition</c:v>
                </c:pt>
                <c:pt idx="4">
                  <c:v>Environmental factors</c:v>
                </c:pt>
                <c:pt idx="5">
                  <c:v>Equipment malfunction</c:v>
                </c:pt>
                <c:pt idx="6">
                  <c:v>Equipment or assistive device</c:v>
                </c:pt>
                <c:pt idx="7">
                  <c:v>Medication related</c:v>
                </c:pt>
                <c:pt idx="8">
                  <c:v>Process(s) not followed</c:v>
                </c:pt>
                <c:pt idx="9">
                  <c:v>Resident health conditions</c:v>
                </c:pt>
                <c:pt idx="10">
                  <c:v>Staff</c:v>
                </c:pt>
              </c:strCache>
            </c:strRef>
          </c:cat>
          <c:val>
            <c:numRef>
              <c:f>Jan!$G$173:$G$196</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4-888D-44CA-BEE5-3A050D4280DC}"/>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bg2">
                    <a:lumMod val="50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Jan!$F$51</c:f>
          <c:strCache>
            <c:ptCount val="1"/>
            <c:pt idx="0">
              <c:v>Fall Circumstances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Jan!$H$52</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Jan!$F$53:$F$55</c:f>
              <c:strCache>
                <c:ptCount val="3"/>
                <c:pt idx="0">
                  <c:v>Overwhelming Force</c:v>
                </c:pt>
                <c:pt idx="1">
                  <c:v>Intercepted</c:v>
                </c:pt>
                <c:pt idx="2">
                  <c:v>N/A</c:v>
                </c:pt>
              </c:strCache>
            </c:strRef>
          </c:cat>
          <c:val>
            <c:numRef>
              <c:f>Jan!$H$53:$H$55</c:f>
              <c:numCache>
                <c:formatCode>General</c:formatCode>
                <c:ptCount val="3"/>
                <c:pt idx="0">
                  <c:v>0</c:v>
                </c:pt>
                <c:pt idx="1">
                  <c:v>0</c:v>
                </c:pt>
                <c:pt idx="2">
                  <c:v>0</c:v>
                </c:pt>
              </c:numCache>
            </c:numRef>
          </c:val>
          <c:extLst>
            <c:ext xmlns:c16="http://schemas.microsoft.com/office/drawing/2014/chart" uri="{C3380CC4-5D6E-409C-BE32-E72D297353CC}">
              <c16:uniqueId val="{00000001-0C1A-492B-AC95-C5E99F6DBEBF}"/>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Feb!$B$93</c:f>
          <c:strCache>
            <c:ptCount val="1"/>
            <c:pt idx="0">
              <c:v>Falls by Location</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Feb!$D$94</c:f>
              <c:strCache>
                <c:ptCount val="1"/>
                <c:pt idx="0">
                  <c:v>Total</c:v>
                </c:pt>
              </c:strCache>
            </c:strRef>
          </c:tx>
          <c:spPr>
            <a:solidFill>
              <a:schemeClr val="accent3">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Feb!$B$95:$B$105</c:f>
              <c:strCache>
                <c:ptCount val="7"/>
                <c:pt idx="0">
                  <c:v>Activity Room</c:v>
                </c:pt>
                <c:pt idx="1">
                  <c:v>Bedroom</c:v>
                </c:pt>
                <c:pt idx="2">
                  <c:v>Bathroom</c:v>
                </c:pt>
                <c:pt idx="3">
                  <c:v>Hallway</c:v>
                </c:pt>
                <c:pt idx="4">
                  <c:v>Offsite</c:v>
                </c:pt>
                <c:pt idx="5">
                  <c:v>Shower Room</c:v>
                </c:pt>
                <c:pt idx="6">
                  <c:v>Dining Room</c:v>
                </c:pt>
              </c:strCache>
            </c:strRef>
          </c:cat>
          <c:val>
            <c:numRef>
              <c:f>Feb!$D$95:$D$105</c:f>
              <c:numCache>
                <c:formatCode>General</c:formatCode>
                <c:ptCount val="11"/>
                <c:pt idx="0">
                  <c:v>0</c:v>
                </c:pt>
                <c:pt idx="1">
                  <c:v>0</c:v>
                </c:pt>
                <c:pt idx="2">
                  <c:v>0</c:v>
                </c:pt>
                <c:pt idx="3">
                  <c:v>0</c:v>
                </c:pt>
                <c:pt idx="4">
                  <c:v>0</c:v>
                </c:pt>
                <c:pt idx="5">
                  <c:v>0</c:v>
                </c:pt>
                <c:pt idx="6">
                  <c:v>0</c:v>
                </c:pt>
                <c:pt idx="7">
                  <c:v>#N/A</c:v>
                </c:pt>
                <c:pt idx="8">
                  <c:v>#N/A</c:v>
                </c:pt>
                <c:pt idx="9">
                  <c:v>#N/A</c:v>
                </c:pt>
                <c:pt idx="10">
                  <c:v>#N/A</c:v>
                </c:pt>
              </c:numCache>
            </c:numRef>
          </c:val>
          <c:extLst>
            <c:ext xmlns:c16="http://schemas.microsoft.com/office/drawing/2014/chart" uri="{C3380CC4-5D6E-409C-BE32-E72D297353CC}">
              <c16:uniqueId val="{00000000-2417-4CDA-8120-10D1D478C534}"/>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Feb!$B$123</c:f>
          <c:strCache>
            <c:ptCount val="1"/>
            <c:pt idx="0">
              <c:v>Falls by Day of the Week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Feb!$D$124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Feb!$B$125:$B$131</c:f>
              <c:strCache>
                <c:ptCount val="7"/>
                <c:pt idx="0">
                  <c:v>Sun</c:v>
                </c:pt>
                <c:pt idx="1">
                  <c:v>Mon</c:v>
                </c:pt>
                <c:pt idx="2">
                  <c:v>Tue</c:v>
                </c:pt>
                <c:pt idx="3">
                  <c:v>Wed</c:v>
                </c:pt>
                <c:pt idx="4">
                  <c:v>Thu</c:v>
                </c:pt>
                <c:pt idx="5">
                  <c:v>Fri</c:v>
                </c:pt>
                <c:pt idx="6">
                  <c:v>Sat</c:v>
                </c:pt>
              </c:strCache>
            </c:strRef>
          </c:cat>
          <c:val>
            <c:numRef>
              <c:f>Feb!$D$125:$D$131</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134E-43FC-9A53-1D7FB66D08BB}"/>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Feb!$B$108</c:f>
          <c:strCache>
            <c:ptCount val="1"/>
            <c:pt idx="0">
              <c:v>Falls by Nursing Station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Feb!$D$109</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Feb!$B$110:$B$120</c:f>
              <c:strCache>
                <c:ptCount val="5"/>
                <c:pt idx="0">
                  <c:v>1</c:v>
                </c:pt>
                <c:pt idx="1">
                  <c:v>2</c:v>
                </c:pt>
                <c:pt idx="2">
                  <c:v>3</c:v>
                </c:pt>
                <c:pt idx="3">
                  <c:v>4</c:v>
                </c:pt>
                <c:pt idx="4">
                  <c:v>5</c:v>
                </c:pt>
              </c:strCache>
            </c:strRef>
          </c:cat>
          <c:val>
            <c:numRef>
              <c:f>Feb!$D$110:$D$120</c:f>
              <c:numCache>
                <c:formatCode>General</c:formatCode>
                <c:ptCount val="11"/>
                <c:pt idx="0">
                  <c:v>0</c:v>
                </c:pt>
                <c:pt idx="1">
                  <c:v>0</c:v>
                </c:pt>
                <c:pt idx="2">
                  <c:v>0</c:v>
                </c:pt>
                <c:pt idx="3">
                  <c:v>0</c:v>
                </c:pt>
                <c:pt idx="4">
                  <c:v>0</c:v>
                </c:pt>
                <c:pt idx="5">
                  <c:v>#N/A</c:v>
                </c:pt>
                <c:pt idx="6">
                  <c:v>#N/A</c:v>
                </c:pt>
                <c:pt idx="7">
                  <c:v>#N/A</c:v>
                </c:pt>
                <c:pt idx="8">
                  <c:v>#N/A</c:v>
                </c:pt>
                <c:pt idx="9">
                  <c:v>#N/A</c:v>
                </c:pt>
                <c:pt idx="10">
                  <c:v>#N/A</c:v>
                </c:pt>
              </c:numCache>
            </c:numRef>
          </c:val>
          <c:extLst>
            <c:ext xmlns:c16="http://schemas.microsoft.com/office/drawing/2014/chart" uri="{C3380CC4-5D6E-409C-BE32-E72D297353CC}">
              <c16:uniqueId val="{00000000-2D47-47A6-B319-2E96798ED224}"/>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Feb!$F$58</c:f>
          <c:strCache>
            <c:ptCount val="1"/>
            <c:pt idx="0">
              <c:v>Falls by BIMS Score</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Feb!$H$59</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Feb!$F$60:$F$62</c:f>
              <c:strCache>
                <c:ptCount val="3"/>
                <c:pt idx="0">
                  <c:v>Severe (1–7)</c:v>
                </c:pt>
                <c:pt idx="1">
                  <c:v>Moderate (8–12)</c:v>
                </c:pt>
                <c:pt idx="2">
                  <c:v>Intact (13–15)</c:v>
                </c:pt>
              </c:strCache>
            </c:strRef>
          </c:cat>
          <c:val>
            <c:numRef>
              <c:f>Feb!$H$60:$H$62</c:f>
              <c:numCache>
                <c:formatCode>General</c:formatCode>
                <c:ptCount val="3"/>
                <c:pt idx="0">
                  <c:v>0</c:v>
                </c:pt>
                <c:pt idx="1">
                  <c:v>0</c:v>
                </c:pt>
                <c:pt idx="2">
                  <c:v>0</c:v>
                </c:pt>
              </c:numCache>
            </c:numRef>
          </c:val>
          <c:extLst>
            <c:ext xmlns:c16="http://schemas.microsoft.com/office/drawing/2014/chart" uri="{C3380CC4-5D6E-409C-BE32-E72D297353CC}">
              <c16:uniqueId val="{00000000-E837-48D9-AFDC-80491C996797}"/>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Feb!$B$143</c:f>
          <c:strCache>
            <c:ptCount val="1"/>
            <c:pt idx="0">
              <c:v>Falls by Hour </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1"/>
          <c:order val="0"/>
          <c:tx>
            <c:strRef>
              <c:f>Feb!$D$144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Feb!$B$145:$B$168</c:f>
              <c:strCache>
                <c:ptCount val="24"/>
                <c:pt idx="0">
                  <c:v>23:00–24:00</c:v>
                </c:pt>
                <c:pt idx="1">
                  <c:v>24:00–01:00</c:v>
                </c:pt>
                <c:pt idx="2">
                  <c:v>01:00–02:00</c:v>
                </c:pt>
                <c:pt idx="3">
                  <c:v>02:00–03:00</c:v>
                </c:pt>
                <c:pt idx="4">
                  <c:v>03:00–04:00</c:v>
                </c:pt>
                <c:pt idx="5">
                  <c:v>04:00–05:00</c:v>
                </c:pt>
                <c:pt idx="6">
                  <c:v>05:00–06:00</c:v>
                </c:pt>
                <c:pt idx="7">
                  <c:v>06:00–07:00</c:v>
                </c:pt>
                <c:pt idx="8">
                  <c:v>07:00–08:00</c:v>
                </c:pt>
                <c:pt idx="9">
                  <c:v>08:00–09:00</c:v>
                </c:pt>
                <c:pt idx="10">
                  <c:v>09:00–10:00</c:v>
                </c:pt>
                <c:pt idx="11">
                  <c:v>10:00–11:00</c:v>
                </c:pt>
                <c:pt idx="12">
                  <c:v>11:00–12:00</c:v>
                </c:pt>
                <c:pt idx="13">
                  <c:v>12:00–13:00</c:v>
                </c:pt>
                <c:pt idx="14">
                  <c:v>13:00–14:00</c:v>
                </c:pt>
                <c:pt idx="15">
                  <c:v>14:00–15:00</c:v>
                </c:pt>
                <c:pt idx="16">
                  <c:v>15:00–16:00</c:v>
                </c:pt>
                <c:pt idx="17">
                  <c:v>16:00–17:00</c:v>
                </c:pt>
                <c:pt idx="18">
                  <c:v>17:00–18:00</c:v>
                </c:pt>
                <c:pt idx="19">
                  <c:v>18:00–19:00</c:v>
                </c:pt>
                <c:pt idx="20">
                  <c:v>19:00–20:00</c:v>
                </c:pt>
                <c:pt idx="21">
                  <c:v>20:00–21:00</c:v>
                </c:pt>
                <c:pt idx="22">
                  <c:v>21:00–22:00</c:v>
                </c:pt>
                <c:pt idx="23">
                  <c:v>22:00–23:00</c:v>
                </c:pt>
              </c:strCache>
            </c:strRef>
          </c:cat>
          <c:val>
            <c:numRef>
              <c:f>Feb!$D$145:$D$168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13C1-466B-831A-26270F2D9111}"/>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Feb!$B$65</c:f>
          <c:strCache>
            <c:ptCount val="1"/>
            <c:pt idx="0">
              <c:v>Falls by Activity</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Feb!$G$66</c:f>
              <c:strCache>
                <c:ptCount val="1"/>
                <c:pt idx="0">
                  <c:v>Total</c:v>
                </c:pt>
              </c:strCache>
            </c:strRef>
          </c:tx>
          <c:spPr>
            <a:solidFill>
              <a:schemeClr val="bg1">
                <a:lumMod val="75000"/>
              </a:schemeClr>
            </a:solidFill>
            <a:ln>
              <a:solidFill>
                <a:schemeClr val="bg1">
                  <a:lumMod val="85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Feb!$B$67:$B$90</c:f>
              <c:strCache>
                <c:ptCount val="11"/>
                <c:pt idx="0">
                  <c:v>Ambulating with assistive device (walker, cane, wheelchair)</c:v>
                </c:pt>
                <c:pt idx="1">
                  <c:v>Ambulating with staff assistance</c:v>
                </c:pt>
                <c:pt idx="2">
                  <c:v>Ambulating without assistance or assistive device</c:v>
                </c:pt>
                <c:pt idx="3">
                  <c:v>Changing position (e.g., in bed, chair)</c:v>
                </c:pt>
                <c:pt idx="4">
                  <c:v>Dressing or undressing</c:v>
                </c:pt>
                <c:pt idx="5">
                  <c:v>Other activity</c:v>
                </c:pt>
                <c:pt idx="6">
                  <c:v>Reaching for an item</c:v>
                </c:pt>
                <c:pt idx="7">
                  <c:v>Showering or bathing</c:v>
                </c:pt>
                <c:pt idx="8">
                  <c:v>Toileting</c:v>
                </c:pt>
                <c:pt idx="9">
                  <c:v>Transferring to or from bed, chair, wheelchair, etc.</c:v>
                </c:pt>
                <c:pt idx="10">
                  <c:v>Unknown</c:v>
                </c:pt>
              </c:strCache>
            </c:strRef>
          </c:cat>
          <c:val>
            <c:numRef>
              <c:f>Feb!$G$67:$G$90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AD81-4C2D-9279-B1EE6B923E8D}"/>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Feb!$B$51</c:f>
          <c:strCache>
            <c:ptCount val="1"/>
            <c:pt idx="0">
              <c:v>Witnessed Falls</c:v>
            </c:pt>
          </c:strCache>
        </c:strRef>
      </c:tx>
      <c:layout>
        <c:manualLayout>
          <c:xMode val="edge"/>
          <c:yMode val="edge"/>
          <c:x val="0.28456383934819923"/>
          <c:y val="4.8263836268180225E-2"/>
        </c:manualLayout>
      </c:layout>
      <c:overlay val="0"/>
      <c:spPr>
        <a:noFill/>
        <a:ln>
          <a:noFill/>
        </a:ln>
        <a:effectLst/>
      </c:spPr>
      <c:txPr>
        <a:bodyPr rot="0" spcFirstLastPara="1" vertOverflow="ellipsis" vert="horz" wrap="square" anchor="ctr" anchorCtr="1"/>
        <a:lstStyle/>
        <a:p>
          <a:pPr>
            <a:defRPr sz="1100" b="1" i="0" u="none" strike="noStrike" kern="1200" spc="0" baseline="0">
              <a:solidFill>
                <a:sysClr val="windowText" lastClr="000000"/>
              </a:solidFill>
              <a:latin typeface="+mn-lt"/>
              <a:ea typeface="+mn-ea"/>
              <a:cs typeface="+mn-cs"/>
            </a:defRPr>
          </a:pPr>
          <a:endParaRPr lang="en-US"/>
        </a:p>
      </c:txPr>
    </c:title>
    <c:autoTitleDeleted val="0"/>
    <c:plotArea>
      <c:layout/>
      <c:pieChart>
        <c:varyColors val="1"/>
        <c:ser>
          <c:idx val="2"/>
          <c:order val="0"/>
          <c:tx>
            <c:strRef>
              <c:f>Feb!$D$52</c:f>
              <c:strCache>
                <c:ptCount val="1"/>
                <c:pt idx="0">
                  <c:v>Total</c:v>
                </c:pt>
              </c:strCache>
            </c:strRef>
          </c:tx>
          <c:spPr>
            <a:solidFill>
              <a:srgbClr val="F7F7F7"/>
            </a:solidFill>
            <a:ln w="19050">
              <a:solidFill>
                <a:schemeClr val="bg2">
                  <a:lumMod val="90000"/>
                </a:schemeClr>
              </a:solidFill>
            </a:ln>
          </c:spPr>
          <c:dPt>
            <c:idx val="0"/>
            <c:bubble3D val="0"/>
            <c:spPr>
              <a:solidFill>
                <a:srgbClr val="F7F7F7"/>
              </a:solidFill>
              <a:ln w="19050">
                <a:solidFill>
                  <a:schemeClr val="bg2">
                    <a:lumMod val="90000"/>
                  </a:schemeClr>
                </a:solidFill>
              </a:ln>
              <a:effectLst/>
            </c:spPr>
            <c:extLst>
              <c:ext xmlns:c16="http://schemas.microsoft.com/office/drawing/2014/chart" uri="{C3380CC4-5D6E-409C-BE32-E72D297353CC}">
                <c16:uniqueId val="{00000001-D4BE-4420-BFED-460DE1B49E94}"/>
              </c:ext>
            </c:extLst>
          </c:dPt>
          <c:dPt>
            <c:idx val="1"/>
            <c:bubble3D val="0"/>
            <c:spPr>
              <a:solidFill>
                <a:schemeClr val="bg2"/>
              </a:solidFill>
              <a:ln w="19050">
                <a:solidFill>
                  <a:schemeClr val="bg2">
                    <a:lumMod val="90000"/>
                  </a:schemeClr>
                </a:solidFill>
              </a:ln>
              <a:effectLst/>
            </c:spPr>
            <c:extLst>
              <c:ext xmlns:c16="http://schemas.microsoft.com/office/drawing/2014/chart" uri="{C3380CC4-5D6E-409C-BE32-E72D297353CC}">
                <c16:uniqueId val="{00000003-D4BE-4420-BFED-460DE1B49E94}"/>
              </c:ext>
            </c:extLst>
          </c:dPt>
          <c:dLbls>
            <c:dLbl>
              <c:idx val="0"/>
              <c:layout>
                <c:manualLayout>
                  <c:x val="6.2922200858950839E-2"/>
                  <c:y val="-5.7940247469122956E-2"/>
                </c:manualLayout>
              </c:layout>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4BE-4420-BFED-460DE1B49E94}"/>
                </c:ext>
              </c:extLst>
            </c:dLbl>
            <c:dLbl>
              <c:idx val="1"/>
              <c:layout>
                <c:manualLayout>
                  <c:x val="-4.8011385115936479E-2"/>
                  <c:y val="2.6697554736401265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15:layout>
                    <c:manualLayout>
                      <c:w val="0.24931745400710711"/>
                      <c:h val="0.11967240535812428"/>
                    </c:manualLayout>
                  </c15:layout>
                </c:ext>
                <c:ext xmlns:c16="http://schemas.microsoft.com/office/drawing/2014/chart" uri="{C3380CC4-5D6E-409C-BE32-E72D297353CC}">
                  <c16:uniqueId val="{00000003-D4BE-4420-BFED-460DE1B49E9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Feb!$B$53:$B$54</c:f>
              <c:strCache>
                <c:ptCount val="2"/>
                <c:pt idx="0">
                  <c:v>Yes</c:v>
                </c:pt>
                <c:pt idx="1">
                  <c:v>No</c:v>
                </c:pt>
              </c:strCache>
            </c:strRef>
          </c:cat>
          <c:val>
            <c:numRef>
              <c:f>Feb!$D$53:$D$54</c:f>
              <c:numCache>
                <c:formatCode>General</c:formatCode>
                <c:ptCount val="2"/>
                <c:pt idx="0">
                  <c:v>0</c:v>
                </c:pt>
                <c:pt idx="1">
                  <c:v>0</c:v>
                </c:pt>
              </c:numCache>
            </c:numRef>
          </c:val>
          <c:extLst>
            <c:ext xmlns:c16="http://schemas.microsoft.com/office/drawing/2014/chart" uri="{C3380CC4-5D6E-409C-BE32-E72D297353CC}">
              <c16:uniqueId val="{00000004-D4BE-4420-BFED-460DE1B49E94}"/>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Feb!$B$171</c:f>
          <c:strCache>
            <c:ptCount val="1"/>
            <c:pt idx="0">
              <c:v>Falls by Contributing Factors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4"/>
          <c:order val="0"/>
          <c:tx>
            <c:strRef>
              <c:f>Feb!$G$172</c:f>
              <c:strCache>
                <c:ptCount val="1"/>
                <c:pt idx="0">
                  <c:v>Total</c:v>
                </c:pt>
              </c:strCache>
            </c:strRef>
          </c:tx>
          <c:spPr>
            <a:solidFill>
              <a:schemeClr val="bg2">
                <a:lumMod val="9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Feb!$B$173:$B$196</c:f>
              <c:strCache>
                <c:ptCount val="11"/>
                <c:pt idx="0">
                  <c:v>Assisted/caregiver transfer</c:v>
                </c:pt>
                <c:pt idx="1">
                  <c:v>Bowel and bladder (B&amp;B) needs</c:v>
                </c:pt>
                <c:pt idx="2">
                  <c:v>Behavioral or situational</c:v>
                </c:pt>
                <c:pt idx="3">
                  <c:v>Change of condition</c:v>
                </c:pt>
                <c:pt idx="4">
                  <c:v>Environmental factors</c:v>
                </c:pt>
                <c:pt idx="5">
                  <c:v>Equipment malfunction</c:v>
                </c:pt>
                <c:pt idx="6">
                  <c:v>Equipment or assistive device</c:v>
                </c:pt>
                <c:pt idx="7">
                  <c:v>Medication related</c:v>
                </c:pt>
                <c:pt idx="8">
                  <c:v>Process(s) not followed</c:v>
                </c:pt>
                <c:pt idx="9">
                  <c:v>Resident health conditions</c:v>
                </c:pt>
                <c:pt idx="10">
                  <c:v>Staff</c:v>
                </c:pt>
              </c:strCache>
            </c:strRef>
          </c:cat>
          <c:val>
            <c:numRef>
              <c:f>Feb!$G$173:$G$196</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43E1-4F46-8B21-4DABB22FC717}"/>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bg2">
                    <a:lumMod val="50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Feb!$F$51</c:f>
          <c:strCache>
            <c:ptCount val="1"/>
            <c:pt idx="0">
              <c:v>Fall Circumstances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Feb!$H$52</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Feb!$F$53:$F$55</c:f>
              <c:strCache>
                <c:ptCount val="3"/>
                <c:pt idx="0">
                  <c:v>Overwhelming Force</c:v>
                </c:pt>
                <c:pt idx="1">
                  <c:v>Intercepted</c:v>
                </c:pt>
                <c:pt idx="2">
                  <c:v>N/A</c:v>
                </c:pt>
              </c:strCache>
            </c:strRef>
          </c:cat>
          <c:val>
            <c:numRef>
              <c:f>Feb!$H$53:$H$55</c:f>
              <c:numCache>
                <c:formatCode>General</c:formatCode>
                <c:ptCount val="3"/>
                <c:pt idx="0">
                  <c:v>0</c:v>
                </c:pt>
                <c:pt idx="1">
                  <c:v>0</c:v>
                </c:pt>
                <c:pt idx="2">
                  <c:v>0</c:v>
                </c:pt>
              </c:numCache>
            </c:numRef>
          </c:val>
          <c:extLst>
            <c:ext xmlns:c16="http://schemas.microsoft.com/office/drawing/2014/chart" uri="{C3380CC4-5D6E-409C-BE32-E72D297353CC}">
              <c16:uniqueId val="{00000000-A30C-46BA-B0E6-37A8F31EEA22}"/>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Jan!$B$134</c:f>
          <c:strCache>
            <c:ptCount val="1"/>
            <c:pt idx="0">
              <c:v>Falls by Shift</c:v>
            </c:pt>
          </c:strCache>
        </c:strRef>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Feb!$D$135</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Feb!$B$136:$B$140</c:f>
              <c:strCache>
                <c:ptCount val="4"/>
                <c:pt idx="0">
                  <c:v>11-7</c:v>
                </c:pt>
                <c:pt idx="1">
                  <c:v>11–7</c:v>
                </c:pt>
                <c:pt idx="2">
                  <c:v>7–3</c:v>
                </c:pt>
                <c:pt idx="3">
                  <c:v>3–11</c:v>
                </c:pt>
              </c:strCache>
            </c:strRef>
          </c:cat>
          <c:val>
            <c:numRef>
              <c:f>Feb!$D$136:$D$140</c:f>
              <c:numCache>
                <c:formatCode>General</c:formatCode>
                <c:ptCount val="5"/>
                <c:pt idx="0">
                  <c:v>0</c:v>
                </c:pt>
                <c:pt idx="1">
                  <c:v>0</c:v>
                </c:pt>
                <c:pt idx="2">
                  <c:v>0</c:v>
                </c:pt>
                <c:pt idx="3">
                  <c:v>0</c:v>
                </c:pt>
                <c:pt idx="4">
                  <c:v>#N/A</c:v>
                </c:pt>
              </c:numCache>
            </c:numRef>
          </c:val>
          <c:extLst>
            <c:ext xmlns:c16="http://schemas.microsoft.com/office/drawing/2014/chart" uri="{C3380CC4-5D6E-409C-BE32-E72D297353CC}">
              <c16:uniqueId val="{00000001-3D42-4D1B-AB77-72F0EEC7CB17}"/>
            </c:ext>
          </c:extLst>
        </c:ser>
        <c:dLbls>
          <c:showLegendKey val="0"/>
          <c:showVal val="0"/>
          <c:showCatName val="0"/>
          <c:showSerName val="0"/>
          <c:showPercent val="0"/>
          <c:showBubbleSize val="0"/>
        </c:dLbls>
        <c:gapWidth val="219"/>
        <c:axId val="789078271"/>
        <c:axId val="789056671"/>
      </c:barChart>
      <c:catAx>
        <c:axId val="7890782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789056671"/>
        <c:crosses val="autoZero"/>
        <c:auto val="1"/>
        <c:lblAlgn val="ctr"/>
        <c:lblOffset val="100"/>
        <c:noMultiLvlLbl val="0"/>
      </c:catAx>
      <c:valAx>
        <c:axId val="789056671"/>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7890782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Mar!$B$93</c:f>
          <c:strCache>
            <c:ptCount val="1"/>
            <c:pt idx="0">
              <c:v>Falls by Location</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Mar!$D$94</c:f>
              <c:strCache>
                <c:ptCount val="1"/>
                <c:pt idx="0">
                  <c:v>Total</c:v>
                </c:pt>
              </c:strCache>
            </c:strRef>
          </c:tx>
          <c:spPr>
            <a:solidFill>
              <a:schemeClr val="accent3">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Mar!$B$95:$B$105</c:f>
              <c:strCache>
                <c:ptCount val="7"/>
                <c:pt idx="0">
                  <c:v>Activity Room</c:v>
                </c:pt>
                <c:pt idx="1">
                  <c:v>Bedroom</c:v>
                </c:pt>
                <c:pt idx="2">
                  <c:v>Bathroom</c:v>
                </c:pt>
                <c:pt idx="3">
                  <c:v>Hallway</c:v>
                </c:pt>
                <c:pt idx="4">
                  <c:v>Offsite</c:v>
                </c:pt>
                <c:pt idx="5">
                  <c:v>Shower Room</c:v>
                </c:pt>
                <c:pt idx="6">
                  <c:v>Dining Room</c:v>
                </c:pt>
              </c:strCache>
            </c:strRef>
          </c:cat>
          <c:val>
            <c:numRef>
              <c:f>Mar!$D$95:$D$105</c:f>
              <c:numCache>
                <c:formatCode>General</c:formatCode>
                <c:ptCount val="11"/>
                <c:pt idx="0">
                  <c:v>0</c:v>
                </c:pt>
                <c:pt idx="1">
                  <c:v>0</c:v>
                </c:pt>
                <c:pt idx="2">
                  <c:v>0</c:v>
                </c:pt>
                <c:pt idx="3">
                  <c:v>0</c:v>
                </c:pt>
                <c:pt idx="4">
                  <c:v>0</c:v>
                </c:pt>
                <c:pt idx="5">
                  <c:v>0</c:v>
                </c:pt>
                <c:pt idx="6">
                  <c:v>0</c:v>
                </c:pt>
                <c:pt idx="7">
                  <c:v>#N/A</c:v>
                </c:pt>
                <c:pt idx="8">
                  <c:v>#N/A</c:v>
                </c:pt>
                <c:pt idx="9">
                  <c:v>#N/A</c:v>
                </c:pt>
                <c:pt idx="10">
                  <c:v>#N/A</c:v>
                </c:pt>
              </c:numCache>
            </c:numRef>
          </c:val>
          <c:extLst>
            <c:ext xmlns:c16="http://schemas.microsoft.com/office/drawing/2014/chart" uri="{C3380CC4-5D6E-409C-BE32-E72D297353CC}">
              <c16:uniqueId val="{00000000-5C75-4A3A-A121-6AE196588672}"/>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Mar!$B$123</c:f>
          <c:strCache>
            <c:ptCount val="1"/>
            <c:pt idx="0">
              <c:v>Falls by Day of the Week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Mar!$D$124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Mar!$B$125:$B$131</c:f>
              <c:strCache>
                <c:ptCount val="7"/>
                <c:pt idx="0">
                  <c:v>Sun</c:v>
                </c:pt>
                <c:pt idx="1">
                  <c:v>Mon</c:v>
                </c:pt>
                <c:pt idx="2">
                  <c:v>Tue</c:v>
                </c:pt>
                <c:pt idx="3">
                  <c:v>Wed</c:v>
                </c:pt>
                <c:pt idx="4">
                  <c:v>Thu</c:v>
                </c:pt>
                <c:pt idx="5">
                  <c:v>Fri</c:v>
                </c:pt>
                <c:pt idx="6">
                  <c:v>Sat</c:v>
                </c:pt>
              </c:strCache>
            </c:strRef>
          </c:cat>
          <c:val>
            <c:numRef>
              <c:f>Mar!$D$125:$D$131</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BC27-46EE-BB9B-EC130B529A44}"/>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Mar!$B$108</c:f>
          <c:strCache>
            <c:ptCount val="1"/>
            <c:pt idx="0">
              <c:v>Falls by Nursing Station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Mar!$D$109</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Mar!$B$110:$B$120</c:f>
              <c:strCache>
                <c:ptCount val="5"/>
                <c:pt idx="0">
                  <c:v>1</c:v>
                </c:pt>
                <c:pt idx="1">
                  <c:v>2</c:v>
                </c:pt>
                <c:pt idx="2">
                  <c:v>3</c:v>
                </c:pt>
                <c:pt idx="3">
                  <c:v>4</c:v>
                </c:pt>
                <c:pt idx="4">
                  <c:v>5</c:v>
                </c:pt>
              </c:strCache>
            </c:strRef>
          </c:cat>
          <c:val>
            <c:numRef>
              <c:f>Mar!$D$110:$D$120</c:f>
              <c:numCache>
                <c:formatCode>General</c:formatCode>
                <c:ptCount val="11"/>
                <c:pt idx="0">
                  <c:v>0</c:v>
                </c:pt>
                <c:pt idx="1">
                  <c:v>0</c:v>
                </c:pt>
                <c:pt idx="2">
                  <c:v>0</c:v>
                </c:pt>
                <c:pt idx="3">
                  <c:v>0</c:v>
                </c:pt>
                <c:pt idx="4">
                  <c:v>0</c:v>
                </c:pt>
                <c:pt idx="5">
                  <c:v>#N/A</c:v>
                </c:pt>
                <c:pt idx="6">
                  <c:v>#N/A</c:v>
                </c:pt>
                <c:pt idx="7">
                  <c:v>#N/A</c:v>
                </c:pt>
                <c:pt idx="8">
                  <c:v>#N/A</c:v>
                </c:pt>
                <c:pt idx="9">
                  <c:v>#N/A</c:v>
                </c:pt>
                <c:pt idx="10">
                  <c:v>#N/A</c:v>
                </c:pt>
              </c:numCache>
            </c:numRef>
          </c:val>
          <c:extLst>
            <c:ext xmlns:c16="http://schemas.microsoft.com/office/drawing/2014/chart" uri="{C3380CC4-5D6E-409C-BE32-E72D297353CC}">
              <c16:uniqueId val="{00000000-838D-4BC9-B7F8-C132CDA758CF}"/>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Mar!$F$58</c:f>
          <c:strCache>
            <c:ptCount val="1"/>
            <c:pt idx="0">
              <c:v>Falls by BIMS Score</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Mar!$H$59</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Mar!$F$60:$F$62</c:f>
              <c:strCache>
                <c:ptCount val="3"/>
                <c:pt idx="0">
                  <c:v>Severe (1–7)</c:v>
                </c:pt>
                <c:pt idx="1">
                  <c:v>Moderate (8–12)</c:v>
                </c:pt>
                <c:pt idx="2">
                  <c:v>Intact (13–15)</c:v>
                </c:pt>
              </c:strCache>
            </c:strRef>
          </c:cat>
          <c:val>
            <c:numRef>
              <c:f>Mar!$H$60:$H$62</c:f>
              <c:numCache>
                <c:formatCode>General</c:formatCode>
                <c:ptCount val="3"/>
                <c:pt idx="0">
                  <c:v>0</c:v>
                </c:pt>
                <c:pt idx="1">
                  <c:v>0</c:v>
                </c:pt>
                <c:pt idx="2">
                  <c:v>0</c:v>
                </c:pt>
              </c:numCache>
            </c:numRef>
          </c:val>
          <c:extLst>
            <c:ext xmlns:c16="http://schemas.microsoft.com/office/drawing/2014/chart" uri="{C3380CC4-5D6E-409C-BE32-E72D297353CC}">
              <c16:uniqueId val="{00000000-2ABA-41BB-9FC5-4B3BFD1A3DF5}"/>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Mar!$B$143</c:f>
          <c:strCache>
            <c:ptCount val="1"/>
            <c:pt idx="0">
              <c:v>Falls by Hour </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1"/>
          <c:order val="0"/>
          <c:tx>
            <c:strRef>
              <c:f>Mar!$D$144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Mar!$B$145:$B$168</c:f>
              <c:strCache>
                <c:ptCount val="24"/>
                <c:pt idx="0">
                  <c:v>23:00–24:00</c:v>
                </c:pt>
                <c:pt idx="1">
                  <c:v>24:00–01:00</c:v>
                </c:pt>
                <c:pt idx="2">
                  <c:v>01:00–02:00</c:v>
                </c:pt>
                <c:pt idx="3">
                  <c:v>02:00–03:00</c:v>
                </c:pt>
                <c:pt idx="4">
                  <c:v>03:00–04:00</c:v>
                </c:pt>
                <c:pt idx="5">
                  <c:v>04:00–05:00</c:v>
                </c:pt>
                <c:pt idx="6">
                  <c:v>05:00–06:00</c:v>
                </c:pt>
                <c:pt idx="7">
                  <c:v>06:00–07:00</c:v>
                </c:pt>
                <c:pt idx="8">
                  <c:v>07:00–08:00</c:v>
                </c:pt>
                <c:pt idx="9">
                  <c:v>08:00–09:00</c:v>
                </c:pt>
                <c:pt idx="10">
                  <c:v>09:00–10:00</c:v>
                </c:pt>
                <c:pt idx="11">
                  <c:v>10:00–11:00</c:v>
                </c:pt>
                <c:pt idx="12">
                  <c:v>11:00–12:00</c:v>
                </c:pt>
                <c:pt idx="13">
                  <c:v>12:00–13:00</c:v>
                </c:pt>
                <c:pt idx="14">
                  <c:v>13:00–14:00</c:v>
                </c:pt>
                <c:pt idx="15">
                  <c:v>14:00–15:00</c:v>
                </c:pt>
                <c:pt idx="16">
                  <c:v>15:00–16:00</c:v>
                </c:pt>
                <c:pt idx="17">
                  <c:v>16:00–17:00</c:v>
                </c:pt>
                <c:pt idx="18">
                  <c:v>17:00–18:00</c:v>
                </c:pt>
                <c:pt idx="19">
                  <c:v>18:00–19:00</c:v>
                </c:pt>
                <c:pt idx="20">
                  <c:v>19:00–20:00</c:v>
                </c:pt>
                <c:pt idx="21">
                  <c:v>20:00–21:00</c:v>
                </c:pt>
                <c:pt idx="22">
                  <c:v>21:00–22:00</c:v>
                </c:pt>
                <c:pt idx="23">
                  <c:v>22:00–23:00</c:v>
                </c:pt>
              </c:strCache>
            </c:strRef>
          </c:cat>
          <c:val>
            <c:numRef>
              <c:f>Mar!$D$145:$D$168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9036-493D-BFEF-6858AFAE3C32}"/>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Mar!$B$65</c:f>
          <c:strCache>
            <c:ptCount val="1"/>
            <c:pt idx="0">
              <c:v>Falls by Activity</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Mar!$G$66</c:f>
              <c:strCache>
                <c:ptCount val="1"/>
                <c:pt idx="0">
                  <c:v>Total</c:v>
                </c:pt>
              </c:strCache>
            </c:strRef>
          </c:tx>
          <c:spPr>
            <a:solidFill>
              <a:schemeClr val="bg1">
                <a:lumMod val="75000"/>
              </a:schemeClr>
            </a:solidFill>
            <a:ln>
              <a:solidFill>
                <a:schemeClr val="bg1">
                  <a:lumMod val="85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Mar!$B$67:$B$90</c:f>
              <c:strCache>
                <c:ptCount val="11"/>
                <c:pt idx="0">
                  <c:v>Ambulating with assistive device (walker, cane, wheelchair)</c:v>
                </c:pt>
                <c:pt idx="1">
                  <c:v>Ambulating with staff assistance</c:v>
                </c:pt>
                <c:pt idx="2">
                  <c:v>Ambulating without assistance or assistive device</c:v>
                </c:pt>
                <c:pt idx="3">
                  <c:v>Changing position (e.g., in bed, chair)</c:v>
                </c:pt>
                <c:pt idx="4">
                  <c:v>Dressing or undressing</c:v>
                </c:pt>
                <c:pt idx="5">
                  <c:v>Other activity</c:v>
                </c:pt>
                <c:pt idx="6">
                  <c:v>Reaching for an item</c:v>
                </c:pt>
                <c:pt idx="7">
                  <c:v>Showering or bathing</c:v>
                </c:pt>
                <c:pt idx="8">
                  <c:v>Toileting</c:v>
                </c:pt>
                <c:pt idx="9">
                  <c:v>Transferring to or from bed, chair, wheelchair, etc.</c:v>
                </c:pt>
                <c:pt idx="10">
                  <c:v>Unknown</c:v>
                </c:pt>
              </c:strCache>
            </c:strRef>
          </c:cat>
          <c:val>
            <c:numRef>
              <c:f>Mar!$G$67:$G$90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B691-409F-A1EB-DBA6B8015856}"/>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Mar!$B$51</c:f>
          <c:strCache>
            <c:ptCount val="1"/>
            <c:pt idx="0">
              <c:v>Witnessed Falls</c:v>
            </c:pt>
          </c:strCache>
        </c:strRef>
      </c:tx>
      <c:layout>
        <c:manualLayout>
          <c:xMode val="edge"/>
          <c:yMode val="edge"/>
          <c:x val="0.28456383934819923"/>
          <c:y val="4.8263836268180225E-2"/>
        </c:manualLayout>
      </c:layout>
      <c:overlay val="0"/>
      <c:spPr>
        <a:noFill/>
        <a:ln>
          <a:noFill/>
        </a:ln>
        <a:effectLst/>
      </c:spPr>
      <c:txPr>
        <a:bodyPr rot="0" spcFirstLastPara="1" vertOverflow="ellipsis" vert="horz" wrap="square" anchor="ctr" anchorCtr="1"/>
        <a:lstStyle/>
        <a:p>
          <a:pPr>
            <a:defRPr sz="1100" b="1" i="0" u="none" strike="noStrike" kern="1200" spc="0" baseline="0">
              <a:solidFill>
                <a:sysClr val="windowText" lastClr="000000"/>
              </a:solidFill>
              <a:latin typeface="+mn-lt"/>
              <a:ea typeface="+mn-ea"/>
              <a:cs typeface="+mn-cs"/>
            </a:defRPr>
          </a:pPr>
          <a:endParaRPr lang="en-US"/>
        </a:p>
      </c:txPr>
    </c:title>
    <c:autoTitleDeleted val="0"/>
    <c:plotArea>
      <c:layout/>
      <c:pieChart>
        <c:varyColors val="1"/>
        <c:ser>
          <c:idx val="2"/>
          <c:order val="0"/>
          <c:tx>
            <c:strRef>
              <c:f>Mar!$D$52</c:f>
              <c:strCache>
                <c:ptCount val="1"/>
                <c:pt idx="0">
                  <c:v>Total</c:v>
                </c:pt>
              </c:strCache>
            </c:strRef>
          </c:tx>
          <c:spPr>
            <a:solidFill>
              <a:srgbClr val="F7F7F7"/>
            </a:solidFill>
            <a:ln w="19050">
              <a:solidFill>
                <a:schemeClr val="bg2">
                  <a:lumMod val="90000"/>
                </a:schemeClr>
              </a:solidFill>
            </a:ln>
          </c:spPr>
          <c:dPt>
            <c:idx val="0"/>
            <c:bubble3D val="0"/>
            <c:spPr>
              <a:solidFill>
                <a:srgbClr val="F7F7F7"/>
              </a:solidFill>
              <a:ln w="19050">
                <a:solidFill>
                  <a:schemeClr val="bg2">
                    <a:lumMod val="90000"/>
                  </a:schemeClr>
                </a:solidFill>
              </a:ln>
              <a:effectLst/>
            </c:spPr>
            <c:extLst>
              <c:ext xmlns:c16="http://schemas.microsoft.com/office/drawing/2014/chart" uri="{C3380CC4-5D6E-409C-BE32-E72D297353CC}">
                <c16:uniqueId val="{00000001-0E73-47B5-867D-627828C34F23}"/>
              </c:ext>
            </c:extLst>
          </c:dPt>
          <c:dPt>
            <c:idx val="1"/>
            <c:bubble3D val="0"/>
            <c:spPr>
              <a:solidFill>
                <a:schemeClr val="bg2"/>
              </a:solidFill>
              <a:ln w="19050">
                <a:solidFill>
                  <a:schemeClr val="bg2">
                    <a:lumMod val="90000"/>
                  </a:schemeClr>
                </a:solidFill>
              </a:ln>
              <a:effectLst/>
            </c:spPr>
            <c:extLst>
              <c:ext xmlns:c16="http://schemas.microsoft.com/office/drawing/2014/chart" uri="{C3380CC4-5D6E-409C-BE32-E72D297353CC}">
                <c16:uniqueId val="{00000003-0E73-47B5-867D-627828C34F23}"/>
              </c:ext>
            </c:extLst>
          </c:dPt>
          <c:dLbls>
            <c:dLbl>
              <c:idx val="0"/>
              <c:layout>
                <c:manualLayout>
                  <c:x val="6.2922200858950839E-2"/>
                  <c:y val="-5.7940247469122956E-2"/>
                </c:manualLayout>
              </c:layout>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E73-47B5-867D-627828C34F23}"/>
                </c:ext>
              </c:extLst>
            </c:dLbl>
            <c:dLbl>
              <c:idx val="1"/>
              <c:layout>
                <c:manualLayout>
                  <c:x val="-4.8011385115936479E-2"/>
                  <c:y val="2.6697554736401265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15:layout>
                    <c:manualLayout>
                      <c:w val="0.24931745400710711"/>
                      <c:h val="0.11967240535812428"/>
                    </c:manualLayout>
                  </c15:layout>
                </c:ext>
                <c:ext xmlns:c16="http://schemas.microsoft.com/office/drawing/2014/chart" uri="{C3380CC4-5D6E-409C-BE32-E72D297353CC}">
                  <c16:uniqueId val="{00000003-0E73-47B5-867D-627828C34F2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Mar!$B$53:$B$54</c:f>
              <c:strCache>
                <c:ptCount val="2"/>
                <c:pt idx="0">
                  <c:v>Yes</c:v>
                </c:pt>
                <c:pt idx="1">
                  <c:v>No</c:v>
                </c:pt>
              </c:strCache>
            </c:strRef>
          </c:cat>
          <c:val>
            <c:numRef>
              <c:f>Mar!$D$53:$D$54</c:f>
              <c:numCache>
                <c:formatCode>General</c:formatCode>
                <c:ptCount val="2"/>
                <c:pt idx="0">
                  <c:v>0</c:v>
                </c:pt>
                <c:pt idx="1">
                  <c:v>0</c:v>
                </c:pt>
              </c:numCache>
            </c:numRef>
          </c:val>
          <c:extLst>
            <c:ext xmlns:c16="http://schemas.microsoft.com/office/drawing/2014/chart" uri="{C3380CC4-5D6E-409C-BE32-E72D297353CC}">
              <c16:uniqueId val="{00000004-0E73-47B5-867D-627828C34F23}"/>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Mar!$B$171</c:f>
          <c:strCache>
            <c:ptCount val="1"/>
            <c:pt idx="0">
              <c:v>Falls by Contributing Factors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4"/>
          <c:order val="0"/>
          <c:tx>
            <c:strRef>
              <c:f>Mar!$G$172</c:f>
              <c:strCache>
                <c:ptCount val="1"/>
                <c:pt idx="0">
                  <c:v>Total</c:v>
                </c:pt>
              </c:strCache>
            </c:strRef>
          </c:tx>
          <c:spPr>
            <a:solidFill>
              <a:schemeClr val="bg2">
                <a:lumMod val="9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Mar!$B$173:$B$196</c:f>
              <c:strCache>
                <c:ptCount val="11"/>
                <c:pt idx="0">
                  <c:v>Assisted/caregiver transfer</c:v>
                </c:pt>
                <c:pt idx="1">
                  <c:v>Bowel and bladder (B&amp;B) needs</c:v>
                </c:pt>
                <c:pt idx="2">
                  <c:v>Behavioral or situational</c:v>
                </c:pt>
                <c:pt idx="3">
                  <c:v>Change of condition</c:v>
                </c:pt>
                <c:pt idx="4">
                  <c:v>Environmental factors</c:v>
                </c:pt>
                <c:pt idx="5">
                  <c:v>Equipment malfunction</c:v>
                </c:pt>
                <c:pt idx="6">
                  <c:v>Equipment or assistive device</c:v>
                </c:pt>
                <c:pt idx="7">
                  <c:v>Medication related</c:v>
                </c:pt>
                <c:pt idx="8">
                  <c:v>Process(s) not followed</c:v>
                </c:pt>
                <c:pt idx="9">
                  <c:v>Resident health conditions</c:v>
                </c:pt>
                <c:pt idx="10">
                  <c:v>Staff</c:v>
                </c:pt>
              </c:strCache>
            </c:strRef>
          </c:cat>
          <c:val>
            <c:numRef>
              <c:f>Mar!$G$173:$G$196</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135E-4EEA-992F-7CCEA8406E52}"/>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bg2">
                    <a:lumMod val="50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Mar!$F$51</c:f>
          <c:strCache>
            <c:ptCount val="1"/>
            <c:pt idx="0">
              <c:v>Fall Circumstances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Mar!$H$52</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Mar!$F$53:$F$55</c:f>
              <c:strCache>
                <c:ptCount val="3"/>
                <c:pt idx="0">
                  <c:v>Overwhelming Force</c:v>
                </c:pt>
                <c:pt idx="1">
                  <c:v>Intercepted</c:v>
                </c:pt>
                <c:pt idx="2">
                  <c:v>N/A</c:v>
                </c:pt>
              </c:strCache>
            </c:strRef>
          </c:cat>
          <c:val>
            <c:numRef>
              <c:f>Mar!$H$53:$H$55</c:f>
              <c:numCache>
                <c:formatCode>General</c:formatCode>
                <c:ptCount val="3"/>
                <c:pt idx="0">
                  <c:v>0</c:v>
                </c:pt>
                <c:pt idx="1">
                  <c:v>0</c:v>
                </c:pt>
                <c:pt idx="2">
                  <c:v>0</c:v>
                </c:pt>
              </c:numCache>
            </c:numRef>
          </c:val>
          <c:extLst>
            <c:ext xmlns:c16="http://schemas.microsoft.com/office/drawing/2014/chart" uri="{C3380CC4-5D6E-409C-BE32-E72D297353CC}">
              <c16:uniqueId val="{00000000-C58D-43F6-ADF3-361A0A04BCDF}"/>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Jan!$B$134</c:f>
          <c:strCache>
            <c:ptCount val="1"/>
            <c:pt idx="0">
              <c:v>Falls by Shift</c:v>
            </c:pt>
          </c:strCache>
        </c:strRef>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Mar!$D$135</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Mar!$B$136:$B$140</c:f>
              <c:strCache>
                <c:ptCount val="4"/>
                <c:pt idx="0">
                  <c:v>11-7</c:v>
                </c:pt>
                <c:pt idx="1">
                  <c:v>11–7</c:v>
                </c:pt>
                <c:pt idx="2">
                  <c:v>7–3</c:v>
                </c:pt>
                <c:pt idx="3">
                  <c:v>3–11</c:v>
                </c:pt>
              </c:strCache>
            </c:strRef>
          </c:cat>
          <c:val>
            <c:numRef>
              <c:f>Mar!$D$136:$D$140</c:f>
              <c:numCache>
                <c:formatCode>General</c:formatCode>
                <c:ptCount val="5"/>
                <c:pt idx="0">
                  <c:v>0</c:v>
                </c:pt>
                <c:pt idx="1">
                  <c:v>0</c:v>
                </c:pt>
                <c:pt idx="2">
                  <c:v>0</c:v>
                </c:pt>
                <c:pt idx="3">
                  <c:v>0</c:v>
                </c:pt>
                <c:pt idx="4">
                  <c:v>#N/A</c:v>
                </c:pt>
              </c:numCache>
            </c:numRef>
          </c:val>
          <c:extLst>
            <c:ext xmlns:c16="http://schemas.microsoft.com/office/drawing/2014/chart" uri="{C3380CC4-5D6E-409C-BE32-E72D297353CC}">
              <c16:uniqueId val="{00000001-AD54-45BC-A8F6-27A5E2D66EF7}"/>
            </c:ext>
          </c:extLst>
        </c:ser>
        <c:dLbls>
          <c:showLegendKey val="0"/>
          <c:showVal val="0"/>
          <c:showCatName val="0"/>
          <c:showSerName val="0"/>
          <c:showPercent val="0"/>
          <c:showBubbleSize val="0"/>
        </c:dLbls>
        <c:gapWidth val="219"/>
        <c:axId val="789078271"/>
        <c:axId val="789056671"/>
      </c:barChart>
      <c:catAx>
        <c:axId val="7890782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789056671"/>
        <c:crosses val="autoZero"/>
        <c:auto val="1"/>
        <c:lblAlgn val="ctr"/>
        <c:lblOffset val="100"/>
        <c:noMultiLvlLbl val="0"/>
      </c:catAx>
      <c:valAx>
        <c:axId val="789056671"/>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7890782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Apr!$B$93</c:f>
          <c:strCache>
            <c:ptCount val="1"/>
            <c:pt idx="0">
              <c:v>Falls by Location</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Apr!$D$94</c:f>
              <c:strCache>
                <c:ptCount val="1"/>
                <c:pt idx="0">
                  <c:v>Total</c:v>
                </c:pt>
              </c:strCache>
            </c:strRef>
          </c:tx>
          <c:spPr>
            <a:solidFill>
              <a:schemeClr val="accent3">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Apr!$B$95:$B$105</c:f>
              <c:strCache>
                <c:ptCount val="7"/>
                <c:pt idx="0">
                  <c:v>Activity Room</c:v>
                </c:pt>
                <c:pt idx="1">
                  <c:v>Bedroom</c:v>
                </c:pt>
                <c:pt idx="2">
                  <c:v>Bathroom</c:v>
                </c:pt>
                <c:pt idx="3">
                  <c:v>Hallway</c:v>
                </c:pt>
                <c:pt idx="4">
                  <c:v>Offsite</c:v>
                </c:pt>
                <c:pt idx="5">
                  <c:v>Shower Room</c:v>
                </c:pt>
                <c:pt idx="6">
                  <c:v>Dining Room</c:v>
                </c:pt>
              </c:strCache>
            </c:strRef>
          </c:cat>
          <c:val>
            <c:numRef>
              <c:f>Apr!$D$95:$D$105</c:f>
              <c:numCache>
                <c:formatCode>General</c:formatCode>
                <c:ptCount val="11"/>
                <c:pt idx="0">
                  <c:v>0</c:v>
                </c:pt>
                <c:pt idx="1">
                  <c:v>0</c:v>
                </c:pt>
                <c:pt idx="2">
                  <c:v>0</c:v>
                </c:pt>
                <c:pt idx="3">
                  <c:v>0</c:v>
                </c:pt>
                <c:pt idx="4">
                  <c:v>0</c:v>
                </c:pt>
                <c:pt idx="5">
                  <c:v>0</c:v>
                </c:pt>
                <c:pt idx="6">
                  <c:v>0</c:v>
                </c:pt>
                <c:pt idx="7">
                  <c:v>#N/A</c:v>
                </c:pt>
                <c:pt idx="8">
                  <c:v>#N/A</c:v>
                </c:pt>
                <c:pt idx="9">
                  <c:v>#N/A</c:v>
                </c:pt>
                <c:pt idx="10">
                  <c:v>#N/A</c:v>
                </c:pt>
              </c:numCache>
            </c:numRef>
          </c:val>
          <c:extLst>
            <c:ext xmlns:c16="http://schemas.microsoft.com/office/drawing/2014/chart" uri="{C3380CC4-5D6E-409C-BE32-E72D297353CC}">
              <c16:uniqueId val="{00000000-D3B9-407E-802C-1D7FC970EBCD}"/>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Apr!$B$123</c:f>
          <c:strCache>
            <c:ptCount val="1"/>
            <c:pt idx="0">
              <c:v>Falls by Day of the Week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Apr!$D$124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Apr!$B$125:$B$131</c:f>
              <c:strCache>
                <c:ptCount val="7"/>
                <c:pt idx="0">
                  <c:v>Sun</c:v>
                </c:pt>
                <c:pt idx="1">
                  <c:v>Mon</c:v>
                </c:pt>
                <c:pt idx="2">
                  <c:v>Tue</c:v>
                </c:pt>
                <c:pt idx="3">
                  <c:v>Wed</c:v>
                </c:pt>
                <c:pt idx="4">
                  <c:v>Thu</c:v>
                </c:pt>
                <c:pt idx="5">
                  <c:v>Fri</c:v>
                </c:pt>
                <c:pt idx="6">
                  <c:v>Sat</c:v>
                </c:pt>
              </c:strCache>
            </c:strRef>
          </c:cat>
          <c:val>
            <c:numRef>
              <c:f>Apr!$D$125:$D$131</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F2A7-4195-9023-DE1DAEE2C732}"/>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Apr!$B$108</c:f>
          <c:strCache>
            <c:ptCount val="1"/>
            <c:pt idx="0">
              <c:v>Falls by Nursing Station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Apr!$D$109</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Apr!$B$110:$B$120</c:f>
              <c:strCache>
                <c:ptCount val="5"/>
                <c:pt idx="0">
                  <c:v>1</c:v>
                </c:pt>
                <c:pt idx="1">
                  <c:v>2</c:v>
                </c:pt>
                <c:pt idx="2">
                  <c:v>3</c:v>
                </c:pt>
                <c:pt idx="3">
                  <c:v>4</c:v>
                </c:pt>
                <c:pt idx="4">
                  <c:v>5</c:v>
                </c:pt>
              </c:strCache>
            </c:strRef>
          </c:cat>
          <c:val>
            <c:numRef>
              <c:f>Apr!$D$110:$D$120</c:f>
              <c:numCache>
                <c:formatCode>General</c:formatCode>
                <c:ptCount val="11"/>
                <c:pt idx="0">
                  <c:v>0</c:v>
                </c:pt>
                <c:pt idx="1">
                  <c:v>0</c:v>
                </c:pt>
                <c:pt idx="2">
                  <c:v>0</c:v>
                </c:pt>
                <c:pt idx="3">
                  <c:v>0</c:v>
                </c:pt>
                <c:pt idx="4">
                  <c:v>0</c:v>
                </c:pt>
                <c:pt idx="5">
                  <c:v>#N/A</c:v>
                </c:pt>
                <c:pt idx="6">
                  <c:v>#N/A</c:v>
                </c:pt>
                <c:pt idx="7">
                  <c:v>#N/A</c:v>
                </c:pt>
                <c:pt idx="8">
                  <c:v>#N/A</c:v>
                </c:pt>
                <c:pt idx="9">
                  <c:v>#N/A</c:v>
                </c:pt>
                <c:pt idx="10">
                  <c:v>#N/A</c:v>
                </c:pt>
              </c:numCache>
            </c:numRef>
          </c:val>
          <c:extLst>
            <c:ext xmlns:c16="http://schemas.microsoft.com/office/drawing/2014/chart" uri="{C3380CC4-5D6E-409C-BE32-E72D297353CC}">
              <c16:uniqueId val="{00000000-8B51-4AC9-BC4A-39D9856B3BA2}"/>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Apr!$F$58</c:f>
          <c:strCache>
            <c:ptCount val="1"/>
            <c:pt idx="0">
              <c:v>Falls by BIMS Score</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Apr!$H$59</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Apr!$F$60:$F$62</c:f>
              <c:strCache>
                <c:ptCount val="3"/>
                <c:pt idx="0">
                  <c:v>Severe (1–7)</c:v>
                </c:pt>
                <c:pt idx="1">
                  <c:v>Moderate (8–12)</c:v>
                </c:pt>
                <c:pt idx="2">
                  <c:v>Intact (13–15)</c:v>
                </c:pt>
              </c:strCache>
            </c:strRef>
          </c:cat>
          <c:val>
            <c:numRef>
              <c:f>Apr!$H$60:$H$62</c:f>
              <c:numCache>
                <c:formatCode>General</c:formatCode>
                <c:ptCount val="3"/>
                <c:pt idx="0">
                  <c:v>0</c:v>
                </c:pt>
                <c:pt idx="1">
                  <c:v>0</c:v>
                </c:pt>
                <c:pt idx="2">
                  <c:v>0</c:v>
                </c:pt>
              </c:numCache>
            </c:numRef>
          </c:val>
          <c:extLst>
            <c:ext xmlns:c16="http://schemas.microsoft.com/office/drawing/2014/chart" uri="{C3380CC4-5D6E-409C-BE32-E72D297353CC}">
              <c16:uniqueId val="{00000000-1C0C-49F1-A2EA-4FEE96A28694}"/>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Apr!$B$143</c:f>
          <c:strCache>
            <c:ptCount val="1"/>
            <c:pt idx="0">
              <c:v>Falls by Hour </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1"/>
          <c:order val="0"/>
          <c:tx>
            <c:strRef>
              <c:f>Apr!$D$144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Apr!$B$145:$B$168</c:f>
              <c:strCache>
                <c:ptCount val="24"/>
                <c:pt idx="0">
                  <c:v>23:00–24:00</c:v>
                </c:pt>
                <c:pt idx="1">
                  <c:v>24:00–01:00</c:v>
                </c:pt>
                <c:pt idx="2">
                  <c:v>01:00–02:00</c:v>
                </c:pt>
                <c:pt idx="3">
                  <c:v>02:00–03:00</c:v>
                </c:pt>
                <c:pt idx="4">
                  <c:v>03:00–04:00</c:v>
                </c:pt>
                <c:pt idx="5">
                  <c:v>04:00–05:00</c:v>
                </c:pt>
                <c:pt idx="6">
                  <c:v>05:00–06:00</c:v>
                </c:pt>
                <c:pt idx="7">
                  <c:v>06:00–07:00</c:v>
                </c:pt>
                <c:pt idx="8">
                  <c:v>07:00–08:00</c:v>
                </c:pt>
                <c:pt idx="9">
                  <c:v>08:00–09:00</c:v>
                </c:pt>
                <c:pt idx="10">
                  <c:v>09:00–10:00</c:v>
                </c:pt>
                <c:pt idx="11">
                  <c:v>10:00–11:00</c:v>
                </c:pt>
                <c:pt idx="12">
                  <c:v>11:00–12:00</c:v>
                </c:pt>
                <c:pt idx="13">
                  <c:v>12:00–13:00</c:v>
                </c:pt>
                <c:pt idx="14">
                  <c:v>13:00–14:00</c:v>
                </c:pt>
                <c:pt idx="15">
                  <c:v>14:00–15:00</c:v>
                </c:pt>
                <c:pt idx="16">
                  <c:v>15:00–16:00</c:v>
                </c:pt>
                <c:pt idx="17">
                  <c:v>16:00–17:00</c:v>
                </c:pt>
                <c:pt idx="18">
                  <c:v>17:00–18:00</c:v>
                </c:pt>
                <c:pt idx="19">
                  <c:v>18:00–19:00</c:v>
                </c:pt>
                <c:pt idx="20">
                  <c:v>19:00–20:00</c:v>
                </c:pt>
                <c:pt idx="21">
                  <c:v>20:00–21:00</c:v>
                </c:pt>
                <c:pt idx="22">
                  <c:v>21:00–22:00</c:v>
                </c:pt>
                <c:pt idx="23">
                  <c:v>22:00–23:00</c:v>
                </c:pt>
              </c:strCache>
            </c:strRef>
          </c:cat>
          <c:val>
            <c:numRef>
              <c:f>Apr!$D$145:$D$168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9D2A-41F6-9459-98C8C8247F84}"/>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Apr!$B$65</c:f>
          <c:strCache>
            <c:ptCount val="1"/>
            <c:pt idx="0">
              <c:v>Falls by Activity</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Apr!$G$66</c:f>
              <c:strCache>
                <c:ptCount val="1"/>
                <c:pt idx="0">
                  <c:v>Total</c:v>
                </c:pt>
              </c:strCache>
            </c:strRef>
          </c:tx>
          <c:spPr>
            <a:solidFill>
              <a:schemeClr val="bg1">
                <a:lumMod val="75000"/>
              </a:schemeClr>
            </a:solidFill>
            <a:ln>
              <a:solidFill>
                <a:schemeClr val="bg1">
                  <a:lumMod val="85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Apr!$B$67:$B$90</c:f>
              <c:strCache>
                <c:ptCount val="11"/>
                <c:pt idx="0">
                  <c:v>Ambulating with assistive device (walker, cane, wheelchair)</c:v>
                </c:pt>
                <c:pt idx="1">
                  <c:v>Ambulating with staff assistance</c:v>
                </c:pt>
                <c:pt idx="2">
                  <c:v>Ambulating without assistance or assistive device</c:v>
                </c:pt>
                <c:pt idx="3">
                  <c:v>Changing position (e.g., in bed, chair)</c:v>
                </c:pt>
                <c:pt idx="4">
                  <c:v>Dressing or undressing</c:v>
                </c:pt>
                <c:pt idx="5">
                  <c:v>Other activity</c:v>
                </c:pt>
                <c:pt idx="6">
                  <c:v>Reaching for an item</c:v>
                </c:pt>
                <c:pt idx="7">
                  <c:v>Showering or bathing</c:v>
                </c:pt>
                <c:pt idx="8">
                  <c:v>Toileting</c:v>
                </c:pt>
                <c:pt idx="9">
                  <c:v>Transferring to or from bed, chair, wheelchair, etc.</c:v>
                </c:pt>
                <c:pt idx="10">
                  <c:v>Unknown</c:v>
                </c:pt>
              </c:strCache>
            </c:strRef>
          </c:cat>
          <c:val>
            <c:numRef>
              <c:f>Apr!$G$67:$G$90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A898-4A6F-977A-5D4C115539BB}"/>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Apr!$B$51</c:f>
          <c:strCache>
            <c:ptCount val="1"/>
            <c:pt idx="0">
              <c:v>Witnessed Falls</c:v>
            </c:pt>
          </c:strCache>
        </c:strRef>
      </c:tx>
      <c:layout>
        <c:manualLayout>
          <c:xMode val="edge"/>
          <c:yMode val="edge"/>
          <c:x val="0.28456383934819923"/>
          <c:y val="4.8263836268180225E-2"/>
        </c:manualLayout>
      </c:layout>
      <c:overlay val="0"/>
      <c:spPr>
        <a:noFill/>
        <a:ln>
          <a:noFill/>
        </a:ln>
        <a:effectLst/>
      </c:spPr>
      <c:txPr>
        <a:bodyPr rot="0" spcFirstLastPara="1" vertOverflow="ellipsis" vert="horz" wrap="square" anchor="ctr" anchorCtr="1"/>
        <a:lstStyle/>
        <a:p>
          <a:pPr>
            <a:defRPr sz="1100" b="1" i="0" u="none" strike="noStrike" kern="1200" spc="0" baseline="0">
              <a:solidFill>
                <a:sysClr val="windowText" lastClr="000000"/>
              </a:solidFill>
              <a:latin typeface="+mn-lt"/>
              <a:ea typeface="+mn-ea"/>
              <a:cs typeface="+mn-cs"/>
            </a:defRPr>
          </a:pPr>
          <a:endParaRPr lang="en-US"/>
        </a:p>
      </c:txPr>
    </c:title>
    <c:autoTitleDeleted val="0"/>
    <c:plotArea>
      <c:layout/>
      <c:pieChart>
        <c:varyColors val="1"/>
        <c:ser>
          <c:idx val="2"/>
          <c:order val="0"/>
          <c:tx>
            <c:strRef>
              <c:f>Apr!$D$52</c:f>
              <c:strCache>
                <c:ptCount val="1"/>
                <c:pt idx="0">
                  <c:v>Total</c:v>
                </c:pt>
              </c:strCache>
            </c:strRef>
          </c:tx>
          <c:spPr>
            <a:solidFill>
              <a:srgbClr val="F7F7F7"/>
            </a:solidFill>
            <a:ln w="19050">
              <a:solidFill>
                <a:schemeClr val="bg2">
                  <a:lumMod val="90000"/>
                </a:schemeClr>
              </a:solidFill>
            </a:ln>
          </c:spPr>
          <c:dPt>
            <c:idx val="0"/>
            <c:bubble3D val="0"/>
            <c:spPr>
              <a:solidFill>
                <a:srgbClr val="F7F7F7"/>
              </a:solidFill>
              <a:ln w="19050">
                <a:solidFill>
                  <a:schemeClr val="bg2">
                    <a:lumMod val="90000"/>
                  </a:schemeClr>
                </a:solidFill>
              </a:ln>
              <a:effectLst/>
            </c:spPr>
            <c:extLst>
              <c:ext xmlns:c16="http://schemas.microsoft.com/office/drawing/2014/chart" uri="{C3380CC4-5D6E-409C-BE32-E72D297353CC}">
                <c16:uniqueId val="{00000001-0C7D-4ED6-84AC-BDDB4E0EEB69}"/>
              </c:ext>
            </c:extLst>
          </c:dPt>
          <c:dPt>
            <c:idx val="1"/>
            <c:bubble3D val="0"/>
            <c:spPr>
              <a:solidFill>
                <a:schemeClr val="bg2"/>
              </a:solidFill>
              <a:ln w="19050">
                <a:solidFill>
                  <a:schemeClr val="bg2">
                    <a:lumMod val="90000"/>
                  </a:schemeClr>
                </a:solidFill>
              </a:ln>
              <a:effectLst/>
            </c:spPr>
            <c:extLst>
              <c:ext xmlns:c16="http://schemas.microsoft.com/office/drawing/2014/chart" uri="{C3380CC4-5D6E-409C-BE32-E72D297353CC}">
                <c16:uniqueId val="{00000003-0C7D-4ED6-84AC-BDDB4E0EEB69}"/>
              </c:ext>
            </c:extLst>
          </c:dPt>
          <c:dLbls>
            <c:dLbl>
              <c:idx val="0"/>
              <c:layout>
                <c:manualLayout>
                  <c:x val="6.2922200858950839E-2"/>
                  <c:y val="-5.7940247469122956E-2"/>
                </c:manualLayout>
              </c:layout>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C7D-4ED6-84AC-BDDB4E0EEB69}"/>
                </c:ext>
              </c:extLst>
            </c:dLbl>
            <c:dLbl>
              <c:idx val="1"/>
              <c:layout>
                <c:manualLayout>
                  <c:x val="-4.8011385115936479E-2"/>
                  <c:y val="2.6697554736401265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15:layout>
                    <c:manualLayout>
                      <c:w val="0.24931745400710711"/>
                      <c:h val="0.11967240535812428"/>
                    </c:manualLayout>
                  </c15:layout>
                </c:ext>
                <c:ext xmlns:c16="http://schemas.microsoft.com/office/drawing/2014/chart" uri="{C3380CC4-5D6E-409C-BE32-E72D297353CC}">
                  <c16:uniqueId val="{00000003-0C7D-4ED6-84AC-BDDB4E0EEB6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Apr!$B$53:$B$54</c:f>
              <c:strCache>
                <c:ptCount val="2"/>
                <c:pt idx="0">
                  <c:v>Yes</c:v>
                </c:pt>
                <c:pt idx="1">
                  <c:v>No</c:v>
                </c:pt>
              </c:strCache>
            </c:strRef>
          </c:cat>
          <c:val>
            <c:numRef>
              <c:f>Apr!$D$53:$D$54</c:f>
              <c:numCache>
                <c:formatCode>General</c:formatCode>
                <c:ptCount val="2"/>
                <c:pt idx="0">
                  <c:v>0</c:v>
                </c:pt>
                <c:pt idx="1">
                  <c:v>0</c:v>
                </c:pt>
              </c:numCache>
            </c:numRef>
          </c:val>
          <c:extLst>
            <c:ext xmlns:c16="http://schemas.microsoft.com/office/drawing/2014/chart" uri="{C3380CC4-5D6E-409C-BE32-E72D297353CC}">
              <c16:uniqueId val="{00000004-0C7D-4ED6-84AC-BDDB4E0EEB69}"/>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Apr!$B$171</c:f>
          <c:strCache>
            <c:ptCount val="1"/>
            <c:pt idx="0">
              <c:v>Falls by Contributing Factors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4"/>
          <c:order val="0"/>
          <c:tx>
            <c:strRef>
              <c:f>Apr!$G$172</c:f>
              <c:strCache>
                <c:ptCount val="1"/>
                <c:pt idx="0">
                  <c:v>Total</c:v>
                </c:pt>
              </c:strCache>
            </c:strRef>
          </c:tx>
          <c:spPr>
            <a:solidFill>
              <a:schemeClr val="bg2">
                <a:lumMod val="9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Apr!$B$173:$B$196</c:f>
              <c:strCache>
                <c:ptCount val="11"/>
                <c:pt idx="0">
                  <c:v>Assisted/caregiver transfer</c:v>
                </c:pt>
                <c:pt idx="1">
                  <c:v>Bowel and bladder (B&amp;B) needs</c:v>
                </c:pt>
                <c:pt idx="2">
                  <c:v>Behavioral or situational</c:v>
                </c:pt>
                <c:pt idx="3">
                  <c:v>Change of condition</c:v>
                </c:pt>
                <c:pt idx="4">
                  <c:v>Environmental factors</c:v>
                </c:pt>
                <c:pt idx="5">
                  <c:v>Equipment malfunction</c:v>
                </c:pt>
                <c:pt idx="6">
                  <c:v>Equipment or assistive device</c:v>
                </c:pt>
                <c:pt idx="7">
                  <c:v>Medication related</c:v>
                </c:pt>
                <c:pt idx="8">
                  <c:v>Process(s) not followed</c:v>
                </c:pt>
                <c:pt idx="9">
                  <c:v>Resident health conditions</c:v>
                </c:pt>
                <c:pt idx="10">
                  <c:v>Staff</c:v>
                </c:pt>
              </c:strCache>
            </c:strRef>
          </c:cat>
          <c:val>
            <c:numRef>
              <c:f>Apr!$G$173:$G$196</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804C-44EA-A97C-83B83FA27CFE}"/>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bg2">
                    <a:lumMod val="50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Apr!$F$51</c:f>
          <c:strCache>
            <c:ptCount val="1"/>
            <c:pt idx="0">
              <c:v>Fall Circumstances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Apr!$H$52</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Apr!$F$53:$F$55</c:f>
              <c:strCache>
                <c:ptCount val="3"/>
                <c:pt idx="0">
                  <c:v>Overwhelming Force</c:v>
                </c:pt>
                <c:pt idx="1">
                  <c:v>Intercepted</c:v>
                </c:pt>
                <c:pt idx="2">
                  <c:v>N/A</c:v>
                </c:pt>
              </c:strCache>
            </c:strRef>
          </c:cat>
          <c:val>
            <c:numRef>
              <c:f>Apr!$H$53:$H$55</c:f>
              <c:numCache>
                <c:formatCode>General</c:formatCode>
                <c:ptCount val="3"/>
                <c:pt idx="0">
                  <c:v>0</c:v>
                </c:pt>
                <c:pt idx="1">
                  <c:v>0</c:v>
                </c:pt>
                <c:pt idx="2">
                  <c:v>0</c:v>
                </c:pt>
              </c:numCache>
            </c:numRef>
          </c:val>
          <c:extLst>
            <c:ext xmlns:c16="http://schemas.microsoft.com/office/drawing/2014/chart" uri="{C3380CC4-5D6E-409C-BE32-E72D297353CC}">
              <c16:uniqueId val="{00000000-F183-47F6-9DA2-03F5C3F4F184}"/>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Jan!$B$134</c:f>
          <c:strCache>
            <c:ptCount val="1"/>
            <c:pt idx="0">
              <c:v>Falls by Shift</c:v>
            </c:pt>
          </c:strCache>
        </c:strRef>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Apr!$D$135</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Apr!$B$136:$B$140</c:f>
              <c:strCache>
                <c:ptCount val="4"/>
                <c:pt idx="0">
                  <c:v>11-7</c:v>
                </c:pt>
                <c:pt idx="1">
                  <c:v>11–7</c:v>
                </c:pt>
                <c:pt idx="2">
                  <c:v>7–3</c:v>
                </c:pt>
                <c:pt idx="3">
                  <c:v>3–11</c:v>
                </c:pt>
              </c:strCache>
            </c:strRef>
          </c:cat>
          <c:val>
            <c:numRef>
              <c:f>Apr!$D$136:$D$140</c:f>
              <c:numCache>
                <c:formatCode>General</c:formatCode>
                <c:ptCount val="5"/>
                <c:pt idx="0">
                  <c:v>0</c:v>
                </c:pt>
                <c:pt idx="1">
                  <c:v>0</c:v>
                </c:pt>
                <c:pt idx="2">
                  <c:v>0</c:v>
                </c:pt>
                <c:pt idx="3">
                  <c:v>0</c:v>
                </c:pt>
                <c:pt idx="4">
                  <c:v>#N/A</c:v>
                </c:pt>
              </c:numCache>
            </c:numRef>
          </c:val>
          <c:extLst>
            <c:ext xmlns:c16="http://schemas.microsoft.com/office/drawing/2014/chart" uri="{C3380CC4-5D6E-409C-BE32-E72D297353CC}">
              <c16:uniqueId val="{00000001-8904-4F54-94DC-6F2B0B70F226}"/>
            </c:ext>
          </c:extLst>
        </c:ser>
        <c:dLbls>
          <c:showLegendKey val="0"/>
          <c:showVal val="0"/>
          <c:showCatName val="0"/>
          <c:showSerName val="0"/>
          <c:showPercent val="0"/>
          <c:showBubbleSize val="0"/>
        </c:dLbls>
        <c:gapWidth val="219"/>
        <c:axId val="789078271"/>
        <c:axId val="789056671"/>
      </c:barChart>
      <c:catAx>
        <c:axId val="7890782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789056671"/>
        <c:crosses val="autoZero"/>
        <c:auto val="1"/>
        <c:lblAlgn val="ctr"/>
        <c:lblOffset val="100"/>
        <c:noMultiLvlLbl val="0"/>
      </c:catAx>
      <c:valAx>
        <c:axId val="789056671"/>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7890782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May!$B$93</c:f>
          <c:strCache>
            <c:ptCount val="1"/>
            <c:pt idx="0">
              <c:v>Falls by Location</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May!$D$94</c:f>
              <c:strCache>
                <c:ptCount val="1"/>
                <c:pt idx="0">
                  <c:v>Total</c:v>
                </c:pt>
              </c:strCache>
            </c:strRef>
          </c:tx>
          <c:spPr>
            <a:solidFill>
              <a:schemeClr val="accent3">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May!$B$95:$B$105</c:f>
              <c:strCache>
                <c:ptCount val="7"/>
                <c:pt idx="0">
                  <c:v>Activity Room</c:v>
                </c:pt>
                <c:pt idx="1">
                  <c:v>Bedroom</c:v>
                </c:pt>
                <c:pt idx="2">
                  <c:v>Bathroom</c:v>
                </c:pt>
                <c:pt idx="3">
                  <c:v>Hallway</c:v>
                </c:pt>
                <c:pt idx="4">
                  <c:v>Offsite</c:v>
                </c:pt>
                <c:pt idx="5">
                  <c:v>Shower Room</c:v>
                </c:pt>
                <c:pt idx="6">
                  <c:v>Dining Room</c:v>
                </c:pt>
              </c:strCache>
            </c:strRef>
          </c:cat>
          <c:val>
            <c:numRef>
              <c:f>May!$D$95:$D$105</c:f>
              <c:numCache>
                <c:formatCode>General</c:formatCode>
                <c:ptCount val="11"/>
                <c:pt idx="0">
                  <c:v>0</c:v>
                </c:pt>
                <c:pt idx="1">
                  <c:v>0</c:v>
                </c:pt>
                <c:pt idx="2">
                  <c:v>0</c:v>
                </c:pt>
                <c:pt idx="3">
                  <c:v>0</c:v>
                </c:pt>
                <c:pt idx="4">
                  <c:v>0</c:v>
                </c:pt>
                <c:pt idx="5">
                  <c:v>0</c:v>
                </c:pt>
                <c:pt idx="6">
                  <c:v>0</c:v>
                </c:pt>
                <c:pt idx="7">
                  <c:v>#N/A</c:v>
                </c:pt>
                <c:pt idx="8">
                  <c:v>#N/A</c:v>
                </c:pt>
                <c:pt idx="9">
                  <c:v>#N/A</c:v>
                </c:pt>
                <c:pt idx="10">
                  <c:v>#N/A</c:v>
                </c:pt>
              </c:numCache>
            </c:numRef>
          </c:val>
          <c:extLst>
            <c:ext xmlns:c16="http://schemas.microsoft.com/office/drawing/2014/chart" uri="{C3380CC4-5D6E-409C-BE32-E72D297353CC}">
              <c16:uniqueId val="{00000000-C1F2-4BD6-8B7D-402AEA2DA936}"/>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May!$B$123</c:f>
          <c:strCache>
            <c:ptCount val="1"/>
            <c:pt idx="0">
              <c:v>Falls by Day of the Week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May!$D$124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May!$B$125:$B$131</c:f>
              <c:strCache>
                <c:ptCount val="7"/>
                <c:pt idx="0">
                  <c:v>Sun</c:v>
                </c:pt>
                <c:pt idx="1">
                  <c:v>Mon</c:v>
                </c:pt>
                <c:pt idx="2">
                  <c:v>Tue</c:v>
                </c:pt>
                <c:pt idx="3">
                  <c:v>Wed</c:v>
                </c:pt>
                <c:pt idx="4">
                  <c:v>Thu</c:v>
                </c:pt>
                <c:pt idx="5">
                  <c:v>Fri</c:v>
                </c:pt>
                <c:pt idx="6">
                  <c:v>Sat</c:v>
                </c:pt>
              </c:strCache>
            </c:strRef>
          </c:cat>
          <c:val>
            <c:numRef>
              <c:f>May!$D$125:$D$131</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644E-4924-81FE-6898B6920A5C}"/>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May!$B$108</c:f>
          <c:strCache>
            <c:ptCount val="1"/>
            <c:pt idx="0">
              <c:v>Falls by Nursing Station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May!$D$109</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May!$B$110:$B$120</c:f>
              <c:strCache>
                <c:ptCount val="5"/>
                <c:pt idx="0">
                  <c:v>1</c:v>
                </c:pt>
                <c:pt idx="1">
                  <c:v>2</c:v>
                </c:pt>
                <c:pt idx="2">
                  <c:v>3</c:v>
                </c:pt>
                <c:pt idx="3">
                  <c:v>4</c:v>
                </c:pt>
                <c:pt idx="4">
                  <c:v>5</c:v>
                </c:pt>
              </c:strCache>
            </c:strRef>
          </c:cat>
          <c:val>
            <c:numRef>
              <c:f>May!$D$110:$D$120</c:f>
              <c:numCache>
                <c:formatCode>General</c:formatCode>
                <c:ptCount val="11"/>
                <c:pt idx="0">
                  <c:v>0</c:v>
                </c:pt>
                <c:pt idx="1">
                  <c:v>0</c:v>
                </c:pt>
                <c:pt idx="2">
                  <c:v>0</c:v>
                </c:pt>
                <c:pt idx="3">
                  <c:v>0</c:v>
                </c:pt>
                <c:pt idx="4">
                  <c:v>0</c:v>
                </c:pt>
                <c:pt idx="5">
                  <c:v>#N/A</c:v>
                </c:pt>
                <c:pt idx="6">
                  <c:v>#N/A</c:v>
                </c:pt>
                <c:pt idx="7">
                  <c:v>#N/A</c:v>
                </c:pt>
                <c:pt idx="8">
                  <c:v>#N/A</c:v>
                </c:pt>
                <c:pt idx="9">
                  <c:v>#N/A</c:v>
                </c:pt>
                <c:pt idx="10">
                  <c:v>#N/A</c:v>
                </c:pt>
              </c:numCache>
            </c:numRef>
          </c:val>
          <c:extLst>
            <c:ext xmlns:c16="http://schemas.microsoft.com/office/drawing/2014/chart" uri="{C3380CC4-5D6E-409C-BE32-E72D297353CC}">
              <c16:uniqueId val="{00000000-D1A6-4ABD-82AA-9B0908424082}"/>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May!$F$58</c:f>
          <c:strCache>
            <c:ptCount val="1"/>
            <c:pt idx="0">
              <c:v>Falls by BIMS Score</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May!$H$59</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May!$F$60:$F$62</c:f>
              <c:strCache>
                <c:ptCount val="3"/>
                <c:pt idx="0">
                  <c:v>Severe (1–7)</c:v>
                </c:pt>
                <c:pt idx="1">
                  <c:v>Moderate (8–12)</c:v>
                </c:pt>
                <c:pt idx="2">
                  <c:v>Intact (13–15)</c:v>
                </c:pt>
              </c:strCache>
            </c:strRef>
          </c:cat>
          <c:val>
            <c:numRef>
              <c:f>May!$H$60:$H$62</c:f>
              <c:numCache>
                <c:formatCode>General</c:formatCode>
                <c:ptCount val="3"/>
                <c:pt idx="0">
                  <c:v>0</c:v>
                </c:pt>
                <c:pt idx="1">
                  <c:v>0</c:v>
                </c:pt>
                <c:pt idx="2">
                  <c:v>0</c:v>
                </c:pt>
              </c:numCache>
            </c:numRef>
          </c:val>
          <c:extLst>
            <c:ext xmlns:c16="http://schemas.microsoft.com/office/drawing/2014/chart" uri="{C3380CC4-5D6E-409C-BE32-E72D297353CC}">
              <c16:uniqueId val="{00000000-7754-4846-92A2-173CF5CF7F26}"/>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May!$B$143</c:f>
          <c:strCache>
            <c:ptCount val="1"/>
            <c:pt idx="0">
              <c:v>Falls by Hour </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1"/>
          <c:order val="0"/>
          <c:tx>
            <c:strRef>
              <c:f>May!$D$144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May!$B$145:$B$168</c:f>
              <c:strCache>
                <c:ptCount val="24"/>
                <c:pt idx="0">
                  <c:v>23:00–24:00</c:v>
                </c:pt>
                <c:pt idx="1">
                  <c:v>24:00–01:00</c:v>
                </c:pt>
                <c:pt idx="2">
                  <c:v>01:00–02:00</c:v>
                </c:pt>
                <c:pt idx="3">
                  <c:v>02:00–03:00</c:v>
                </c:pt>
                <c:pt idx="4">
                  <c:v>03:00–04:00</c:v>
                </c:pt>
                <c:pt idx="5">
                  <c:v>04:00–05:00</c:v>
                </c:pt>
                <c:pt idx="6">
                  <c:v>05:00–06:00</c:v>
                </c:pt>
                <c:pt idx="7">
                  <c:v>06:00–07:00</c:v>
                </c:pt>
                <c:pt idx="8">
                  <c:v>07:00–08:00</c:v>
                </c:pt>
                <c:pt idx="9">
                  <c:v>08:00–09:00</c:v>
                </c:pt>
                <c:pt idx="10">
                  <c:v>09:00–10:00</c:v>
                </c:pt>
                <c:pt idx="11">
                  <c:v>10:00–11:00</c:v>
                </c:pt>
                <c:pt idx="12">
                  <c:v>11:00–12:00</c:v>
                </c:pt>
                <c:pt idx="13">
                  <c:v>12:00–13:00</c:v>
                </c:pt>
                <c:pt idx="14">
                  <c:v>13:00–14:00</c:v>
                </c:pt>
                <c:pt idx="15">
                  <c:v>14:00–15:00</c:v>
                </c:pt>
                <c:pt idx="16">
                  <c:v>15:00–16:00</c:v>
                </c:pt>
                <c:pt idx="17">
                  <c:v>16:00–17:00</c:v>
                </c:pt>
                <c:pt idx="18">
                  <c:v>17:00–18:00</c:v>
                </c:pt>
                <c:pt idx="19">
                  <c:v>18:00–19:00</c:v>
                </c:pt>
                <c:pt idx="20">
                  <c:v>19:00–20:00</c:v>
                </c:pt>
                <c:pt idx="21">
                  <c:v>20:00–21:00</c:v>
                </c:pt>
                <c:pt idx="22">
                  <c:v>21:00–22:00</c:v>
                </c:pt>
                <c:pt idx="23">
                  <c:v>22:00–23:00</c:v>
                </c:pt>
              </c:strCache>
            </c:strRef>
          </c:cat>
          <c:val>
            <c:numRef>
              <c:f>May!$D$145:$D$168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08E1-497B-BD94-5B0115191288}"/>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May!$B$65</c:f>
          <c:strCache>
            <c:ptCount val="1"/>
            <c:pt idx="0">
              <c:v>Falls by Activity</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May!$G$66</c:f>
              <c:strCache>
                <c:ptCount val="1"/>
                <c:pt idx="0">
                  <c:v>Total</c:v>
                </c:pt>
              </c:strCache>
            </c:strRef>
          </c:tx>
          <c:spPr>
            <a:solidFill>
              <a:schemeClr val="bg1">
                <a:lumMod val="75000"/>
              </a:schemeClr>
            </a:solidFill>
            <a:ln>
              <a:solidFill>
                <a:schemeClr val="bg1">
                  <a:lumMod val="85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May!$B$67:$B$90</c:f>
              <c:strCache>
                <c:ptCount val="11"/>
                <c:pt idx="0">
                  <c:v>Ambulating with assistive device (walker, cane, wheelchair)</c:v>
                </c:pt>
                <c:pt idx="1">
                  <c:v>Ambulating with staff assistance</c:v>
                </c:pt>
                <c:pt idx="2">
                  <c:v>Ambulating without assistance or assistive device</c:v>
                </c:pt>
                <c:pt idx="3">
                  <c:v>Changing position (e.g., in bed, chair)</c:v>
                </c:pt>
                <c:pt idx="4">
                  <c:v>Dressing or undressing</c:v>
                </c:pt>
                <c:pt idx="5">
                  <c:v>Other activity</c:v>
                </c:pt>
                <c:pt idx="6">
                  <c:v>Reaching for an item</c:v>
                </c:pt>
                <c:pt idx="7">
                  <c:v>Showering or bathing</c:v>
                </c:pt>
                <c:pt idx="8">
                  <c:v>Toileting</c:v>
                </c:pt>
                <c:pt idx="9">
                  <c:v>Transferring to or from bed, chair, wheelchair, etc.</c:v>
                </c:pt>
                <c:pt idx="10">
                  <c:v>Unknown</c:v>
                </c:pt>
              </c:strCache>
            </c:strRef>
          </c:cat>
          <c:val>
            <c:numRef>
              <c:f>May!$G$67:$G$90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7637-4832-A7B3-7BF80EF81CC9}"/>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May!$B$51</c:f>
          <c:strCache>
            <c:ptCount val="1"/>
            <c:pt idx="0">
              <c:v>Witnessed Falls</c:v>
            </c:pt>
          </c:strCache>
        </c:strRef>
      </c:tx>
      <c:layout>
        <c:manualLayout>
          <c:xMode val="edge"/>
          <c:yMode val="edge"/>
          <c:x val="0.28456383934819923"/>
          <c:y val="4.8263836268180225E-2"/>
        </c:manualLayout>
      </c:layout>
      <c:overlay val="0"/>
      <c:spPr>
        <a:noFill/>
        <a:ln>
          <a:noFill/>
        </a:ln>
        <a:effectLst/>
      </c:spPr>
      <c:txPr>
        <a:bodyPr rot="0" spcFirstLastPara="1" vertOverflow="ellipsis" vert="horz" wrap="square" anchor="ctr" anchorCtr="1"/>
        <a:lstStyle/>
        <a:p>
          <a:pPr>
            <a:defRPr sz="1100" b="1" i="0" u="none" strike="noStrike" kern="1200" spc="0" baseline="0">
              <a:solidFill>
                <a:sysClr val="windowText" lastClr="000000"/>
              </a:solidFill>
              <a:latin typeface="+mn-lt"/>
              <a:ea typeface="+mn-ea"/>
              <a:cs typeface="+mn-cs"/>
            </a:defRPr>
          </a:pPr>
          <a:endParaRPr lang="en-US"/>
        </a:p>
      </c:txPr>
    </c:title>
    <c:autoTitleDeleted val="0"/>
    <c:plotArea>
      <c:layout/>
      <c:pieChart>
        <c:varyColors val="1"/>
        <c:ser>
          <c:idx val="2"/>
          <c:order val="0"/>
          <c:tx>
            <c:strRef>
              <c:f>May!$D$52</c:f>
              <c:strCache>
                <c:ptCount val="1"/>
                <c:pt idx="0">
                  <c:v>Total</c:v>
                </c:pt>
              </c:strCache>
            </c:strRef>
          </c:tx>
          <c:spPr>
            <a:solidFill>
              <a:srgbClr val="F7F7F7"/>
            </a:solidFill>
            <a:ln w="19050">
              <a:solidFill>
                <a:schemeClr val="bg2">
                  <a:lumMod val="90000"/>
                </a:schemeClr>
              </a:solidFill>
            </a:ln>
          </c:spPr>
          <c:dPt>
            <c:idx val="0"/>
            <c:bubble3D val="0"/>
            <c:spPr>
              <a:solidFill>
                <a:srgbClr val="F7F7F7"/>
              </a:solidFill>
              <a:ln w="19050">
                <a:solidFill>
                  <a:schemeClr val="bg2">
                    <a:lumMod val="90000"/>
                  </a:schemeClr>
                </a:solidFill>
              </a:ln>
              <a:effectLst/>
            </c:spPr>
            <c:extLst>
              <c:ext xmlns:c16="http://schemas.microsoft.com/office/drawing/2014/chart" uri="{C3380CC4-5D6E-409C-BE32-E72D297353CC}">
                <c16:uniqueId val="{00000001-5A82-4FAC-8FEC-08ADDC99D7E7}"/>
              </c:ext>
            </c:extLst>
          </c:dPt>
          <c:dPt>
            <c:idx val="1"/>
            <c:bubble3D val="0"/>
            <c:spPr>
              <a:solidFill>
                <a:schemeClr val="bg2"/>
              </a:solidFill>
              <a:ln w="19050">
                <a:solidFill>
                  <a:schemeClr val="bg2">
                    <a:lumMod val="90000"/>
                  </a:schemeClr>
                </a:solidFill>
              </a:ln>
              <a:effectLst/>
            </c:spPr>
            <c:extLst>
              <c:ext xmlns:c16="http://schemas.microsoft.com/office/drawing/2014/chart" uri="{C3380CC4-5D6E-409C-BE32-E72D297353CC}">
                <c16:uniqueId val="{00000003-5A82-4FAC-8FEC-08ADDC99D7E7}"/>
              </c:ext>
            </c:extLst>
          </c:dPt>
          <c:dLbls>
            <c:dLbl>
              <c:idx val="0"/>
              <c:layout>
                <c:manualLayout>
                  <c:x val="6.2922200858950839E-2"/>
                  <c:y val="-5.7940247469122956E-2"/>
                </c:manualLayout>
              </c:layout>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A82-4FAC-8FEC-08ADDC99D7E7}"/>
                </c:ext>
              </c:extLst>
            </c:dLbl>
            <c:dLbl>
              <c:idx val="1"/>
              <c:layout>
                <c:manualLayout>
                  <c:x val="-4.8011385115936479E-2"/>
                  <c:y val="2.6697554736401265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15:layout>
                    <c:manualLayout>
                      <c:w val="0.24931745400710711"/>
                      <c:h val="0.11967240535812428"/>
                    </c:manualLayout>
                  </c15:layout>
                </c:ext>
                <c:ext xmlns:c16="http://schemas.microsoft.com/office/drawing/2014/chart" uri="{C3380CC4-5D6E-409C-BE32-E72D297353CC}">
                  <c16:uniqueId val="{00000003-5A82-4FAC-8FEC-08ADDC99D7E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May!$B$53:$B$54</c:f>
              <c:strCache>
                <c:ptCount val="2"/>
                <c:pt idx="0">
                  <c:v>Yes</c:v>
                </c:pt>
                <c:pt idx="1">
                  <c:v>No</c:v>
                </c:pt>
              </c:strCache>
            </c:strRef>
          </c:cat>
          <c:val>
            <c:numRef>
              <c:f>May!$D$53:$D$54</c:f>
              <c:numCache>
                <c:formatCode>General</c:formatCode>
                <c:ptCount val="2"/>
                <c:pt idx="0">
                  <c:v>0</c:v>
                </c:pt>
                <c:pt idx="1">
                  <c:v>0</c:v>
                </c:pt>
              </c:numCache>
            </c:numRef>
          </c:val>
          <c:extLst>
            <c:ext xmlns:c16="http://schemas.microsoft.com/office/drawing/2014/chart" uri="{C3380CC4-5D6E-409C-BE32-E72D297353CC}">
              <c16:uniqueId val="{00000004-5A82-4FAC-8FEC-08ADDC99D7E7}"/>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May!$B$171</c:f>
          <c:strCache>
            <c:ptCount val="1"/>
            <c:pt idx="0">
              <c:v>Falls by Contributing Factors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4"/>
          <c:order val="0"/>
          <c:tx>
            <c:strRef>
              <c:f>May!$G$172</c:f>
              <c:strCache>
                <c:ptCount val="1"/>
                <c:pt idx="0">
                  <c:v>Total</c:v>
                </c:pt>
              </c:strCache>
            </c:strRef>
          </c:tx>
          <c:spPr>
            <a:solidFill>
              <a:schemeClr val="bg2">
                <a:lumMod val="9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May!$B$173:$B$196</c:f>
              <c:strCache>
                <c:ptCount val="11"/>
                <c:pt idx="0">
                  <c:v>Assisted/caregiver transfer</c:v>
                </c:pt>
                <c:pt idx="1">
                  <c:v>Bowel and bladder (B&amp;B) needs</c:v>
                </c:pt>
                <c:pt idx="2">
                  <c:v>Behavioral or situational</c:v>
                </c:pt>
                <c:pt idx="3">
                  <c:v>Change of condition</c:v>
                </c:pt>
                <c:pt idx="4">
                  <c:v>Environmental factors</c:v>
                </c:pt>
                <c:pt idx="5">
                  <c:v>Equipment malfunction</c:v>
                </c:pt>
                <c:pt idx="6">
                  <c:v>Equipment or assistive device</c:v>
                </c:pt>
                <c:pt idx="7">
                  <c:v>Medication related</c:v>
                </c:pt>
                <c:pt idx="8">
                  <c:v>Process(s) not followed</c:v>
                </c:pt>
                <c:pt idx="9">
                  <c:v>Resident health conditions</c:v>
                </c:pt>
                <c:pt idx="10">
                  <c:v>Staff</c:v>
                </c:pt>
              </c:strCache>
            </c:strRef>
          </c:cat>
          <c:val>
            <c:numRef>
              <c:f>May!$G$173:$G$196</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9B12-4307-9ECF-FD0EA5635944}"/>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bg2">
                    <a:lumMod val="50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May!$F$51</c:f>
          <c:strCache>
            <c:ptCount val="1"/>
            <c:pt idx="0">
              <c:v>Fall Circumstances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May!$H$52</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May!$F$53:$F$55</c:f>
              <c:strCache>
                <c:ptCount val="3"/>
                <c:pt idx="0">
                  <c:v>Overwhelming Force</c:v>
                </c:pt>
                <c:pt idx="1">
                  <c:v>Intercepted</c:v>
                </c:pt>
                <c:pt idx="2">
                  <c:v>N/A</c:v>
                </c:pt>
              </c:strCache>
            </c:strRef>
          </c:cat>
          <c:val>
            <c:numRef>
              <c:f>May!$H$53:$H$55</c:f>
              <c:numCache>
                <c:formatCode>General</c:formatCode>
                <c:ptCount val="3"/>
                <c:pt idx="0">
                  <c:v>0</c:v>
                </c:pt>
                <c:pt idx="1">
                  <c:v>0</c:v>
                </c:pt>
                <c:pt idx="2">
                  <c:v>0</c:v>
                </c:pt>
              </c:numCache>
            </c:numRef>
          </c:val>
          <c:extLst>
            <c:ext xmlns:c16="http://schemas.microsoft.com/office/drawing/2014/chart" uri="{C3380CC4-5D6E-409C-BE32-E72D297353CC}">
              <c16:uniqueId val="{00000000-0ADE-4C11-80C4-CC69DBCBA611}"/>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Jan!$B$134</c:f>
          <c:strCache>
            <c:ptCount val="1"/>
            <c:pt idx="0">
              <c:v>Falls by Shift</c:v>
            </c:pt>
          </c:strCache>
        </c:strRef>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May!$D$135</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May!$B$136:$B$140</c:f>
              <c:strCache>
                <c:ptCount val="4"/>
                <c:pt idx="0">
                  <c:v>11-7</c:v>
                </c:pt>
                <c:pt idx="1">
                  <c:v>11–7</c:v>
                </c:pt>
                <c:pt idx="2">
                  <c:v>7–3</c:v>
                </c:pt>
                <c:pt idx="3">
                  <c:v>3–11</c:v>
                </c:pt>
              </c:strCache>
            </c:strRef>
          </c:cat>
          <c:val>
            <c:numRef>
              <c:f>May!$D$136:$D$140</c:f>
              <c:numCache>
                <c:formatCode>General</c:formatCode>
                <c:ptCount val="5"/>
                <c:pt idx="0">
                  <c:v>0</c:v>
                </c:pt>
                <c:pt idx="1">
                  <c:v>0</c:v>
                </c:pt>
                <c:pt idx="2">
                  <c:v>0</c:v>
                </c:pt>
                <c:pt idx="3">
                  <c:v>0</c:v>
                </c:pt>
                <c:pt idx="4">
                  <c:v>#N/A</c:v>
                </c:pt>
              </c:numCache>
            </c:numRef>
          </c:val>
          <c:extLst>
            <c:ext xmlns:c16="http://schemas.microsoft.com/office/drawing/2014/chart" uri="{C3380CC4-5D6E-409C-BE32-E72D297353CC}">
              <c16:uniqueId val="{00000001-1627-489E-A7E1-00BA7D6CBB65}"/>
            </c:ext>
          </c:extLst>
        </c:ser>
        <c:dLbls>
          <c:showLegendKey val="0"/>
          <c:showVal val="0"/>
          <c:showCatName val="0"/>
          <c:showSerName val="0"/>
          <c:showPercent val="0"/>
          <c:showBubbleSize val="0"/>
        </c:dLbls>
        <c:gapWidth val="219"/>
        <c:axId val="789078271"/>
        <c:axId val="789056671"/>
      </c:barChart>
      <c:catAx>
        <c:axId val="7890782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789056671"/>
        <c:crosses val="autoZero"/>
        <c:auto val="1"/>
        <c:lblAlgn val="ctr"/>
        <c:lblOffset val="100"/>
        <c:noMultiLvlLbl val="0"/>
      </c:catAx>
      <c:valAx>
        <c:axId val="789056671"/>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7890782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June!$B$93</c:f>
          <c:strCache>
            <c:ptCount val="1"/>
            <c:pt idx="0">
              <c:v>Falls by Location</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June!$D$94</c:f>
              <c:strCache>
                <c:ptCount val="1"/>
                <c:pt idx="0">
                  <c:v>Total</c:v>
                </c:pt>
              </c:strCache>
            </c:strRef>
          </c:tx>
          <c:spPr>
            <a:solidFill>
              <a:schemeClr val="accent3">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June!$B$95:$B$105</c:f>
              <c:strCache>
                <c:ptCount val="7"/>
                <c:pt idx="0">
                  <c:v>Activity Room</c:v>
                </c:pt>
                <c:pt idx="1">
                  <c:v>Bedroom</c:v>
                </c:pt>
                <c:pt idx="2">
                  <c:v>Bathroom</c:v>
                </c:pt>
                <c:pt idx="3">
                  <c:v>Hallway</c:v>
                </c:pt>
                <c:pt idx="4">
                  <c:v>Offsite</c:v>
                </c:pt>
                <c:pt idx="5">
                  <c:v>Shower Room</c:v>
                </c:pt>
                <c:pt idx="6">
                  <c:v>Dining Room</c:v>
                </c:pt>
              </c:strCache>
            </c:strRef>
          </c:cat>
          <c:val>
            <c:numRef>
              <c:f>June!$D$95:$D$105</c:f>
              <c:numCache>
                <c:formatCode>General</c:formatCode>
                <c:ptCount val="11"/>
                <c:pt idx="0">
                  <c:v>0</c:v>
                </c:pt>
                <c:pt idx="1">
                  <c:v>0</c:v>
                </c:pt>
                <c:pt idx="2">
                  <c:v>0</c:v>
                </c:pt>
                <c:pt idx="3">
                  <c:v>0</c:v>
                </c:pt>
                <c:pt idx="4">
                  <c:v>0</c:v>
                </c:pt>
                <c:pt idx="5">
                  <c:v>0</c:v>
                </c:pt>
                <c:pt idx="6">
                  <c:v>0</c:v>
                </c:pt>
                <c:pt idx="7">
                  <c:v>#N/A</c:v>
                </c:pt>
                <c:pt idx="8">
                  <c:v>#N/A</c:v>
                </c:pt>
                <c:pt idx="9">
                  <c:v>#N/A</c:v>
                </c:pt>
                <c:pt idx="10">
                  <c:v>#N/A</c:v>
                </c:pt>
              </c:numCache>
            </c:numRef>
          </c:val>
          <c:extLst>
            <c:ext xmlns:c16="http://schemas.microsoft.com/office/drawing/2014/chart" uri="{C3380CC4-5D6E-409C-BE32-E72D297353CC}">
              <c16:uniqueId val="{00000000-EF26-4689-8203-3B692B7AB0E6}"/>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June!$B$123</c:f>
          <c:strCache>
            <c:ptCount val="1"/>
            <c:pt idx="0">
              <c:v>Falls by Day of the Week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June!$D$124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June!$B$125:$B$131</c:f>
              <c:strCache>
                <c:ptCount val="7"/>
                <c:pt idx="0">
                  <c:v>Sun</c:v>
                </c:pt>
                <c:pt idx="1">
                  <c:v>Mon</c:v>
                </c:pt>
                <c:pt idx="2">
                  <c:v>Tue</c:v>
                </c:pt>
                <c:pt idx="3">
                  <c:v>Wed</c:v>
                </c:pt>
                <c:pt idx="4">
                  <c:v>Thu</c:v>
                </c:pt>
                <c:pt idx="5">
                  <c:v>Fri</c:v>
                </c:pt>
                <c:pt idx="6">
                  <c:v>Sat</c:v>
                </c:pt>
              </c:strCache>
            </c:strRef>
          </c:cat>
          <c:val>
            <c:numRef>
              <c:f>June!$D$125:$D$131</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444E-4277-A533-471C1E011E06}"/>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June!$B$108</c:f>
          <c:strCache>
            <c:ptCount val="1"/>
            <c:pt idx="0">
              <c:v>Falls by Nursing Station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June!$D$109</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June!$B$110:$B$120</c:f>
              <c:strCache>
                <c:ptCount val="5"/>
                <c:pt idx="0">
                  <c:v>1</c:v>
                </c:pt>
                <c:pt idx="1">
                  <c:v>2</c:v>
                </c:pt>
                <c:pt idx="2">
                  <c:v>3</c:v>
                </c:pt>
                <c:pt idx="3">
                  <c:v>4</c:v>
                </c:pt>
                <c:pt idx="4">
                  <c:v>5</c:v>
                </c:pt>
              </c:strCache>
            </c:strRef>
          </c:cat>
          <c:val>
            <c:numRef>
              <c:f>June!$D$110:$D$120</c:f>
              <c:numCache>
                <c:formatCode>General</c:formatCode>
                <c:ptCount val="11"/>
                <c:pt idx="0">
                  <c:v>0</c:v>
                </c:pt>
                <c:pt idx="1">
                  <c:v>0</c:v>
                </c:pt>
                <c:pt idx="2">
                  <c:v>0</c:v>
                </c:pt>
                <c:pt idx="3">
                  <c:v>0</c:v>
                </c:pt>
                <c:pt idx="4">
                  <c:v>0</c:v>
                </c:pt>
                <c:pt idx="5">
                  <c:v>#N/A</c:v>
                </c:pt>
                <c:pt idx="6">
                  <c:v>#N/A</c:v>
                </c:pt>
                <c:pt idx="7">
                  <c:v>#N/A</c:v>
                </c:pt>
                <c:pt idx="8">
                  <c:v>#N/A</c:v>
                </c:pt>
                <c:pt idx="9">
                  <c:v>#N/A</c:v>
                </c:pt>
                <c:pt idx="10">
                  <c:v>#N/A</c:v>
                </c:pt>
              </c:numCache>
            </c:numRef>
          </c:val>
          <c:extLst>
            <c:ext xmlns:c16="http://schemas.microsoft.com/office/drawing/2014/chart" uri="{C3380CC4-5D6E-409C-BE32-E72D297353CC}">
              <c16:uniqueId val="{00000000-AAF4-481C-BFF8-924BDE559C47}"/>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June!$F$58</c:f>
          <c:strCache>
            <c:ptCount val="1"/>
            <c:pt idx="0">
              <c:v>Falls by BIMS Score</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June!$H$59</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June!$F$60:$F$62</c:f>
              <c:strCache>
                <c:ptCount val="3"/>
                <c:pt idx="0">
                  <c:v>Severe (1–7)</c:v>
                </c:pt>
                <c:pt idx="1">
                  <c:v>Moderate (8–12)</c:v>
                </c:pt>
                <c:pt idx="2">
                  <c:v>Intact (13–15)</c:v>
                </c:pt>
              </c:strCache>
            </c:strRef>
          </c:cat>
          <c:val>
            <c:numRef>
              <c:f>June!$H$60:$H$62</c:f>
              <c:numCache>
                <c:formatCode>General</c:formatCode>
                <c:ptCount val="3"/>
                <c:pt idx="0">
                  <c:v>0</c:v>
                </c:pt>
                <c:pt idx="1">
                  <c:v>0</c:v>
                </c:pt>
                <c:pt idx="2">
                  <c:v>0</c:v>
                </c:pt>
              </c:numCache>
            </c:numRef>
          </c:val>
          <c:extLst>
            <c:ext xmlns:c16="http://schemas.microsoft.com/office/drawing/2014/chart" uri="{C3380CC4-5D6E-409C-BE32-E72D297353CC}">
              <c16:uniqueId val="{00000000-40D6-44C3-900E-19B1A9D57C3F}"/>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June!$B$143</c:f>
          <c:strCache>
            <c:ptCount val="1"/>
            <c:pt idx="0">
              <c:v>Falls by Hour </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1"/>
          <c:order val="0"/>
          <c:tx>
            <c:strRef>
              <c:f>June!$D$144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June!$B$145:$B$168</c:f>
              <c:strCache>
                <c:ptCount val="24"/>
                <c:pt idx="0">
                  <c:v>23:00–24:00</c:v>
                </c:pt>
                <c:pt idx="1">
                  <c:v>24:00–01:00</c:v>
                </c:pt>
                <c:pt idx="2">
                  <c:v>01:00–02:00</c:v>
                </c:pt>
                <c:pt idx="3">
                  <c:v>02:00–03:00</c:v>
                </c:pt>
                <c:pt idx="4">
                  <c:v>03:00–04:00</c:v>
                </c:pt>
                <c:pt idx="5">
                  <c:v>04:00–05:00</c:v>
                </c:pt>
                <c:pt idx="6">
                  <c:v>05:00–06:00</c:v>
                </c:pt>
                <c:pt idx="7">
                  <c:v>06:00–07:00</c:v>
                </c:pt>
                <c:pt idx="8">
                  <c:v>07:00–08:00</c:v>
                </c:pt>
                <c:pt idx="9">
                  <c:v>08:00–09:00</c:v>
                </c:pt>
                <c:pt idx="10">
                  <c:v>09:00–10:00</c:v>
                </c:pt>
                <c:pt idx="11">
                  <c:v>10:00–11:00</c:v>
                </c:pt>
                <c:pt idx="12">
                  <c:v>11:00–12:00</c:v>
                </c:pt>
                <c:pt idx="13">
                  <c:v>12:00–13:00</c:v>
                </c:pt>
                <c:pt idx="14">
                  <c:v>13:00–14:00</c:v>
                </c:pt>
                <c:pt idx="15">
                  <c:v>14:00–15:00</c:v>
                </c:pt>
                <c:pt idx="16">
                  <c:v>15:00–16:00</c:v>
                </c:pt>
                <c:pt idx="17">
                  <c:v>16:00–17:00</c:v>
                </c:pt>
                <c:pt idx="18">
                  <c:v>17:00–18:00</c:v>
                </c:pt>
                <c:pt idx="19">
                  <c:v>18:00–19:00</c:v>
                </c:pt>
                <c:pt idx="20">
                  <c:v>19:00–20:00</c:v>
                </c:pt>
                <c:pt idx="21">
                  <c:v>20:00–21:00</c:v>
                </c:pt>
                <c:pt idx="22">
                  <c:v>21:00–22:00</c:v>
                </c:pt>
                <c:pt idx="23">
                  <c:v>22:00–23:00</c:v>
                </c:pt>
              </c:strCache>
            </c:strRef>
          </c:cat>
          <c:val>
            <c:numRef>
              <c:f>June!$D$145:$D$168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9DB8-448F-BD4E-0DB6B6F0AEE2}"/>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June!$B$65</c:f>
          <c:strCache>
            <c:ptCount val="1"/>
            <c:pt idx="0">
              <c:v>Falls by Activity</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June!$G$66</c:f>
              <c:strCache>
                <c:ptCount val="1"/>
                <c:pt idx="0">
                  <c:v>Total</c:v>
                </c:pt>
              </c:strCache>
            </c:strRef>
          </c:tx>
          <c:spPr>
            <a:solidFill>
              <a:schemeClr val="bg1">
                <a:lumMod val="75000"/>
              </a:schemeClr>
            </a:solidFill>
            <a:ln>
              <a:solidFill>
                <a:schemeClr val="bg1">
                  <a:lumMod val="85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June!$B$67:$B$90</c:f>
              <c:strCache>
                <c:ptCount val="11"/>
                <c:pt idx="0">
                  <c:v>Ambulating with assistive device (walker, cane, wheelchair)</c:v>
                </c:pt>
                <c:pt idx="1">
                  <c:v>Ambulating with staff assistance</c:v>
                </c:pt>
                <c:pt idx="2">
                  <c:v>Ambulating without assistance or assistive device</c:v>
                </c:pt>
                <c:pt idx="3">
                  <c:v>Changing position (e.g., in bed, chair)</c:v>
                </c:pt>
                <c:pt idx="4">
                  <c:v>Dressing or undressing</c:v>
                </c:pt>
                <c:pt idx="5">
                  <c:v>Other activity</c:v>
                </c:pt>
                <c:pt idx="6">
                  <c:v>Reaching for an item</c:v>
                </c:pt>
                <c:pt idx="7">
                  <c:v>Showering or bathing</c:v>
                </c:pt>
                <c:pt idx="8">
                  <c:v>Toileting</c:v>
                </c:pt>
                <c:pt idx="9">
                  <c:v>Transferring to or from bed, chair, wheelchair, etc.</c:v>
                </c:pt>
                <c:pt idx="10">
                  <c:v>Unknown</c:v>
                </c:pt>
              </c:strCache>
            </c:strRef>
          </c:cat>
          <c:val>
            <c:numRef>
              <c:f>June!$G$67:$G$90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D205-49B8-9AB2-1633D8ECA548}"/>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June!$B$51</c:f>
          <c:strCache>
            <c:ptCount val="1"/>
            <c:pt idx="0">
              <c:v>Witnessed Falls</c:v>
            </c:pt>
          </c:strCache>
        </c:strRef>
      </c:tx>
      <c:layout>
        <c:manualLayout>
          <c:xMode val="edge"/>
          <c:yMode val="edge"/>
          <c:x val="0.28456383934819923"/>
          <c:y val="4.8263836268180225E-2"/>
        </c:manualLayout>
      </c:layout>
      <c:overlay val="0"/>
      <c:spPr>
        <a:noFill/>
        <a:ln>
          <a:noFill/>
        </a:ln>
        <a:effectLst/>
      </c:spPr>
      <c:txPr>
        <a:bodyPr rot="0" spcFirstLastPara="1" vertOverflow="ellipsis" vert="horz" wrap="square" anchor="ctr" anchorCtr="1"/>
        <a:lstStyle/>
        <a:p>
          <a:pPr>
            <a:defRPr sz="1100" b="1" i="0" u="none" strike="noStrike" kern="1200" spc="0" baseline="0">
              <a:solidFill>
                <a:sysClr val="windowText" lastClr="000000"/>
              </a:solidFill>
              <a:latin typeface="+mn-lt"/>
              <a:ea typeface="+mn-ea"/>
              <a:cs typeface="+mn-cs"/>
            </a:defRPr>
          </a:pPr>
          <a:endParaRPr lang="en-US"/>
        </a:p>
      </c:txPr>
    </c:title>
    <c:autoTitleDeleted val="0"/>
    <c:plotArea>
      <c:layout/>
      <c:pieChart>
        <c:varyColors val="1"/>
        <c:ser>
          <c:idx val="2"/>
          <c:order val="0"/>
          <c:tx>
            <c:strRef>
              <c:f>June!$D$52</c:f>
              <c:strCache>
                <c:ptCount val="1"/>
                <c:pt idx="0">
                  <c:v>Total</c:v>
                </c:pt>
              </c:strCache>
            </c:strRef>
          </c:tx>
          <c:spPr>
            <a:solidFill>
              <a:srgbClr val="F7F7F7"/>
            </a:solidFill>
            <a:ln w="19050">
              <a:solidFill>
                <a:schemeClr val="bg2">
                  <a:lumMod val="90000"/>
                </a:schemeClr>
              </a:solidFill>
            </a:ln>
          </c:spPr>
          <c:dPt>
            <c:idx val="0"/>
            <c:bubble3D val="0"/>
            <c:spPr>
              <a:solidFill>
                <a:srgbClr val="F7F7F7"/>
              </a:solidFill>
              <a:ln w="19050">
                <a:solidFill>
                  <a:schemeClr val="bg2">
                    <a:lumMod val="90000"/>
                  </a:schemeClr>
                </a:solidFill>
              </a:ln>
              <a:effectLst/>
            </c:spPr>
            <c:extLst>
              <c:ext xmlns:c16="http://schemas.microsoft.com/office/drawing/2014/chart" uri="{C3380CC4-5D6E-409C-BE32-E72D297353CC}">
                <c16:uniqueId val="{00000001-BFC6-430C-A11E-067A3578808F}"/>
              </c:ext>
            </c:extLst>
          </c:dPt>
          <c:dPt>
            <c:idx val="1"/>
            <c:bubble3D val="0"/>
            <c:spPr>
              <a:solidFill>
                <a:schemeClr val="bg2"/>
              </a:solidFill>
              <a:ln w="19050">
                <a:solidFill>
                  <a:schemeClr val="bg2">
                    <a:lumMod val="90000"/>
                  </a:schemeClr>
                </a:solidFill>
              </a:ln>
              <a:effectLst/>
            </c:spPr>
            <c:extLst>
              <c:ext xmlns:c16="http://schemas.microsoft.com/office/drawing/2014/chart" uri="{C3380CC4-5D6E-409C-BE32-E72D297353CC}">
                <c16:uniqueId val="{00000003-BFC6-430C-A11E-067A3578808F}"/>
              </c:ext>
            </c:extLst>
          </c:dPt>
          <c:dLbls>
            <c:dLbl>
              <c:idx val="0"/>
              <c:layout>
                <c:manualLayout>
                  <c:x val="6.2922200858950839E-2"/>
                  <c:y val="-5.7940247469122956E-2"/>
                </c:manualLayout>
              </c:layout>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FC6-430C-A11E-067A3578808F}"/>
                </c:ext>
              </c:extLst>
            </c:dLbl>
            <c:dLbl>
              <c:idx val="1"/>
              <c:layout>
                <c:manualLayout>
                  <c:x val="-4.8011385115936479E-2"/>
                  <c:y val="2.6697554736401265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15:layout>
                    <c:manualLayout>
                      <c:w val="0.24931745400710711"/>
                      <c:h val="0.11967240535812428"/>
                    </c:manualLayout>
                  </c15:layout>
                </c:ext>
                <c:ext xmlns:c16="http://schemas.microsoft.com/office/drawing/2014/chart" uri="{C3380CC4-5D6E-409C-BE32-E72D297353CC}">
                  <c16:uniqueId val="{00000003-BFC6-430C-A11E-067A3578808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June!$B$53:$B$54</c:f>
              <c:strCache>
                <c:ptCount val="2"/>
                <c:pt idx="0">
                  <c:v>Yes</c:v>
                </c:pt>
                <c:pt idx="1">
                  <c:v>No</c:v>
                </c:pt>
              </c:strCache>
            </c:strRef>
          </c:cat>
          <c:val>
            <c:numRef>
              <c:f>June!$D$53:$D$54</c:f>
              <c:numCache>
                <c:formatCode>General</c:formatCode>
                <c:ptCount val="2"/>
                <c:pt idx="0">
                  <c:v>0</c:v>
                </c:pt>
                <c:pt idx="1">
                  <c:v>0</c:v>
                </c:pt>
              </c:numCache>
            </c:numRef>
          </c:val>
          <c:extLst>
            <c:ext xmlns:c16="http://schemas.microsoft.com/office/drawing/2014/chart" uri="{C3380CC4-5D6E-409C-BE32-E72D297353CC}">
              <c16:uniqueId val="{00000004-BFC6-430C-A11E-067A3578808F}"/>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June!$B$171</c:f>
          <c:strCache>
            <c:ptCount val="1"/>
            <c:pt idx="0">
              <c:v>Falls by Contributing Factors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4"/>
          <c:order val="0"/>
          <c:tx>
            <c:strRef>
              <c:f>June!$G$172</c:f>
              <c:strCache>
                <c:ptCount val="1"/>
                <c:pt idx="0">
                  <c:v>Total</c:v>
                </c:pt>
              </c:strCache>
            </c:strRef>
          </c:tx>
          <c:spPr>
            <a:solidFill>
              <a:schemeClr val="bg2">
                <a:lumMod val="9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June!$B$173:$B$196</c:f>
              <c:strCache>
                <c:ptCount val="11"/>
                <c:pt idx="0">
                  <c:v>Assisted/caregiver transfer</c:v>
                </c:pt>
                <c:pt idx="1">
                  <c:v>Bowel and bladder (B&amp;B) needs</c:v>
                </c:pt>
                <c:pt idx="2">
                  <c:v>Behavioral or situational</c:v>
                </c:pt>
                <c:pt idx="3">
                  <c:v>Change of condition</c:v>
                </c:pt>
                <c:pt idx="4">
                  <c:v>Environmental factors</c:v>
                </c:pt>
                <c:pt idx="5">
                  <c:v>Equipment malfunction</c:v>
                </c:pt>
                <c:pt idx="6">
                  <c:v>Equipment or assistive device</c:v>
                </c:pt>
                <c:pt idx="7">
                  <c:v>Medication related</c:v>
                </c:pt>
                <c:pt idx="8">
                  <c:v>Process(s) not followed</c:v>
                </c:pt>
                <c:pt idx="9">
                  <c:v>Resident health conditions</c:v>
                </c:pt>
                <c:pt idx="10">
                  <c:v>Staff</c:v>
                </c:pt>
              </c:strCache>
            </c:strRef>
          </c:cat>
          <c:val>
            <c:numRef>
              <c:f>June!$G$173:$G$196</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8E42-4FDD-90E9-6B6517F82C83}"/>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bg2">
                    <a:lumMod val="50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June!$F$51</c:f>
          <c:strCache>
            <c:ptCount val="1"/>
            <c:pt idx="0">
              <c:v>Fall Circumstances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June!$H$52</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June!$F$53:$F$55</c:f>
              <c:strCache>
                <c:ptCount val="3"/>
                <c:pt idx="0">
                  <c:v>Overwhelming Force</c:v>
                </c:pt>
                <c:pt idx="1">
                  <c:v>Intercepted</c:v>
                </c:pt>
                <c:pt idx="2">
                  <c:v>N/A</c:v>
                </c:pt>
              </c:strCache>
            </c:strRef>
          </c:cat>
          <c:val>
            <c:numRef>
              <c:f>June!$H$53:$H$55</c:f>
              <c:numCache>
                <c:formatCode>General</c:formatCode>
                <c:ptCount val="3"/>
                <c:pt idx="0">
                  <c:v>0</c:v>
                </c:pt>
                <c:pt idx="1">
                  <c:v>0</c:v>
                </c:pt>
                <c:pt idx="2">
                  <c:v>0</c:v>
                </c:pt>
              </c:numCache>
            </c:numRef>
          </c:val>
          <c:extLst>
            <c:ext xmlns:c16="http://schemas.microsoft.com/office/drawing/2014/chart" uri="{C3380CC4-5D6E-409C-BE32-E72D297353CC}">
              <c16:uniqueId val="{00000000-9BEE-4ECE-A23E-84E864BB3F19}"/>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Jan!$B$134</c:f>
          <c:strCache>
            <c:ptCount val="1"/>
            <c:pt idx="0">
              <c:v>Falls by Shift</c:v>
            </c:pt>
          </c:strCache>
        </c:strRef>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June!$D$135</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June!$B$136:$B$140</c:f>
              <c:strCache>
                <c:ptCount val="4"/>
                <c:pt idx="0">
                  <c:v>11-7</c:v>
                </c:pt>
                <c:pt idx="1">
                  <c:v>11–7</c:v>
                </c:pt>
                <c:pt idx="2">
                  <c:v>7–3</c:v>
                </c:pt>
                <c:pt idx="3">
                  <c:v>3–11</c:v>
                </c:pt>
              </c:strCache>
            </c:strRef>
          </c:cat>
          <c:val>
            <c:numRef>
              <c:f>June!$D$136:$D$140</c:f>
              <c:numCache>
                <c:formatCode>General</c:formatCode>
                <c:ptCount val="5"/>
                <c:pt idx="0">
                  <c:v>0</c:v>
                </c:pt>
                <c:pt idx="1">
                  <c:v>0</c:v>
                </c:pt>
                <c:pt idx="2">
                  <c:v>0</c:v>
                </c:pt>
                <c:pt idx="3">
                  <c:v>0</c:v>
                </c:pt>
                <c:pt idx="4">
                  <c:v>#N/A</c:v>
                </c:pt>
              </c:numCache>
            </c:numRef>
          </c:val>
          <c:extLst>
            <c:ext xmlns:c16="http://schemas.microsoft.com/office/drawing/2014/chart" uri="{C3380CC4-5D6E-409C-BE32-E72D297353CC}">
              <c16:uniqueId val="{00000001-45F9-41A9-B6BE-176DDF4FA992}"/>
            </c:ext>
          </c:extLst>
        </c:ser>
        <c:dLbls>
          <c:showLegendKey val="0"/>
          <c:showVal val="0"/>
          <c:showCatName val="0"/>
          <c:showSerName val="0"/>
          <c:showPercent val="0"/>
          <c:showBubbleSize val="0"/>
        </c:dLbls>
        <c:gapWidth val="219"/>
        <c:axId val="789078271"/>
        <c:axId val="789056671"/>
      </c:barChart>
      <c:catAx>
        <c:axId val="7890782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789056671"/>
        <c:crosses val="autoZero"/>
        <c:auto val="1"/>
        <c:lblAlgn val="ctr"/>
        <c:lblOffset val="100"/>
        <c:noMultiLvlLbl val="0"/>
      </c:catAx>
      <c:valAx>
        <c:axId val="789056671"/>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7890782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July!$B$93</c:f>
          <c:strCache>
            <c:ptCount val="1"/>
            <c:pt idx="0">
              <c:v>Falls by Location</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July!$D$94</c:f>
              <c:strCache>
                <c:ptCount val="1"/>
                <c:pt idx="0">
                  <c:v>Total</c:v>
                </c:pt>
              </c:strCache>
            </c:strRef>
          </c:tx>
          <c:spPr>
            <a:solidFill>
              <a:schemeClr val="accent3">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July!$B$95:$B$105</c:f>
              <c:strCache>
                <c:ptCount val="7"/>
                <c:pt idx="0">
                  <c:v>Activity Room</c:v>
                </c:pt>
                <c:pt idx="1">
                  <c:v>Bedroom</c:v>
                </c:pt>
                <c:pt idx="2">
                  <c:v>Bathroom</c:v>
                </c:pt>
                <c:pt idx="3">
                  <c:v>Hallway</c:v>
                </c:pt>
                <c:pt idx="4">
                  <c:v>Offsite</c:v>
                </c:pt>
                <c:pt idx="5">
                  <c:v>Shower Room</c:v>
                </c:pt>
                <c:pt idx="6">
                  <c:v>Dining Room</c:v>
                </c:pt>
              </c:strCache>
            </c:strRef>
          </c:cat>
          <c:val>
            <c:numRef>
              <c:f>July!$D$95:$D$105</c:f>
              <c:numCache>
                <c:formatCode>General</c:formatCode>
                <c:ptCount val="11"/>
                <c:pt idx="0">
                  <c:v>0</c:v>
                </c:pt>
                <c:pt idx="1">
                  <c:v>0</c:v>
                </c:pt>
                <c:pt idx="2">
                  <c:v>0</c:v>
                </c:pt>
                <c:pt idx="3">
                  <c:v>0</c:v>
                </c:pt>
                <c:pt idx="4">
                  <c:v>0</c:v>
                </c:pt>
                <c:pt idx="5">
                  <c:v>0</c:v>
                </c:pt>
                <c:pt idx="6">
                  <c:v>0</c:v>
                </c:pt>
                <c:pt idx="7">
                  <c:v>#N/A</c:v>
                </c:pt>
                <c:pt idx="8">
                  <c:v>#N/A</c:v>
                </c:pt>
                <c:pt idx="9">
                  <c:v>#N/A</c:v>
                </c:pt>
                <c:pt idx="10">
                  <c:v>#N/A</c:v>
                </c:pt>
              </c:numCache>
            </c:numRef>
          </c:val>
          <c:extLst>
            <c:ext xmlns:c16="http://schemas.microsoft.com/office/drawing/2014/chart" uri="{C3380CC4-5D6E-409C-BE32-E72D297353CC}">
              <c16:uniqueId val="{00000000-13B1-4704-A19D-30F6F54B21DB}"/>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July!$B$123</c:f>
          <c:strCache>
            <c:ptCount val="1"/>
            <c:pt idx="0">
              <c:v>Falls by Day of the Week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July!$D$124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July!$B$125:$B$131</c:f>
              <c:strCache>
                <c:ptCount val="7"/>
                <c:pt idx="0">
                  <c:v>Sun</c:v>
                </c:pt>
                <c:pt idx="1">
                  <c:v>Mon</c:v>
                </c:pt>
                <c:pt idx="2">
                  <c:v>Tue</c:v>
                </c:pt>
                <c:pt idx="3">
                  <c:v>Wed</c:v>
                </c:pt>
                <c:pt idx="4">
                  <c:v>Thu</c:v>
                </c:pt>
                <c:pt idx="5">
                  <c:v>Fri</c:v>
                </c:pt>
                <c:pt idx="6">
                  <c:v>Sat</c:v>
                </c:pt>
              </c:strCache>
            </c:strRef>
          </c:cat>
          <c:val>
            <c:numRef>
              <c:f>July!$D$125:$D$131</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88CB-4BDC-A1A2-BFBEC3F5BEC4}"/>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July!$B$108</c:f>
          <c:strCache>
            <c:ptCount val="1"/>
            <c:pt idx="0">
              <c:v>Falls by Nursing Station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July!$D$109</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July!$B$110:$B$120</c:f>
              <c:strCache>
                <c:ptCount val="5"/>
                <c:pt idx="0">
                  <c:v>1</c:v>
                </c:pt>
                <c:pt idx="1">
                  <c:v>2</c:v>
                </c:pt>
                <c:pt idx="2">
                  <c:v>3</c:v>
                </c:pt>
                <c:pt idx="3">
                  <c:v>4</c:v>
                </c:pt>
                <c:pt idx="4">
                  <c:v>5</c:v>
                </c:pt>
              </c:strCache>
            </c:strRef>
          </c:cat>
          <c:val>
            <c:numRef>
              <c:f>July!$D$110:$D$120</c:f>
              <c:numCache>
                <c:formatCode>General</c:formatCode>
                <c:ptCount val="11"/>
                <c:pt idx="0">
                  <c:v>0</c:v>
                </c:pt>
                <c:pt idx="1">
                  <c:v>0</c:v>
                </c:pt>
                <c:pt idx="2">
                  <c:v>0</c:v>
                </c:pt>
                <c:pt idx="3">
                  <c:v>0</c:v>
                </c:pt>
                <c:pt idx="4">
                  <c:v>0</c:v>
                </c:pt>
                <c:pt idx="5">
                  <c:v>#N/A</c:v>
                </c:pt>
                <c:pt idx="6">
                  <c:v>#N/A</c:v>
                </c:pt>
                <c:pt idx="7">
                  <c:v>#N/A</c:v>
                </c:pt>
                <c:pt idx="8">
                  <c:v>#N/A</c:v>
                </c:pt>
                <c:pt idx="9">
                  <c:v>#N/A</c:v>
                </c:pt>
                <c:pt idx="10">
                  <c:v>#N/A</c:v>
                </c:pt>
              </c:numCache>
            </c:numRef>
          </c:val>
          <c:extLst>
            <c:ext xmlns:c16="http://schemas.microsoft.com/office/drawing/2014/chart" uri="{C3380CC4-5D6E-409C-BE32-E72D297353CC}">
              <c16:uniqueId val="{00000000-65F8-430C-A38E-A841C8CF7A3F}"/>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July!$F$58</c:f>
          <c:strCache>
            <c:ptCount val="1"/>
            <c:pt idx="0">
              <c:v>Falls by BIMS Score</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July!$H$59</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July!$F$60:$F$62</c:f>
              <c:strCache>
                <c:ptCount val="3"/>
                <c:pt idx="0">
                  <c:v>Severe (1–7)</c:v>
                </c:pt>
                <c:pt idx="1">
                  <c:v>Moderate (8–12)</c:v>
                </c:pt>
                <c:pt idx="2">
                  <c:v>Intact (13–15)</c:v>
                </c:pt>
              </c:strCache>
            </c:strRef>
          </c:cat>
          <c:val>
            <c:numRef>
              <c:f>July!$H$60:$H$62</c:f>
              <c:numCache>
                <c:formatCode>General</c:formatCode>
                <c:ptCount val="3"/>
                <c:pt idx="0">
                  <c:v>0</c:v>
                </c:pt>
                <c:pt idx="1">
                  <c:v>0</c:v>
                </c:pt>
                <c:pt idx="2">
                  <c:v>0</c:v>
                </c:pt>
              </c:numCache>
            </c:numRef>
          </c:val>
          <c:extLst>
            <c:ext xmlns:c16="http://schemas.microsoft.com/office/drawing/2014/chart" uri="{C3380CC4-5D6E-409C-BE32-E72D297353CC}">
              <c16:uniqueId val="{00000000-69F5-4D56-AA31-314B1ACFA979}"/>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July!$B$143</c:f>
          <c:strCache>
            <c:ptCount val="1"/>
            <c:pt idx="0">
              <c:v>Falls by Hour </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1"/>
          <c:order val="0"/>
          <c:tx>
            <c:strRef>
              <c:f>July!$D$144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July!$B$145:$B$168</c:f>
              <c:strCache>
                <c:ptCount val="24"/>
                <c:pt idx="0">
                  <c:v>23:00–24:00</c:v>
                </c:pt>
                <c:pt idx="1">
                  <c:v>24:00–01:00</c:v>
                </c:pt>
                <c:pt idx="2">
                  <c:v>01:00–02:00</c:v>
                </c:pt>
                <c:pt idx="3">
                  <c:v>02:00–03:00</c:v>
                </c:pt>
                <c:pt idx="4">
                  <c:v>03:00–04:00</c:v>
                </c:pt>
                <c:pt idx="5">
                  <c:v>04:00–05:00</c:v>
                </c:pt>
                <c:pt idx="6">
                  <c:v>05:00–06:00</c:v>
                </c:pt>
                <c:pt idx="7">
                  <c:v>06:00–07:00</c:v>
                </c:pt>
                <c:pt idx="8">
                  <c:v>07:00–08:00</c:v>
                </c:pt>
                <c:pt idx="9">
                  <c:v>08:00–09:00</c:v>
                </c:pt>
                <c:pt idx="10">
                  <c:v>09:00–10:00</c:v>
                </c:pt>
                <c:pt idx="11">
                  <c:v>10:00–11:00</c:v>
                </c:pt>
                <c:pt idx="12">
                  <c:v>11:00–12:00</c:v>
                </c:pt>
                <c:pt idx="13">
                  <c:v>12:00–13:00</c:v>
                </c:pt>
                <c:pt idx="14">
                  <c:v>13:00–14:00</c:v>
                </c:pt>
                <c:pt idx="15">
                  <c:v>14:00–15:00</c:v>
                </c:pt>
                <c:pt idx="16">
                  <c:v>15:00–16:00</c:v>
                </c:pt>
                <c:pt idx="17">
                  <c:v>16:00–17:00</c:v>
                </c:pt>
                <c:pt idx="18">
                  <c:v>17:00–18:00</c:v>
                </c:pt>
                <c:pt idx="19">
                  <c:v>18:00–19:00</c:v>
                </c:pt>
                <c:pt idx="20">
                  <c:v>19:00–20:00</c:v>
                </c:pt>
                <c:pt idx="21">
                  <c:v>20:00–21:00</c:v>
                </c:pt>
                <c:pt idx="22">
                  <c:v>21:00–22:00</c:v>
                </c:pt>
                <c:pt idx="23">
                  <c:v>22:00–23:00</c:v>
                </c:pt>
              </c:strCache>
            </c:strRef>
          </c:cat>
          <c:val>
            <c:numRef>
              <c:f>July!$D$145:$D$168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2946-4C4C-B319-A52D14898D29}"/>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July!$B$65</c:f>
          <c:strCache>
            <c:ptCount val="1"/>
            <c:pt idx="0">
              <c:v>Falls by Activity</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July!$G$66</c:f>
              <c:strCache>
                <c:ptCount val="1"/>
                <c:pt idx="0">
                  <c:v>Total</c:v>
                </c:pt>
              </c:strCache>
            </c:strRef>
          </c:tx>
          <c:spPr>
            <a:solidFill>
              <a:schemeClr val="bg1">
                <a:lumMod val="75000"/>
              </a:schemeClr>
            </a:solidFill>
            <a:ln>
              <a:solidFill>
                <a:schemeClr val="bg1">
                  <a:lumMod val="85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July!$B$67:$B$90</c:f>
              <c:strCache>
                <c:ptCount val="11"/>
                <c:pt idx="0">
                  <c:v>Ambulating with assistive device (walker, cane, wheelchair)</c:v>
                </c:pt>
                <c:pt idx="1">
                  <c:v>Ambulating with staff assistance</c:v>
                </c:pt>
                <c:pt idx="2">
                  <c:v>Ambulating without assistance or assistive device</c:v>
                </c:pt>
                <c:pt idx="3">
                  <c:v>Changing position (e.g., in bed, chair)</c:v>
                </c:pt>
                <c:pt idx="4">
                  <c:v>Dressing or undressing</c:v>
                </c:pt>
                <c:pt idx="5">
                  <c:v>Other activity</c:v>
                </c:pt>
                <c:pt idx="6">
                  <c:v>Reaching for an item</c:v>
                </c:pt>
                <c:pt idx="7">
                  <c:v>Showering or bathing</c:v>
                </c:pt>
                <c:pt idx="8">
                  <c:v>Toileting</c:v>
                </c:pt>
                <c:pt idx="9">
                  <c:v>Transferring to or from bed, chair, wheelchair, etc.</c:v>
                </c:pt>
                <c:pt idx="10">
                  <c:v>Unknown</c:v>
                </c:pt>
              </c:strCache>
            </c:strRef>
          </c:cat>
          <c:val>
            <c:numRef>
              <c:f>July!$G$67:$G$90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7E79-4C52-9966-A15FBAE653D5}"/>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July!$B$51</c:f>
          <c:strCache>
            <c:ptCount val="1"/>
            <c:pt idx="0">
              <c:v>Witnessed Falls</c:v>
            </c:pt>
          </c:strCache>
        </c:strRef>
      </c:tx>
      <c:layout>
        <c:manualLayout>
          <c:xMode val="edge"/>
          <c:yMode val="edge"/>
          <c:x val="0.28456383934819923"/>
          <c:y val="4.8263836268180225E-2"/>
        </c:manualLayout>
      </c:layout>
      <c:overlay val="0"/>
      <c:spPr>
        <a:noFill/>
        <a:ln>
          <a:noFill/>
        </a:ln>
        <a:effectLst/>
      </c:spPr>
      <c:txPr>
        <a:bodyPr rot="0" spcFirstLastPara="1" vertOverflow="ellipsis" vert="horz" wrap="square" anchor="ctr" anchorCtr="1"/>
        <a:lstStyle/>
        <a:p>
          <a:pPr>
            <a:defRPr sz="1100" b="1" i="0" u="none" strike="noStrike" kern="1200" spc="0" baseline="0">
              <a:solidFill>
                <a:sysClr val="windowText" lastClr="000000"/>
              </a:solidFill>
              <a:latin typeface="+mn-lt"/>
              <a:ea typeface="+mn-ea"/>
              <a:cs typeface="+mn-cs"/>
            </a:defRPr>
          </a:pPr>
          <a:endParaRPr lang="en-US"/>
        </a:p>
      </c:txPr>
    </c:title>
    <c:autoTitleDeleted val="0"/>
    <c:plotArea>
      <c:layout/>
      <c:pieChart>
        <c:varyColors val="1"/>
        <c:ser>
          <c:idx val="2"/>
          <c:order val="0"/>
          <c:tx>
            <c:strRef>
              <c:f>July!$D$52</c:f>
              <c:strCache>
                <c:ptCount val="1"/>
                <c:pt idx="0">
                  <c:v>Total</c:v>
                </c:pt>
              </c:strCache>
            </c:strRef>
          </c:tx>
          <c:spPr>
            <a:solidFill>
              <a:srgbClr val="F7F7F7"/>
            </a:solidFill>
            <a:ln w="19050">
              <a:solidFill>
                <a:schemeClr val="bg2">
                  <a:lumMod val="90000"/>
                </a:schemeClr>
              </a:solidFill>
            </a:ln>
          </c:spPr>
          <c:dPt>
            <c:idx val="0"/>
            <c:bubble3D val="0"/>
            <c:spPr>
              <a:solidFill>
                <a:srgbClr val="F7F7F7"/>
              </a:solidFill>
              <a:ln w="19050">
                <a:solidFill>
                  <a:schemeClr val="bg2">
                    <a:lumMod val="90000"/>
                  </a:schemeClr>
                </a:solidFill>
              </a:ln>
              <a:effectLst/>
            </c:spPr>
            <c:extLst>
              <c:ext xmlns:c16="http://schemas.microsoft.com/office/drawing/2014/chart" uri="{C3380CC4-5D6E-409C-BE32-E72D297353CC}">
                <c16:uniqueId val="{00000001-E99C-4D8E-A2AF-DB6CF7A7597B}"/>
              </c:ext>
            </c:extLst>
          </c:dPt>
          <c:dPt>
            <c:idx val="1"/>
            <c:bubble3D val="0"/>
            <c:spPr>
              <a:solidFill>
                <a:schemeClr val="bg2"/>
              </a:solidFill>
              <a:ln w="19050">
                <a:solidFill>
                  <a:schemeClr val="bg2">
                    <a:lumMod val="90000"/>
                  </a:schemeClr>
                </a:solidFill>
              </a:ln>
              <a:effectLst/>
            </c:spPr>
            <c:extLst>
              <c:ext xmlns:c16="http://schemas.microsoft.com/office/drawing/2014/chart" uri="{C3380CC4-5D6E-409C-BE32-E72D297353CC}">
                <c16:uniqueId val="{00000003-E99C-4D8E-A2AF-DB6CF7A7597B}"/>
              </c:ext>
            </c:extLst>
          </c:dPt>
          <c:dLbls>
            <c:dLbl>
              <c:idx val="0"/>
              <c:layout>
                <c:manualLayout>
                  <c:x val="6.2922200858950839E-2"/>
                  <c:y val="-5.7940247469122956E-2"/>
                </c:manualLayout>
              </c:layout>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99C-4D8E-A2AF-DB6CF7A7597B}"/>
                </c:ext>
              </c:extLst>
            </c:dLbl>
            <c:dLbl>
              <c:idx val="1"/>
              <c:layout>
                <c:manualLayout>
                  <c:x val="-4.8011385115936479E-2"/>
                  <c:y val="2.6697554736401265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15:layout>
                    <c:manualLayout>
                      <c:w val="0.24931745400710711"/>
                      <c:h val="0.11967240535812428"/>
                    </c:manualLayout>
                  </c15:layout>
                </c:ext>
                <c:ext xmlns:c16="http://schemas.microsoft.com/office/drawing/2014/chart" uri="{C3380CC4-5D6E-409C-BE32-E72D297353CC}">
                  <c16:uniqueId val="{00000003-E99C-4D8E-A2AF-DB6CF7A7597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July!$B$53:$B$54</c:f>
              <c:strCache>
                <c:ptCount val="2"/>
                <c:pt idx="0">
                  <c:v>Yes</c:v>
                </c:pt>
                <c:pt idx="1">
                  <c:v>No</c:v>
                </c:pt>
              </c:strCache>
            </c:strRef>
          </c:cat>
          <c:val>
            <c:numRef>
              <c:f>July!$D$53:$D$54</c:f>
              <c:numCache>
                <c:formatCode>General</c:formatCode>
                <c:ptCount val="2"/>
                <c:pt idx="0">
                  <c:v>0</c:v>
                </c:pt>
                <c:pt idx="1">
                  <c:v>0</c:v>
                </c:pt>
              </c:numCache>
            </c:numRef>
          </c:val>
          <c:extLst>
            <c:ext xmlns:c16="http://schemas.microsoft.com/office/drawing/2014/chart" uri="{C3380CC4-5D6E-409C-BE32-E72D297353CC}">
              <c16:uniqueId val="{00000004-E99C-4D8E-A2AF-DB6CF7A7597B}"/>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July!$B$171</c:f>
          <c:strCache>
            <c:ptCount val="1"/>
            <c:pt idx="0">
              <c:v>Falls by Contributing Factors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4"/>
          <c:order val="0"/>
          <c:tx>
            <c:strRef>
              <c:f>July!$G$172</c:f>
              <c:strCache>
                <c:ptCount val="1"/>
                <c:pt idx="0">
                  <c:v>Total</c:v>
                </c:pt>
              </c:strCache>
            </c:strRef>
          </c:tx>
          <c:spPr>
            <a:solidFill>
              <a:schemeClr val="bg2">
                <a:lumMod val="9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July!$B$173:$B$196</c:f>
              <c:strCache>
                <c:ptCount val="11"/>
                <c:pt idx="0">
                  <c:v>Assisted/caregiver transfer</c:v>
                </c:pt>
                <c:pt idx="1">
                  <c:v>Bowel and bladder (B&amp;B) needs</c:v>
                </c:pt>
                <c:pt idx="2">
                  <c:v>Behavioral or situational</c:v>
                </c:pt>
                <c:pt idx="3">
                  <c:v>Change of condition</c:v>
                </c:pt>
                <c:pt idx="4">
                  <c:v>Environmental factors</c:v>
                </c:pt>
                <c:pt idx="5">
                  <c:v>Equipment malfunction</c:v>
                </c:pt>
                <c:pt idx="6">
                  <c:v>Equipment or assistive device</c:v>
                </c:pt>
                <c:pt idx="7">
                  <c:v>Medication related</c:v>
                </c:pt>
                <c:pt idx="8">
                  <c:v>Process(s) not followed</c:v>
                </c:pt>
                <c:pt idx="9">
                  <c:v>Resident health conditions</c:v>
                </c:pt>
                <c:pt idx="10">
                  <c:v>Staff</c:v>
                </c:pt>
              </c:strCache>
            </c:strRef>
          </c:cat>
          <c:val>
            <c:numRef>
              <c:f>July!$G$173:$G$196</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BB18-4156-A377-3E9F9630CCEB}"/>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bg2">
                    <a:lumMod val="50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July!$F$51</c:f>
          <c:strCache>
            <c:ptCount val="1"/>
            <c:pt idx="0">
              <c:v>Fall Circumstances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July!$H$52</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July!$F$53:$F$55</c:f>
              <c:strCache>
                <c:ptCount val="3"/>
                <c:pt idx="0">
                  <c:v>Overwhelming Force</c:v>
                </c:pt>
                <c:pt idx="1">
                  <c:v>Intercepted</c:v>
                </c:pt>
                <c:pt idx="2">
                  <c:v>N/A</c:v>
                </c:pt>
              </c:strCache>
            </c:strRef>
          </c:cat>
          <c:val>
            <c:numRef>
              <c:f>July!$H$53:$H$55</c:f>
              <c:numCache>
                <c:formatCode>General</c:formatCode>
                <c:ptCount val="3"/>
                <c:pt idx="0">
                  <c:v>0</c:v>
                </c:pt>
                <c:pt idx="1">
                  <c:v>0</c:v>
                </c:pt>
                <c:pt idx="2">
                  <c:v>0</c:v>
                </c:pt>
              </c:numCache>
            </c:numRef>
          </c:val>
          <c:extLst>
            <c:ext xmlns:c16="http://schemas.microsoft.com/office/drawing/2014/chart" uri="{C3380CC4-5D6E-409C-BE32-E72D297353CC}">
              <c16:uniqueId val="{00000000-1656-4F0D-9B00-413746D574D2}"/>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Jan!$B$134</c:f>
          <c:strCache>
            <c:ptCount val="1"/>
            <c:pt idx="0">
              <c:v>Falls by Shift</c:v>
            </c:pt>
          </c:strCache>
        </c:strRef>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July!$D$135</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July!$B$136:$B$140</c:f>
              <c:strCache>
                <c:ptCount val="4"/>
                <c:pt idx="0">
                  <c:v>11-7</c:v>
                </c:pt>
                <c:pt idx="1">
                  <c:v>11–7</c:v>
                </c:pt>
                <c:pt idx="2">
                  <c:v>7–3</c:v>
                </c:pt>
                <c:pt idx="3">
                  <c:v>3–11</c:v>
                </c:pt>
              </c:strCache>
            </c:strRef>
          </c:cat>
          <c:val>
            <c:numRef>
              <c:f>July!$D$136:$D$140</c:f>
              <c:numCache>
                <c:formatCode>General</c:formatCode>
                <c:ptCount val="5"/>
                <c:pt idx="0">
                  <c:v>0</c:v>
                </c:pt>
                <c:pt idx="1">
                  <c:v>0</c:v>
                </c:pt>
                <c:pt idx="2">
                  <c:v>0</c:v>
                </c:pt>
                <c:pt idx="3">
                  <c:v>0</c:v>
                </c:pt>
                <c:pt idx="4">
                  <c:v>#N/A</c:v>
                </c:pt>
              </c:numCache>
            </c:numRef>
          </c:val>
          <c:extLst>
            <c:ext xmlns:c16="http://schemas.microsoft.com/office/drawing/2014/chart" uri="{C3380CC4-5D6E-409C-BE32-E72D297353CC}">
              <c16:uniqueId val="{00000001-CA31-4B8C-9B87-794F207D903C}"/>
            </c:ext>
          </c:extLst>
        </c:ser>
        <c:dLbls>
          <c:showLegendKey val="0"/>
          <c:showVal val="0"/>
          <c:showCatName val="0"/>
          <c:showSerName val="0"/>
          <c:showPercent val="0"/>
          <c:showBubbleSize val="0"/>
        </c:dLbls>
        <c:gapWidth val="219"/>
        <c:axId val="789078271"/>
        <c:axId val="789056671"/>
      </c:barChart>
      <c:catAx>
        <c:axId val="7890782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789056671"/>
        <c:crosses val="autoZero"/>
        <c:auto val="1"/>
        <c:lblAlgn val="ctr"/>
        <c:lblOffset val="100"/>
        <c:noMultiLvlLbl val="0"/>
      </c:catAx>
      <c:valAx>
        <c:axId val="789056671"/>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7890782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Aug!$B$93</c:f>
          <c:strCache>
            <c:ptCount val="1"/>
            <c:pt idx="0">
              <c:v>Falls by Location</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Aug!$D$94</c:f>
              <c:strCache>
                <c:ptCount val="1"/>
                <c:pt idx="0">
                  <c:v>Total</c:v>
                </c:pt>
              </c:strCache>
            </c:strRef>
          </c:tx>
          <c:spPr>
            <a:solidFill>
              <a:schemeClr val="accent3">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Aug!$B$95:$B$105</c:f>
              <c:strCache>
                <c:ptCount val="7"/>
                <c:pt idx="0">
                  <c:v>Activity Room</c:v>
                </c:pt>
                <c:pt idx="1">
                  <c:v>Bedroom</c:v>
                </c:pt>
                <c:pt idx="2">
                  <c:v>Bathroom</c:v>
                </c:pt>
                <c:pt idx="3">
                  <c:v>Hallway</c:v>
                </c:pt>
                <c:pt idx="4">
                  <c:v>Offsite</c:v>
                </c:pt>
                <c:pt idx="5">
                  <c:v>Shower Room</c:v>
                </c:pt>
                <c:pt idx="6">
                  <c:v>Dining Room</c:v>
                </c:pt>
              </c:strCache>
            </c:strRef>
          </c:cat>
          <c:val>
            <c:numRef>
              <c:f>Aug!$D$95:$D$105</c:f>
              <c:numCache>
                <c:formatCode>General</c:formatCode>
                <c:ptCount val="11"/>
                <c:pt idx="0">
                  <c:v>0</c:v>
                </c:pt>
                <c:pt idx="1">
                  <c:v>0</c:v>
                </c:pt>
                <c:pt idx="2">
                  <c:v>0</c:v>
                </c:pt>
                <c:pt idx="3">
                  <c:v>0</c:v>
                </c:pt>
                <c:pt idx="4">
                  <c:v>0</c:v>
                </c:pt>
                <c:pt idx="5">
                  <c:v>0</c:v>
                </c:pt>
                <c:pt idx="6">
                  <c:v>0</c:v>
                </c:pt>
                <c:pt idx="7">
                  <c:v>#N/A</c:v>
                </c:pt>
                <c:pt idx="8">
                  <c:v>#N/A</c:v>
                </c:pt>
                <c:pt idx="9">
                  <c:v>#N/A</c:v>
                </c:pt>
                <c:pt idx="10">
                  <c:v>#N/A</c:v>
                </c:pt>
              </c:numCache>
            </c:numRef>
          </c:val>
          <c:extLst>
            <c:ext xmlns:c16="http://schemas.microsoft.com/office/drawing/2014/chart" uri="{C3380CC4-5D6E-409C-BE32-E72D297353CC}">
              <c16:uniqueId val="{00000000-9A97-4D40-B58C-5354931C497E}"/>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Aug!$B$123</c:f>
          <c:strCache>
            <c:ptCount val="1"/>
            <c:pt idx="0">
              <c:v>Falls by Day of the Week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Aug!$D$124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Aug!$B$125:$B$131</c:f>
              <c:strCache>
                <c:ptCount val="7"/>
                <c:pt idx="0">
                  <c:v>Sun</c:v>
                </c:pt>
                <c:pt idx="1">
                  <c:v>Mon</c:v>
                </c:pt>
                <c:pt idx="2">
                  <c:v>Tue</c:v>
                </c:pt>
                <c:pt idx="3">
                  <c:v>Wed</c:v>
                </c:pt>
                <c:pt idx="4">
                  <c:v>Thu</c:v>
                </c:pt>
                <c:pt idx="5">
                  <c:v>Fri</c:v>
                </c:pt>
                <c:pt idx="6">
                  <c:v>Sat</c:v>
                </c:pt>
              </c:strCache>
            </c:strRef>
          </c:cat>
          <c:val>
            <c:numRef>
              <c:f>Aug!$D$125:$D$131</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30FA-4083-A930-52EA5A44BB49}"/>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Aug!$B$108</c:f>
          <c:strCache>
            <c:ptCount val="1"/>
            <c:pt idx="0">
              <c:v>Falls by Nursing Station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Aug!$D$109</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Aug!$B$110:$B$120</c:f>
              <c:strCache>
                <c:ptCount val="5"/>
                <c:pt idx="0">
                  <c:v>1</c:v>
                </c:pt>
                <c:pt idx="1">
                  <c:v>2</c:v>
                </c:pt>
                <c:pt idx="2">
                  <c:v>3</c:v>
                </c:pt>
                <c:pt idx="3">
                  <c:v>4</c:v>
                </c:pt>
                <c:pt idx="4">
                  <c:v>5</c:v>
                </c:pt>
              </c:strCache>
            </c:strRef>
          </c:cat>
          <c:val>
            <c:numRef>
              <c:f>Aug!$D$110:$D$120</c:f>
              <c:numCache>
                <c:formatCode>General</c:formatCode>
                <c:ptCount val="11"/>
                <c:pt idx="0">
                  <c:v>0</c:v>
                </c:pt>
                <c:pt idx="1">
                  <c:v>0</c:v>
                </c:pt>
                <c:pt idx="2">
                  <c:v>0</c:v>
                </c:pt>
                <c:pt idx="3">
                  <c:v>0</c:v>
                </c:pt>
                <c:pt idx="4">
                  <c:v>0</c:v>
                </c:pt>
                <c:pt idx="5">
                  <c:v>#N/A</c:v>
                </c:pt>
                <c:pt idx="6">
                  <c:v>#N/A</c:v>
                </c:pt>
                <c:pt idx="7">
                  <c:v>#N/A</c:v>
                </c:pt>
                <c:pt idx="8">
                  <c:v>#N/A</c:v>
                </c:pt>
                <c:pt idx="9">
                  <c:v>#N/A</c:v>
                </c:pt>
                <c:pt idx="10">
                  <c:v>#N/A</c:v>
                </c:pt>
              </c:numCache>
            </c:numRef>
          </c:val>
          <c:extLst>
            <c:ext xmlns:c16="http://schemas.microsoft.com/office/drawing/2014/chart" uri="{C3380CC4-5D6E-409C-BE32-E72D297353CC}">
              <c16:uniqueId val="{00000000-75D3-47C4-B0B4-A0E2F1AB9F96}"/>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Aug!$F$58</c:f>
          <c:strCache>
            <c:ptCount val="1"/>
            <c:pt idx="0">
              <c:v>Falls by BIMS Score</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Aug!$H$59</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Aug!$F$60:$F$62</c:f>
              <c:strCache>
                <c:ptCount val="3"/>
                <c:pt idx="0">
                  <c:v>Severe (1–7)</c:v>
                </c:pt>
                <c:pt idx="1">
                  <c:v>Moderate (8–12)</c:v>
                </c:pt>
                <c:pt idx="2">
                  <c:v>Intact (13–15)</c:v>
                </c:pt>
              </c:strCache>
            </c:strRef>
          </c:cat>
          <c:val>
            <c:numRef>
              <c:f>Aug!$H$60:$H$62</c:f>
              <c:numCache>
                <c:formatCode>General</c:formatCode>
                <c:ptCount val="3"/>
                <c:pt idx="0">
                  <c:v>0</c:v>
                </c:pt>
                <c:pt idx="1">
                  <c:v>0</c:v>
                </c:pt>
                <c:pt idx="2">
                  <c:v>0</c:v>
                </c:pt>
              </c:numCache>
            </c:numRef>
          </c:val>
          <c:extLst>
            <c:ext xmlns:c16="http://schemas.microsoft.com/office/drawing/2014/chart" uri="{C3380CC4-5D6E-409C-BE32-E72D297353CC}">
              <c16:uniqueId val="{00000000-D539-413D-BC4D-DB49FAA107A2}"/>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Aug!$B$143</c:f>
          <c:strCache>
            <c:ptCount val="1"/>
            <c:pt idx="0">
              <c:v>Falls by Hour </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1"/>
          <c:order val="0"/>
          <c:tx>
            <c:strRef>
              <c:f>Aug!$D$144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Aug!$B$145:$B$168</c:f>
              <c:strCache>
                <c:ptCount val="24"/>
                <c:pt idx="0">
                  <c:v>23:00–24:00</c:v>
                </c:pt>
                <c:pt idx="1">
                  <c:v>24:00–01:00</c:v>
                </c:pt>
                <c:pt idx="2">
                  <c:v>01:00–02:00</c:v>
                </c:pt>
                <c:pt idx="3">
                  <c:v>02:00–03:00</c:v>
                </c:pt>
                <c:pt idx="4">
                  <c:v>03:00–04:00</c:v>
                </c:pt>
                <c:pt idx="5">
                  <c:v>04:00–05:00</c:v>
                </c:pt>
                <c:pt idx="6">
                  <c:v>05:00–06:00</c:v>
                </c:pt>
                <c:pt idx="7">
                  <c:v>06:00–07:00</c:v>
                </c:pt>
                <c:pt idx="8">
                  <c:v>07:00–08:00</c:v>
                </c:pt>
                <c:pt idx="9">
                  <c:v>08:00–09:00</c:v>
                </c:pt>
                <c:pt idx="10">
                  <c:v>09:00–10:00</c:v>
                </c:pt>
                <c:pt idx="11">
                  <c:v>10:00–11:00</c:v>
                </c:pt>
                <c:pt idx="12">
                  <c:v>11:00–12:00</c:v>
                </c:pt>
                <c:pt idx="13">
                  <c:v>12:00–13:00</c:v>
                </c:pt>
                <c:pt idx="14">
                  <c:v>13:00–14:00</c:v>
                </c:pt>
                <c:pt idx="15">
                  <c:v>14:00–15:00</c:v>
                </c:pt>
                <c:pt idx="16">
                  <c:v>15:00–16:00</c:v>
                </c:pt>
                <c:pt idx="17">
                  <c:v>16:00–17:00</c:v>
                </c:pt>
                <c:pt idx="18">
                  <c:v>17:00–18:00</c:v>
                </c:pt>
                <c:pt idx="19">
                  <c:v>18:00–19:00</c:v>
                </c:pt>
                <c:pt idx="20">
                  <c:v>19:00–20:00</c:v>
                </c:pt>
                <c:pt idx="21">
                  <c:v>20:00–21:00</c:v>
                </c:pt>
                <c:pt idx="22">
                  <c:v>21:00–22:00</c:v>
                </c:pt>
                <c:pt idx="23">
                  <c:v>22:00–23:00</c:v>
                </c:pt>
              </c:strCache>
            </c:strRef>
          </c:cat>
          <c:val>
            <c:numRef>
              <c:f>Aug!$D$145:$D$168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2B28-4CA1-8D83-CE38E342900E}"/>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Aug!$B$65</c:f>
          <c:strCache>
            <c:ptCount val="1"/>
            <c:pt idx="0">
              <c:v>Falls by Activity</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Aug!$G$66</c:f>
              <c:strCache>
                <c:ptCount val="1"/>
                <c:pt idx="0">
                  <c:v>Total</c:v>
                </c:pt>
              </c:strCache>
            </c:strRef>
          </c:tx>
          <c:spPr>
            <a:solidFill>
              <a:schemeClr val="bg1">
                <a:lumMod val="75000"/>
              </a:schemeClr>
            </a:solidFill>
            <a:ln>
              <a:solidFill>
                <a:schemeClr val="bg1">
                  <a:lumMod val="85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Aug!$B$67:$B$90</c:f>
              <c:strCache>
                <c:ptCount val="11"/>
                <c:pt idx="0">
                  <c:v>Ambulating with assistive device (walker, cane, wheelchair)</c:v>
                </c:pt>
                <c:pt idx="1">
                  <c:v>Ambulating with staff assistance</c:v>
                </c:pt>
                <c:pt idx="2">
                  <c:v>Ambulating without assistance or assistive device</c:v>
                </c:pt>
                <c:pt idx="3">
                  <c:v>Changing position (e.g., in bed, chair)</c:v>
                </c:pt>
                <c:pt idx="4">
                  <c:v>Dressing or undressing</c:v>
                </c:pt>
                <c:pt idx="5">
                  <c:v>Other activity</c:v>
                </c:pt>
                <c:pt idx="6">
                  <c:v>Reaching for an item</c:v>
                </c:pt>
                <c:pt idx="7">
                  <c:v>Showering or bathing</c:v>
                </c:pt>
                <c:pt idx="8">
                  <c:v>Toileting</c:v>
                </c:pt>
                <c:pt idx="9">
                  <c:v>Transferring to or from bed, chair, wheelchair, etc.</c:v>
                </c:pt>
                <c:pt idx="10">
                  <c:v>Unknown</c:v>
                </c:pt>
              </c:strCache>
            </c:strRef>
          </c:cat>
          <c:val>
            <c:numRef>
              <c:f>Aug!$G$67:$G$90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8B93-4956-A21E-4DFAC25A3022}"/>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Aug!$B$51</c:f>
          <c:strCache>
            <c:ptCount val="1"/>
            <c:pt idx="0">
              <c:v>Witnessed Falls</c:v>
            </c:pt>
          </c:strCache>
        </c:strRef>
      </c:tx>
      <c:layout>
        <c:manualLayout>
          <c:xMode val="edge"/>
          <c:yMode val="edge"/>
          <c:x val="0.28456383934819923"/>
          <c:y val="4.8263836268180225E-2"/>
        </c:manualLayout>
      </c:layout>
      <c:overlay val="0"/>
      <c:spPr>
        <a:noFill/>
        <a:ln>
          <a:noFill/>
        </a:ln>
        <a:effectLst/>
      </c:spPr>
      <c:txPr>
        <a:bodyPr rot="0" spcFirstLastPara="1" vertOverflow="ellipsis" vert="horz" wrap="square" anchor="ctr" anchorCtr="1"/>
        <a:lstStyle/>
        <a:p>
          <a:pPr>
            <a:defRPr sz="1100" b="1" i="0" u="none" strike="noStrike" kern="1200" spc="0" baseline="0">
              <a:solidFill>
                <a:sysClr val="windowText" lastClr="000000"/>
              </a:solidFill>
              <a:latin typeface="+mn-lt"/>
              <a:ea typeface="+mn-ea"/>
              <a:cs typeface="+mn-cs"/>
            </a:defRPr>
          </a:pPr>
          <a:endParaRPr lang="en-US"/>
        </a:p>
      </c:txPr>
    </c:title>
    <c:autoTitleDeleted val="0"/>
    <c:plotArea>
      <c:layout/>
      <c:pieChart>
        <c:varyColors val="1"/>
        <c:ser>
          <c:idx val="2"/>
          <c:order val="0"/>
          <c:tx>
            <c:strRef>
              <c:f>Aug!$D$52</c:f>
              <c:strCache>
                <c:ptCount val="1"/>
                <c:pt idx="0">
                  <c:v>Total</c:v>
                </c:pt>
              </c:strCache>
            </c:strRef>
          </c:tx>
          <c:spPr>
            <a:solidFill>
              <a:srgbClr val="F7F7F7"/>
            </a:solidFill>
            <a:ln w="19050">
              <a:solidFill>
                <a:schemeClr val="bg2">
                  <a:lumMod val="90000"/>
                </a:schemeClr>
              </a:solidFill>
            </a:ln>
          </c:spPr>
          <c:dPt>
            <c:idx val="0"/>
            <c:bubble3D val="0"/>
            <c:spPr>
              <a:solidFill>
                <a:srgbClr val="F7F7F7"/>
              </a:solidFill>
              <a:ln w="19050">
                <a:solidFill>
                  <a:schemeClr val="bg2">
                    <a:lumMod val="90000"/>
                  </a:schemeClr>
                </a:solidFill>
              </a:ln>
              <a:effectLst/>
            </c:spPr>
            <c:extLst>
              <c:ext xmlns:c16="http://schemas.microsoft.com/office/drawing/2014/chart" uri="{C3380CC4-5D6E-409C-BE32-E72D297353CC}">
                <c16:uniqueId val="{00000001-4DB2-457F-8C1B-9F7EDE81A5E0}"/>
              </c:ext>
            </c:extLst>
          </c:dPt>
          <c:dPt>
            <c:idx val="1"/>
            <c:bubble3D val="0"/>
            <c:spPr>
              <a:solidFill>
                <a:schemeClr val="bg2"/>
              </a:solidFill>
              <a:ln w="19050">
                <a:solidFill>
                  <a:schemeClr val="bg2">
                    <a:lumMod val="90000"/>
                  </a:schemeClr>
                </a:solidFill>
              </a:ln>
              <a:effectLst/>
            </c:spPr>
            <c:extLst>
              <c:ext xmlns:c16="http://schemas.microsoft.com/office/drawing/2014/chart" uri="{C3380CC4-5D6E-409C-BE32-E72D297353CC}">
                <c16:uniqueId val="{00000003-4DB2-457F-8C1B-9F7EDE81A5E0}"/>
              </c:ext>
            </c:extLst>
          </c:dPt>
          <c:dLbls>
            <c:dLbl>
              <c:idx val="0"/>
              <c:layout>
                <c:manualLayout>
                  <c:x val="6.2922200858950839E-2"/>
                  <c:y val="-5.7940247469122956E-2"/>
                </c:manualLayout>
              </c:layout>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DB2-457F-8C1B-9F7EDE81A5E0}"/>
                </c:ext>
              </c:extLst>
            </c:dLbl>
            <c:dLbl>
              <c:idx val="1"/>
              <c:layout>
                <c:manualLayout>
                  <c:x val="-4.8011385115936479E-2"/>
                  <c:y val="2.6697554736401265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15:layout>
                    <c:manualLayout>
                      <c:w val="0.24931745400710711"/>
                      <c:h val="0.11967240535812428"/>
                    </c:manualLayout>
                  </c15:layout>
                </c:ext>
                <c:ext xmlns:c16="http://schemas.microsoft.com/office/drawing/2014/chart" uri="{C3380CC4-5D6E-409C-BE32-E72D297353CC}">
                  <c16:uniqueId val="{00000003-4DB2-457F-8C1B-9F7EDE81A5E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Aug!$B$53:$B$54</c:f>
              <c:strCache>
                <c:ptCount val="2"/>
                <c:pt idx="0">
                  <c:v>Yes</c:v>
                </c:pt>
                <c:pt idx="1">
                  <c:v>No</c:v>
                </c:pt>
              </c:strCache>
            </c:strRef>
          </c:cat>
          <c:val>
            <c:numRef>
              <c:f>Aug!$D$53:$D$54</c:f>
              <c:numCache>
                <c:formatCode>General</c:formatCode>
                <c:ptCount val="2"/>
                <c:pt idx="0">
                  <c:v>0</c:v>
                </c:pt>
                <c:pt idx="1">
                  <c:v>0</c:v>
                </c:pt>
              </c:numCache>
            </c:numRef>
          </c:val>
          <c:extLst>
            <c:ext xmlns:c16="http://schemas.microsoft.com/office/drawing/2014/chart" uri="{C3380CC4-5D6E-409C-BE32-E72D297353CC}">
              <c16:uniqueId val="{00000004-4DB2-457F-8C1B-9F7EDE81A5E0}"/>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Aug!$B$171</c:f>
          <c:strCache>
            <c:ptCount val="1"/>
            <c:pt idx="0">
              <c:v>Falls by Contributing Factors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4"/>
          <c:order val="0"/>
          <c:tx>
            <c:strRef>
              <c:f>Aug!$G$172</c:f>
              <c:strCache>
                <c:ptCount val="1"/>
                <c:pt idx="0">
                  <c:v>Total</c:v>
                </c:pt>
              </c:strCache>
            </c:strRef>
          </c:tx>
          <c:spPr>
            <a:solidFill>
              <a:schemeClr val="bg2">
                <a:lumMod val="9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Aug!$B$173:$B$196</c:f>
              <c:strCache>
                <c:ptCount val="11"/>
                <c:pt idx="0">
                  <c:v>Assisted/caregiver transfer</c:v>
                </c:pt>
                <c:pt idx="1">
                  <c:v>Bowel and bladder (B&amp;B) needs</c:v>
                </c:pt>
                <c:pt idx="2">
                  <c:v>Behavioral or situational</c:v>
                </c:pt>
                <c:pt idx="3">
                  <c:v>Change of condition</c:v>
                </c:pt>
                <c:pt idx="4">
                  <c:v>Environmental factors</c:v>
                </c:pt>
                <c:pt idx="5">
                  <c:v>Equipment malfunction</c:v>
                </c:pt>
                <c:pt idx="6">
                  <c:v>Equipment or assistive device</c:v>
                </c:pt>
                <c:pt idx="7">
                  <c:v>Medication related</c:v>
                </c:pt>
                <c:pt idx="8">
                  <c:v>Process(s) not followed</c:v>
                </c:pt>
                <c:pt idx="9">
                  <c:v>Resident health conditions</c:v>
                </c:pt>
                <c:pt idx="10">
                  <c:v>Staff</c:v>
                </c:pt>
              </c:strCache>
            </c:strRef>
          </c:cat>
          <c:val>
            <c:numRef>
              <c:f>Aug!$G$173:$G$196</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F807-4AA7-B25F-829555C88DA5}"/>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bg2">
                    <a:lumMod val="50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Aug!$F$51</c:f>
          <c:strCache>
            <c:ptCount val="1"/>
            <c:pt idx="0">
              <c:v>Fall Circumstances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Aug!$H$52</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Aug!$F$53:$F$55</c:f>
              <c:strCache>
                <c:ptCount val="3"/>
                <c:pt idx="0">
                  <c:v>Overwhelming Force</c:v>
                </c:pt>
                <c:pt idx="1">
                  <c:v>Intercepted</c:v>
                </c:pt>
                <c:pt idx="2">
                  <c:v>N/A</c:v>
                </c:pt>
              </c:strCache>
            </c:strRef>
          </c:cat>
          <c:val>
            <c:numRef>
              <c:f>Aug!$H$53:$H$55</c:f>
              <c:numCache>
                <c:formatCode>General</c:formatCode>
                <c:ptCount val="3"/>
                <c:pt idx="0">
                  <c:v>0</c:v>
                </c:pt>
                <c:pt idx="1">
                  <c:v>0</c:v>
                </c:pt>
                <c:pt idx="2">
                  <c:v>0</c:v>
                </c:pt>
              </c:numCache>
            </c:numRef>
          </c:val>
          <c:extLst>
            <c:ext xmlns:c16="http://schemas.microsoft.com/office/drawing/2014/chart" uri="{C3380CC4-5D6E-409C-BE32-E72D297353CC}">
              <c16:uniqueId val="{00000000-CBC8-4C9E-9A32-03F3A4A84F49}"/>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Jan!$B$134</c:f>
          <c:strCache>
            <c:ptCount val="1"/>
            <c:pt idx="0">
              <c:v>Falls by Shift</c:v>
            </c:pt>
          </c:strCache>
        </c:strRef>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Aug!$D$135</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Aug!$B$136:$B$140</c:f>
              <c:strCache>
                <c:ptCount val="4"/>
                <c:pt idx="0">
                  <c:v>11-7</c:v>
                </c:pt>
                <c:pt idx="1">
                  <c:v>11–7</c:v>
                </c:pt>
                <c:pt idx="2">
                  <c:v>7–3</c:v>
                </c:pt>
                <c:pt idx="3">
                  <c:v>3–11</c:v>
                </c:pt>
              </c:strCache>
            </c:strRef>
          </c:cat>
          <c:val>
            <c:numRef>
              <c:f>Aug!$D$136:$D$140</c:f>
              <c:numCache>
                <c:formatCode>General</c:formatCode>
                <c:ptCount val="5"/>
                <c:pt idx="0">
                  <c:v>0</c:v>
                </c:pt>
                <c:pt idx="1">
                  <c:v>0</c:v>
                </c:pt>
                <c:pt idx="2">
                  <c:v>0</c:v>
                </c:pt>
                <c:pt idx="3">
                  <c:v>0</c:v>
                </c:pt>
                <c:pt idx="4">
                  <c:v>#N/A</c:v>
                </c:pt>
              </c:numCache>
            </c:numRef>
          </c:val>
          <c:extLst>
            <c:ext xmlns:c16="http://schemas.microsoft.com/office/drawing/2014/chart" uri="{C3380CC4-5D6E-409C-BE32-E72D297353CC}">
              <c16:uniqueId val="{00000001-1849-44E3-BBA5-CA95C315750D}"/>
            </c:ext>
          </c:extLst>
        </c:ser>
        <c:dLbls>
          <c:showLegendKey val="0"/>
          <c:showVal val="0"/>
          <c:showCatName val="0"/>
          <c:showSerName val="0"/>
          <c:showPercent val="0"/>
          <c:showBubbleSize val="0"/>
        </c:dLbls>
        <c:gapWidth val="219"/>
        <c:axId val="789078271"/>
        <c:axId val="789056671"/>
      </c:barChart>
      <c:catAx>
        <c:axId val="7890782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789056671"/>
        <c:crosses val="autoZero"/>
        <c:auto val="1"/>
        <c:lblAlgn val="ctr"/>
        <c:lblOffset val="100"/>
        <c:noMultiLvlLbl val="0"/>
      </c:catAx>
      <c:valAx>
        <c:axId val="789056671"/>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7890782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Sept!$B$93</c:f>
          <c:strCache>
            <c:ptCount val="1"/>
            <c:pt idx="0">
              <c:v>Falls by Location</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Sept!$D$94</c:f>
              <c:strCache>
                <c:ptCount val="1"/>
                <c:pt idx="0">
                  <c:v>Total</c:v>
                </c:pt>
              </c:strCache>
            </c:strRef>
          </c:tx>
          <c:spPr>
            <a:solidFill>
              <a:schemeClr val="accent3">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Sept!$B$95:$B$105</c:f>
              <c:strCache>
                <c:ptCount val="7"/>
                <c:pt idx="0">
                  <c:v>Activity Room</c:v>
                </c:pt>
                <c:pt idx="1">
                  <c:v>Bedroom</c:v>
                </c:pt>
                <c:pt idx="2">
                  <c:v>Bathroom</c:v>
                </c:pt>
                <c:pt idx="3">
                  <c:v>Hallway</c:v>
                </c:pt>
                <c:pt idx="4">
                  <c:v>Offsite</c:v>
                </c:pt>
                <c:pt idx="5">
                  <c:v>Shower Room</c:v>
                </c:pt>
                <c:pt idx="6">
                  <c:v>Dining Room</c:v>
                </c:pt>
              </c:strCache>
            </c:strRef>
          </c:cat>
          <c:val>
            <c:numRef>
              <c:f>Sept!$D$95:$D$105</c:f>
              <c:numCache>
                <c:formatCode>General</c:formatCode>
                <c:ptCount val="11"/>
                <c:pt idx="0">
                  <c:v>0</c:v>
                </c:pt>
                <c:pt idx="1">
                  <c:v>0</c:v>
                </c:pt>
                <c:pt idx="2">
                  <c:v>0</c:v>
                </c:pt>
                <c:pt idx="3">
                  <c:v>0</c:v>
                </c:pt>
                <c:pt idx="4">
                  <c:v>0</c:v>
                </c:pt>
                <c:pt idx="5">
                  <c:v>0</c:v>
                </c:pt>
                <c:pt idx="6">
                  <c:v>0</c:v>
                </c:pt>
                <c:pt idx="7">
                  <c:v>#N/A</c:v>
                </c:pt>
                <c:pt idx="8">
                  <c:v>#N/A</c:v>
                </c:pt>
                <c:pt idx="9">
                  <c:v>#N/A</c:v>
                </c:pt>
                <c:pt idx="10">
                  <c:v>#N/A</c:v>
                </c:pt>
              </c:numCache>
            </c:numRef>
          </c:val>
          <c:extLst>
            <c:ext xmlns:c16="http://schemas.microsoft.com/office/drawing/2014/chart" uri="{C3380CC4-5D6E-409C-BE32-E72D297353CC}">
              <c16:uniqueId val="{00000000-F0C9-4C3B-A18F-DCF41140B742}"/>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Sept!$B$123</c:f>
          <c:strCache>
            <c:ptCount val="1"/>
            <c:pt idx="0">
              <c:v>Falls by Day of the Week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Sept!$D$124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Sept!$B$125:$B$131</c:f>
              <c:strCache>
                <c:ptCount val="7"/>
                <c:pt idx="0">
                  <c:v>Sun</c:v>
                </c:pt>
                <c:pt idx="1">
                  <c:v>Mon</c:v>
                </c:pt>
                <c:pt idx="2">
                  <c:v>Tue</c:v>
                </c:pt>
                <c:pt idx="3">
                  <c:v>Wed</c:v>
                </c:pt>
                <c:pt idx="4">
                  <c:v>Thu</c:v>
                </c:pt>
                <c:pt idx="5">
                  <c:v>Fri</c:v>
                </c:pt>
                <c:pt idx="6">
                  <c:v>Sat</c:v>
                </c:pt>
              </c:strCache>
            </c:strRef>
          </c:cat>
          <c:val>
            <c:numRef>
              <c:f>Sept!$D$125:$D$131</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ADFA-4CCC-AF41-8B2409A25503}"/>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Sept!$B$108</c:f>
          <c:strCache>
            <c:ptCount val="1"/>
            <c:pt idx="0">
              <c:v>Falls by Nursing Station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Sept!$D$109</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Sept!$B$110:$B$120</c:f>
              <c:strCache>
                <c:ptCount val="5"/>
                <c:pt idx="0">
                  <c:v>1</c:v>
                </c:pt>
                <c:pt idx="1">
                  <c:v>2</c:v>
                </c:pt>
                <c:pt idx="2">
                  <c:v>3</c:v>
                </c:pt>
                <c:pt idx="3">
                  <c:v>4</c:v>
                </c:pt>
                <c:pt idx="4">
                  <c:v>5</c:v>
                </c:pt>
              </c:strCache>
            </c:strRef>
          </c:cat>
          <c:val>
            <c:numRef>
              <c:f>Sept!$D$110:$D$120</c:f>
              <c:numCache>
                <c:formatCode>General</c:formatCode>
                <c:ptCount val="11"/>
                <c:pt idx="0">
                  <c:v>0</c:v>
                </c:pt>
                <c:pt idx="1">
                  <c:v>0</c:v>
                </c:pt>
                <c:pt idx="2">
                  <c:v>0</c:v>
                </c:pt>
                <c:pt idx="3">
                  <c:v>0</c:v>
                </c:pt>
                <c:pt idx="4">
                  <c:v>0</c:v>
                </c:pt>
                <c:pt idx="5">
                  <c:v>#N/A</c:v>
                </c:pt>
                <c:pt idx="6">
                  <c:v>#N/A</c:v>
                </c:pt>
                <c:pt idx="7">
                  <c:v>#N/A</c:v>
                </c:pt>
                <c:pt idx="8">
                  <c:v>#N/A</c:v>
                </c:pt>
                <c:pt idx="9">
                  <c:v>#N/A</c:v>
                </c:pt>
                <c:pt idx="10">
                  <c:v>#N/A</c:v>
                </c:pt>
              </c:numCache>
            </c:numRef>
          </c:val>
          <c:extLst>
            <c:ext xmlns:c16="http://schemas.microsoft.com/office/drawing/2014/chart" uri="{C3380CC4-5D6E-409C-BE32-E72D297353CC}">
              <c16:uniqueId val="{00000000-7976-4002-891D-1782EDBC255F}"/>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Sept!$F$58</c:f>
          <c:strCache>
            <c:ptCount val="1"/>
            <c:pt idx="0">
              <c:v>Falls by BIMS Score</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Sept!$H$59</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Sept!$F$60:$F$62</c:f>
              <c:strCache>
                <c:ptCount val="3"/>
                <c:pt idx="0">
                  <c:v>Severe (1–7)</c:v>
                </c:pt>
                <c:pt idx="1">
                  <c:v>Moderate (8–12)</c:v>
                </c:pt>
                <c:pt idx="2">
                  <c:v>Intact (13–15)</c:v>
                </c:pt>
              </c:strCache>
            </c:strRef>
          </c:cat>
          <c:val>
            <c:numRef>
              <c:f>Sept!$H$60:$H$62</c:f>
              <c:numCache>
                <c:formatCode>General</c:formatCode>
                <c:ptCount val="3"/>
                <c:pt idx="0">
                  <c:v>0</c:v>
                </c:pt>
                <c:pt idx="1">
                  <c:v>0</c:v>
                </c:pt>
                <c:pt idx="2">
                  <c:v>0</c:v>
                </c:pt>
              </c:numCache>
            </c:numRef>
          </c:val>
          <c:extLst>
            <c:ext xmlns:c16="http://schemas.microsoft.com/office/drawing/2014/chart" uri="{C3380CC4-5D6E-409C-BE32-E72D297353CC}">
              <c16:uniqueId val="{00000000-9A28-4B7C-A3E1-63DAD2B1FFA7}"/>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Sept!$B$143</c:f>
          <c:strCache>
            <c:ptCount val="1"/>
            <c:pt idx="0">
              <c:v>Falls by Hour </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1"/>
          <c:order val="0"/>
          <c:tx>
            <c:strRef>
              <c:f>Sept!$D$144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Sept!$B$145:$B$168</c:f>
              <c:strCache>
                <c:ptCount val="24"/>
                <c:pt idx="0">
                  <c:v>23:00–24:00</c:v>
                </c:pt>
                <c:pt idx="1">
                  <c:v>24:00–01:00</c:v>
                </c:pt>
                <c:pt idx="2">
                  <c:v>01:00–02:00</c:v>
                </c:pt>
                <c:pt idx="3">
                  <c:v>02:00–03:00</c:v>
                </c:pt>
                <c:pt idx="4">
                  <c:v>03:00–04:00</c:v>
                </c:pt>
                <c:pt idx="5">
                  <c:v>04:00–05:00</c:v>
                </c:pt>
                <c:pt idx="6">
                  <c:v>05:00–06:00</c:v>
                </c:pt>
                <c:pt idx="7">
                  <c:v>06:00–07:00</c:v>
                </c:pt>
                <c:pt idx="8">
                  <c:v>07:00–08:00</c:v>
                </c:pt>
                <c:pt idx="9">
                  <c:v>08:00–09:00</c:v>
                </c:pt>
                <c:pt idx="10">
                  <c:v>09:00–10:00</c:v>
                </c:pt>
                <c:pt idx="11">
                  <c:v>10:00–11:00</c:v>
                </c:pt>
                <c:pt idx="12">
                  <c:v>11:00–12:00</c:v>
                </c:pt>
                <c:pt idx="13">
                  <c:v>12:00–13:00</c:v>
                </c:pt>
                <c:pt idx="14">
                  <c:v>13:00–14:00</c:v>
                </c:pt>
                <c:pt idx="15">
                  <c:v>14:00–15:00</c:v>
                </c:pt>
                <c:pt idx="16">
                  <c:v>15:00–16:00</c:v>
                </c:pt>
                <c:pt idx="17">
                  <c:v>16:00–17:00</c:v>
                </c:pt>
                <c:pt idx="18">
                  <c:v>17:00–18:00</c:v>
                </c:pt>
                <c:pt idx="19">
                  <c:v>18:00–19:00</c:v>
                </c:pt>
                <c:pt idx="20">
                  <c:v>19:00–20:00</c:v>
                </c:pt>
                <c:pt idx="21">
                  <c:v>20:00–21:00</c:v>
                </c:pt>
                <c:pt idx="22">
                  <c:v>21:00–22:00</c:v>
                </c:pt>
                <c:pt idx="23">
                  <c:v>22:00–23:00</c:v>
                </c:pt>
              </c:strCache>
            </c:strRef>
          </c:cat>
          <c:val>
            <c:numRef>
              <c:f>Sept!$D$145:$D$168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C351-45B8-91C3-4D94149E4ADA}"/>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Sept!$B$65</c:f>
          <c:strCache>
            <c:ptCount val="1"/>
            <c:pt idx="0">
              <c:v>Falls by Activity</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Sept!$G$66</c:f>
              <c:strCache>
                <c:ptCount val="1"/>
                <c:pt idx="0">
                  <c:v>Total</c:v>
                </c:pt>
              </c:strCache>
            </c:strRef>
          </c:tx>
          <c:spPr>
            <a:solidFill>
              <a:schemeClr val="bg1">
                <a:lumMod val="75000"/>
              </a:schemeClr>
            </a:solidFill>
            <a:ln>
              <a:solidFill>
                <a:schemeClr val="bg1">
                  <a:lumMod val="85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Sept!$B$67:$B$90</c:f>
              <c:strCache>
                <c:ptCount val="11"/>
                <c:pt idx="0">
                  <c:v>Ambulating with assistive device (walker, cane, wheelchair)</c:v>
                </c:pt>
                <c:pt idx="1">
                  <c:v>Ambulating with staff assistance</c:v>
                </c:pt>
                <c:pt idx="2">
                  <c:v>Ambulating without assistance or assistive device</c:v>
                </c:pt>
                <c:pt idx="3">
                  <c:v>Changing position (e.g., in bed, chair)</c:v>
                </c:pt>
                <c:pt idx="4">
                  <c:v>Dressing or undressing</c:v>
                </c:pt>
                <c:pt idx="5">
                  <c:v>Other activity</c:v>
                </c:pt>
                <c:pt idx="6">
                  <c:v>Reaching for an item</c:v>
                </c:pt>
                <c:pt idx="7">
                  <c:v>Showering or bathing</c:v>
                </c:pt>
                <c:pt idx="8">
                  <c:v>Toileting</c:v>
                </c:pt>
                <c:pt idx="9">
                  <c:v>Transferring to or from bed, chair, wheelchair, etc.</c:v>
                </c:pt>
                <c:pt idx="10">
                  <c:v>Unknown</c:v>
                </c:pt>
              </c:strCache>
            </c:strRef>
          </c:cat>
          <c:val>
            <c:numRef>
              <c:f>Sept!$G$67:$G$90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8EB8-4C5A-8C75-7D8AAAE6B7C8}"/>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Sept!$B$51</c:f>
          <c:strCache>
            <c:ptCount val="1"/>
            <c:pt idx="0">
              <c:v>Witnessed Falls</c:v>
            </c:pt>
          </c:strCache>
        </c:strRef>
      </c:tx>
      <c:layout>
        <c:manualLayout>
          <c:xMode val="edge"/>
          <c:yMode val="edge"/>
          <c:x val="0.28456383934819923"/>
          <c:y val="4.8263836268180225E-2"/>
        </c:manualLayout>
      </c:layout>
      <c:overlay val="0"/>
      <c:spPr>
        <a:noFill/>
        <a:ln>
          <a:noFill/>
        </a:ln>
        <a:effectLst/>
      </c:spPr>
      <c:txPr>
        <a:bodyPr rot="0" spcFirstLastPara="1" vertOverflow="ellipsis" vert="horz" wrap="square" anchor="ctr" anchorCtr="1"/>
        <a:lstStyle/>
        <a:p>
          <a:pPr>
            <a:defRPr sz="1100" b="1" i="0" u="none" strike="noStrike" kern="1200" spc="0" baseline="0">
              <a:solidFill>
                <a:sysClr val="windowText" lastClr="000000"/>
              </a:solidFill>
              <a:latin typeface="+mn-lt"/>
              <a:ea typeface="+mn-ea"/>
              <a:cs typeface="+mn-cs"/>
            </a:defRPr>
          </a:pPr>
          <a:endParaRPr lang="en-US"/>
        </a:p>
      </c:txPr>
    </c:title>
    <c:autoTitleDeleted val="0"/>
    <c:plotArea>
      <c:layout/>
      <c:pieChart>
        <c:varyColors val="1"/>
        <c:ser>
          <c:idx val="2"/>
          <c:order val="0"/>
          <c:tx>
            <c:strRef>
              <c:f>Sept!$D$52</c:f>
              <c:strCache>
                <c:ptCount val="1"/>
                <c:pt idx="0">
                  <c:v>Total</c:v>
                </c:pt>
              </c:strCache>
            </c:strRef>
          </c:tx>
          <c:spPr>
            <a:solidFill>
              <a:srgbClr val="F7F7F7"/>
            </a:solidFill>
            <a:ln w="19050">
              <a:solidFill>
                <a:schemeClr val="bg2">
                  <a:lumMod val="90000"/>
                </a:schemeClr>
              </a:solidFill>
            </a:ln>
          </c:spPr>
          <c:dPt>
            <c:idx val="0"/>
            <c:bubble3D val="0"/>
            <c:spPr>
              <a:solidFill>
                <a:srgbClr val="F7F7F7"/>
              </a:solidFill>
              <a:ln w="19050">
                <a:solidFill>
                  <a:schemeClr val="bg2">
                    <a:lumMod val="90000"/>
                  </a:schemeClr>
                </a:solidFill>
              </a:ln>
              <a:effectLst/>
            </c:spPr>
            <c:extLst>
              <c:ext xmlns:c16="http://schemas.microsoft.com/office/drawing/2014/chart" uri="{C3380CC4-5D6E-409C-BE32-E72D297353CC}">
                <c16:uniqueId val="{00000001-84DA-4A5F-A548-BC68C4EB27E7}"/>
              </c:ext>
            </c:extLst>
          </c:dPt>
          <c:dPt>
            <c:idx val="1"/>
            <c:bubble3D val="0"/>
            <c:spPr>
              <a:solidFill>
                <a:schemeClr val="bg2"/>
              </a:solidFill>
              <a:ln w="19050">
                <a:solidFill>
                  <a:schemeClr val="bg2">
                    <a:lumMod val="90000"/>
                  </a:schemeClr>
                </a:solidFill>
              </a:ln>
              <a:effectLst/>
            </c:spPr>
            <c:extLst>
              <c:ext xmlns:c16="http://schemas.microsoft.com/office/drawing/2014/chart" uri="{C3380CC4-5D6E-409C-BE32-E72D297353CC}">
                <c16:uniqueId val="{00000003-84DA-4A5F-A548-BC68C4EB27E7}"/>
              </c:ext>
            </c:extLst>
          </c:dPt>
          <c:dLbls>
            <c:dLbl>
              <c:idx val="0"/>
              <c:layout>
                <c:manualLayout>
                  <c:x val="6.2922200858950839E-2"/>
                  <c:y val="-5.7940247469122956E-2"/>
                </c:manualLayout>
              </c:layout>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4DA-4A5F-A548-BC68C4EB27E7}"/>
                </c:ext>
              </c:extLst>
            </c:dLbl>
            <c:dLbl>
              <c:idx val="1"/>
              <c:layout>
                <c:manualLayout>
                  <c:x val="-4.8011385115936479E-2"/>
                  <c:y val="2.6697554736401265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15:layout>
                    <c:manualLayout>
                      <c:w val="0.24931745400710711"/>
                      <c:h val="0.11967240535812428"/>
                    </c:manualLayout>
                  </c15:layout>
                </c:ext>
                <c:ext xmlns:c16="http://schemas.microsoft.com/office/drawing/2014/chart" uri="{C3380CC4-5D6E-409C-BE32-E72D297353CC}">
                  <c16:uniqueId val="{00000003-84DA-4A5F-A548-BC68C4EB27E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Sept!$B$53:$B$54</c:f>
              <c:strCache>
                <c:ptCount val="2"/>
                <c:pt idx="0">
                  <c:v>Yes</c:v>
                </c:pt>
                <c:pt idx="1">
                  <c:v>No</c:v>
                </c:pt>
              </c:strCache>
            </c:strRef>
          </c:cat>
          <c:val>
            <c:numRef>
              <c:f>Sept!$D$53:$D$54</c:f>
              <c:numCache>
                <c:formatCode>General</c:formatCode>
                <c:ptCount val="2"/>
                <c:pt idx="0">
                  <c:v>0</c:v>
                </c:pt>
                <c:pt idx="1">
                  <c:v>0</c:v>
                </c:pt>
              </c:numCache>
            </c:numRef>
          </c:val>
          <c:extLst>
            <c:ext xmlns:c16="http://schemas.microsoft.com/office/drawing/2014/chart" uri="{C3380CC4-5D6E-409C-BE32-E72D297353CC}">
              <c16:uniqueId val="{00000004-84DA-4A5F-A548-BC68C4EB27E7}"/>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Sept!$B$171</c:f>
          <c:strCache>
            <c:ptCount val="1"/>
            <c:pt idx="0">
              <c:v>Falls by Contributing Factors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4"/>
          <c:order val="0"/>
          <c:tx>
            <c:strRef>
              <c:f>Sept!$G$172</c:f>
              <c:strCache>
                <c:ptCount val="1"/>
                <c:pt idx="0">
                  <c:v>Total</c:v>
                </c:pt>
              </c:strCache>
            </c:strRef>
          </c:tx>
          <c:spPr>
            <a:solidFill>
              <a:schemeClr val="bg2">
                <a:lumMod val="9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Sept!$B$173:$B$196</c:f>
              <c:strCache>
                <c:ptCount val="11"/>
                <c:pt idx="0">
                  <c:v>Assisted/caregiver transfer</c:v>
                </c:pt>
                <c:pt idx="1">
                  <c:v>Bowel and bladder (B&amp;B) needs</c:v>
                </c:pt>
                <c:pt idx="2">
                  <c:v>Behavioral or situational</c:v>
                </c:pt>
                <c:pt idx="3">
                  <c:v>Change of condition</c:v>
                </c:pt>
                <c:pt idx="4">
                  <c:v>Environmental factors</c:v>
                </c:pt>
                <c:pt idx="5">
                  <c:v>Equipment malfunction</c:v>
                </c:pt>
                <c:pt idx="6">
                  <c:v>Equipment or assistive device</c:v>
                </c:pt>
                <c:pt idx="7">
                  <c:v>Medication related</c:v>
                </c:pt>
                <c:pt idx="8">
                  <c:v>Process(s) not followed</c:v>
                </c:pt>
                <c:pt idx="9">
                  <c:v>Resident health conditions</c:v>
                </c:pt>
                <c:pt idx="10">
                  <c:v>Staff</c:v>
                </c:pt>
              </c:strCache>
            </c:strRef>
          </c:cat>
          <c:val>
            <c:numRef>
              <c:f>Sept!$G$173:$G$196</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260E-494F-9738-6A54C313B5AA}"/>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bg2">
                    <a:lumMod val="50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Sept!$F$51</c:f>
          <c:strCache>
            <c:ptCount val="1"/>
            <c:pt idx="0">
              <c:v>Fall Circumstances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Sept!$H$52</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Sept!$F$53:$F$55</c:f>
              <c:strCache>
                <c:ptCount val="3"/>
                <c:pt idx="0">
                  <c:v>Overwhelming Force</c:v>
                </c:pt>
                <c:pt idx="1">
                  <c:v>Intercepted</c:v>
                </c:pt>
                <c:pt idx="2">
                  <c:v>N/A</c:v>
                </c:pt>
              </c:strCache>
            </c:strRef>
          </c:cat>
          <c:val>
            <c:numRef>
              <c:f>Sept!$H$53:$H$55</c:f>
              <c:numCache>
                <c:formatCode>General</c:formatCode>
                <c:ptCount val="3"/>
                <c:pt idx="0">
                  <c:v>0</c:v>
                </c:pt>
                <c:pt idx="1">
                  <c:v>0</c:v>
                </c:pt>
                <c:pt idx="2">
                  <c:v>0</c:v>
                </c:pt>
              </c:numCache>
            </c:numRef>
          </c:val>
          <c:extLst>
            <c:ext xmlns:c16="http://schemas.microsoft.com/office/drawing/2014/chart" uri="{C3380CC4-5D6E-409C-BE32-E72D297353CC}">
              <c16:uniqueId val="{00000000-FC0A-4CF8-8774-0709BA41CC11}"/>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Jan!$B$134</c:f>
          <c:strCache>
            <c:ptCount val="1"/>
            <c:pt idx="0">
              <c:v>Falls by Shift</c:v>
            </c:pt>
          </c:strCache>
        </c:strRef>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1"/>
          <c:order val="0"/>
          <c:tx>
            <c:strRef>
              <c:f>Sept!$D$135</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Sept!$B$136:$B$140</c:f>
              <c:strCache>
                <c:ptCount val="4"/>
                <c:pt idx="0">
                  <c:v>11-7</c:v>
                </c:pt>
                <c:pt idx="1">
                  <c:v>11–7</c:v>
                </c:pt>
                <c:pt idx="2">
                  <c:v>7–3</c:v>
                </c:pt>
                <c:pt idx="3">
                  <c:v>3–11</c:v>
                </c:pt>
              </c:strCache>
            </c:strRef>
          </c:cat>
          <c:val>
            <c:numRef>
              <c:f>Sept!$D$136:$D$140</c:f>
              <c:numCache>
                <c:formatCode>General</c:formatCode>
                <c:ptCount val="5"/>
                <c:pt idx="0">
                  <c:v>0</c:v>
                </c:pt>
                <c:pt idx="1">
                  <c:v>0</c:v>
                </c:pt>
                <c:pt idx="2">
                  <c:v>0</c:v>
                </c:pt>
                <c:pt idx="3">
                  <c:v>0</c:v>
                </c:pt>
                <c:pt idx="4">
                  <c:v>#N/A</c:v>
                </c:pt>
              </c:numCache>
            </c:numRef>
          </c:val>
          <c:extLst>
            <c:ext xmlns:c16="http://schemas.microsoft.com/office/drawing/2014/chart" uri="{C3380CC4-5D6E-409C-BE32-E72D297353CC}">
              <c16:uniqueId val="{00000002-C80A-4AA4-BEF8-7C070084134F}"/>
            </c:ext>
          </c:extLst>
        </c:ser>
        <c:dLbls>
          <c:showLegendKey val="0"/>
          <c:showVal val="0"/>
          <c:showCatName val="0"/>
          <c:showSerName val="0"/>
          <c:showPercent val="0"/>
          <c:showBubbleSize val="0"/>
        </c:dLbls>
        <c:gapWidth val="219"/>
        <c:axId val="789078271"/>
        <c:axId val="789056671"/>
      </c:barChart>
      <c:catAx>
        <c:axId val="7890782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789056671"/>
        <c:crosses val="autoZero"/>
        <c:auto val="1"/>
        <c:lblAlgn val="ctr"/>
        <c:lblOffset val="100"/>
        <c:noMultiLvlLbl val="0"/>
      </c:catAx>
      <c:valAx>
        <c:axId val="789056671"/>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7890782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Oct!$B$93</c:f>
          <c:strCache>
            <c:ptCount val="1"/>
            <c:pt idx="0">
              <c:v>Falls by Location</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Oct!$D$94</c:f>
              <c:strCache>
                <c:ptCount val="1"/>
                <c:pt idx="0">
                  <c:v>Total</c:v>
                </c:pt>
              </c:strCache>
            </c:strRef>
          </c:tx>
          <c:spPr>
            <a:solidFill>
              <a:schemeClr val="accent3">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Oct!$B$95:$B$105</c:f>
              <c:strCache>
                <c:ptCount val="7"/>
                <c:pt idx="0">
                  <c:v>Activity Room</c:v>
                </c:pt>
                <c:pt idx="1">
                  <c:v>Bedroom</c:v>
                </c:pt>
                <c:pt idx="2">
                  <c:v>Bathroom</c:v>
                </c:pt>
                <c:pt idx="3">
                  <c:v>Hallway</c:v>
                </c:pt>
                <c:pt idx="4">
                  <c:v>Offsite</c:v>
                </c:pt>
                <c:pt idx="5">
                  <c:v>Shower Room</c:v>
                </c:pt>
                <c:pt idx="6">
                  <c:v>Dining Room</c:v>
                </c:pt>
              </c:strCache>
            </c:strRef>
          </c:cat>
          <c:val>
            <c:numRef>
              <c:f>Oct!$D$95:$D$105</c:f>
              <c:numCache>
                <c:formatCode>General</c:formatCode>
                <c:ptCount val="11"/>
                <c:pt idx="0">
                  <c:v>0</c:v>
                </c:pt>
                <c:pt idx="1">
                  <c:v>0</c:v>
                </c:pt>
                <c:pt idx="2">
                  <c:v>0</c:v>
                </c:pt>
                <c:pt idx="3">
                  <c:v>0</c:v>
                </c:pt>
                <c:pt idx="4">
                  <c:v>0</c:v>
                </c:pt>
                <c:pt idx="5">
                  <c:v>0</c:v>
                </c:pt>
                <c:pt idx="6">
                  <c:v>0</c:v>
                </c:pt>
                <c:pt idx="7">
                  <c:v>#N/A</c:v>
                </c:pt>
                <c:pt idx="8">
                  <c:v>#N/A</c:v>
                </c:pt>
                <c:pt idx="9">
                  <c:v>#N/A</c:v>
                </c:pt>
                <c:pt idx="10">
                  <c:v>#N/A</c:v>
                </c:pt>
              </c:numCache>
            </c:numRef>
          </c:val>
          <c:extLst>
            <c:ext xmlns:c16="http://schemas.microsoft.com/office/drawing/2014/chart" uri="{C3380CC4-5D6E-409C-BE32-E72D297353CC}">
              <c16:uniqueId val="{00000000-B0F7-44A4-A5C4-EB9BF856DB84}"/>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Oct!$B$123</c:f>
          <c:strCache>
            <c:ptCount val="1"/>
            <c:pt idx="0">
              <c:v>Falls by Day of the Week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Oct!$D$124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Oct!$B$125:$B$131</c:f>
              <c:strCache>
                <c:ptCount val="7"/>
                <c:pt idx="0">
                  <c:v>Sun</c:v>
                </c:pt>
                <c:pt idx="1">
                  <c:v>Mon</c:v>
                </c:pt>
                <c:pt idx="2">
                  <c:v>Tue</c:v>
                </c:pt>
                <c:pt idx="3">
                  <c:v>Wed</c:v>
                </c:pt>
                <c:pt idx="4">
                  <c:v>Thu</c:v>
                </c:pt>
                <c:pt idx="5">
                  <c:v>Fri</c:v>
                </c:pt>
                <c:pt idx="6">
                  <c:v>Sat</c:v>
                </c:pt>
              </c:strCache>
            </c:strRef>
          </c:cat>
          <c:val>
            <c:numRef>
              <c:f>Oct!$D$125:$D$131</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16BC-442B-900B-9FE767762DF1}"/>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Oct!$B$108</c:f>
          <c:strCache>
            <c:ptCount val="1"/>
            <c:pt idx="0">
              <c:v>Falls by Nursing Station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Oct!$D$109</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Oct!$B$110:$B$120</c:f>
              <c:strCache>
                <c:ptCount val="5"/>
                <c:pt idx="0">
                  <c:v>1</c:v>
                </c:pt>
                <c:pt idx="1">
                  <c:v>2</c:v>
                </c:pt>
                <c:pt idx="2">
                  <c:v>3</c:v>
                </c:pt>
                <c:pt idx="3">
                  <c:v>4</c:v>
                </c:pt>
                <c:pt idx="4">
                  <c:v>5</c:v>
                </c:pt>
              </c:strCache>
            </c:strRef>
          </c:cat>
          <c:val>
            <c:numRef>
              <c:f>Oct!$D$110:$D$120</c:f>
              <c:numCache>
                <c:formatCode>General</c:formatCode>
                <c:ptCount val="11"/>
                <c:pt idx="0">
                  <c:v>0</c:v>
                </c:pt>
                <c:pt idx="1">
                  <c:v>0</c:v>
                </c:pt>
                <c:pt idx="2">
                  <c:v>0</c:v>
                </c:pt>
                <c:pt idx="3">
                  <c:v>0</c:v>
                </c:pt>
                <c:pt idx="4">
                  <c:v>0</c:v>
                </c:pt>
                <c:pt idx="5">
                  <c:v>#N/A</c:v>
                </c:pt>
                <c:pt idx="6">
                  <c:v>#N/A</c:v>
                </c:pt>
                <c:pt idx="7">
                  <c:v>#N/A</c:v>
                </c:pt>
                <c:pt idx="8">
                  <c:v>#N/A</c:v>
                </c:pt>
                <c:pt idx="9">
                  <c:v>#N/A</c:v>
                </c:pt>
                <c:pt idx="10">
                  <c:v>#N/A</c:v>
                </c:pt>
              </c:numCache>
            </c:numRef>
          </c:val>
          <c:extLst>
            <c:ext xmlns:c16="http://schemas.microsoft.com/office/drawing/2014/chart" uri="{C3380CC4-5D6E-409C-BE32-E72D297353CC}">
              <c16:uniqueId val="{00000000-D84D-429E-8F24-7914A3122D85}"/>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Oct!$F$58</c:f>
          <c:strCache>
            <c:ptCount val="1"/>
            <c:pt idx="0">
              <c:v>Falls by BIMS Score</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Oct!$H$59</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Oct!$F$60:$F$62</c:f>
              <c:strCache>
                <c:ptCount val="3"/>
                <c:pt idx="0">
                  <c:v>Severe (1–7)</c:v>
                </c:pt>
                <c:pt idx="1">
                  <c:v>Moderate (8–12)</c:v>
                </c:pt>
                <c:pt idx="2">
                  <c:v>Intact (13–15)</c:v>
                </c:pt>
              </c:strCache>
            </c:strRef>
          </c:cat>
          <c:val>
            <c:numRef>
              <c:f>Oct!$H$60:$H$62</c:f>
              <c:numCache>
                <c:formatCode>General</c:formatCode>
                <c:ptCount val="3"/>
                <c:pt idx="0">
                  <c:v>0</c:v>
                </c:pt>
                <c:pt idx="1">
                  <c:v>0</c:v>
                </c:pt>
                <c:pt idx="2">
                  <c:v>0</c:v>
                </c:pt>
              </c:numCache>
            </c:numRef>
          </c:val>
          <c:extLst>
            <c:ext xmlns:c16="http://schemas.microsoft.com/office/drawing/2014/chart" uri="{C3380CC4-5D6E-409C-BE32-E72D297353CC}">
              <c16:uniqueId val="{00000000-BB0C-49ED-AEE4-540D0C700413}"/>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Oct!$B$143</c:f>
          <c:strCache>
            <c:ptCount val="1"/>
            <c:pt idx="0">
              <c:v>Falls by Hour </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1"/>
          <c:order val="0"/>
          <c:tx>
            <c:strRef>
              <c:f>Oct!$D$144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Oct!$B$145:$B$168</c:f>
              <c:strCache>
                <c:ptCount val="24"/>
                <c:pt idx="0">
                  <c:v>23:00–24:00</c:v>
                </c:pt>
                <c:pt idx="1">
                  <c:v>24:00–01:00</c:v>
                </c:pt>
                <c:pt idx="2">
                  <c:v>01:00–02:00</c:v>
                </c:pt>
                <c:pt idx="3">
                  <c:v>02:00–03:00</c:v>
                </c:pt>
                <c:pt idx="4">
                  <c:v>03:00–04:00</c:v>
                </c:pt>
                <c:pt idx="5">
                  <c:v>04:00–05:00</c:v>
                </c:pt>
                <c:pt idx="6">
                  <c:v>05:00–06:00</c:v>
                </c:pt>
                <c:pt idx="7">
                  <c:v>06:00–07:00</c:v>
                </c:pt>
                <c:pt idx="8">
                  <c:v>07:00–08:00</c:v>
                </c:pt>
                <c:pt idx="9">
                  <c:v>08:00–09:00</c:v>
                </c:pt>
                <c:pt idx="10">
                  <c:v>09:00–10:00</c:v>
                </c:pt>
                <c:pt idx="11">
                  <c:v>10:00–11:00</c:v>
                </c:pt>
                <c:pt idx="12">
                  <c:v>11:00–12:00</c:v>
                </c:pt>
                <c:pt idx="13">
                  <c:v>12:00–13:00</c:v>
                </c:pt>
                <c:pt idx="14">
                  <c:v>13:00–14:00</c:v>
                </c:pt>
                <c:pt idx="15">
                  <c:v>14:00–15:00</c:v>
                </c:pt>
                <c:pt idx="16">
                  <c:v>15:00–16:00</c:v>
                </c:pt>
                <c:pt idx="17">
                  <c:v>16:00–17:00</c:v>
                </c:pt>
                <c:pt idx="18">
                  <c:v>17:00–18:00</c:v>
                </c:pt>
                <c:pt idx="19">
                  <c:v>18:00–19:00</c:v>
                </c:pt>
                <c:pt idx="20">
                  <c:v>19:00–20:00</c:v>
                </c:pt>
                <c:pt idx="21">
                  <c:v>20:00–21:00</c:v>
                </c:pt>
                <c:pt idx="22">
                  <c:v>21:00–22:00</c:v>
                </c:pt>
                <c:pt idx="23">
                  <c:v>22:00–23:00</c:v>
                </c:pt>
              </c:strCache>
            </c:strRef>
          </c:cat>
          <c:val>
            <c:numRef>
              <c:f>Oct!$D$145:$D$168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821B-410F-9765-B08A8DE4368C}"/>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Oct!$B$65</c:f>
          <c:strCache>
            <c:ptCount val="1"/>
            <c:pt idx="0">
              <c:v>Falls by Activity</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Oct!$G$66</c:f>
              <c:strCache>
                <c:ptCount val="1"/>
                <c:pt idx="0">
                  <c:v>Total</c:v>
                </c:pt>
              </c:strCache>
            </c:strRef>
          </c:tx>
          <c:spPr>
            <a:solidFill>
              <a:schemeClr val="bg1">
                <a:lumMod val="75000"/>
              </a:schemeClr>
            </a:solidFill>
            <a:ln>
              <a:solidFill>
                <a:schemeClr val="bg1">
                  <a:lumMod val="85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Oct!$B$67:$B$90</c:f>
              <c:strCache>
                <c:ptCount val="11"/>
                <c:pt idx="0">
                  <c:v>Ambulating with assistive device (walker, cane, wheelchair)</c:v>
                </c:pt>
                <c:pt idx="1">
                  <c:v>Ambulating with staff assistance</c:v>
                </c:pt>
                <c:pt idx="2">
                  <c:v>Ambulating without assistance or assistive device</c:v>
                </c:pt>
                <c:pt idx="3">
                  <c:v>Changing position (e.g., in bed, chair)</c:v>
                </c:pt>
                <c:pt idx="4">
                  <c:v>Dressing or undressing</c:v>
                </c:pt>
                <c:pt idx="5">
                  <c:v>Other activity</c:v>
                </c:pt>
                <c:pt idx="6">
                  <c:v>Reaching for an item</c:v>
                </c:pt>
                <c:pt idx="7">
                  <c:v>Showering or bathing</c:v>
                </c:pt>
                <c:pt idx="8">
                  <c:v>Toileting</c:v>
                </c:pt>
                <c:pt idx="9">
                  <c:v>Transferring to or from bed, chair, wheelchair, etc.</c:v>
                </c:pt>
                <c:pt idx="10">
                  <c:v>Unknown</c:v>
                </c:pt>
              </c:strCache>
            </c:strRef>
          </c:cat>
          <c:val>
            <c:numRef>
              <c:f>Oct!$G$67:$G$90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AB76-4ADA-AF16-FBD02E3358F2}"/>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Oct!$B$51</c:f>
          <c:strCache>
            <c:ptCount val="1"/>
            <c:pt idx="0">
              <c:v>Witnessed Falls</c:v>
            </c:pt>
          </c:strCache>
        </c:strRef>
      </c:tx>
      <c:layout>
        <c:manualLayout>
          <c:xMode val="edge"/>
          <c:yMode val="edge"/>
          <c:x val="0.28456383934819923"/>
          <c:y val="4.8263836268180225E-2"/>
        </c:manualLayout>
      </c:layout>
      <c:overlay val="0"/>
      <c:spPr>
        <a:noFill/>
        <a:ln>
          <a:noFill/>
        </a:ln>
        <a:effectLst/>
      </c:spPr>
      <c:txPr>
        <a:bodyPr rot="0" spcFirstLastPara="1" vertOverflow="ellipsis" vert="horz" wrap="square" anchor="ctr" anchorCtr="1"/>
        <a:lstStyle/>
        <a:p>
          <a:pPr>
            <a:defRPr sz="1100" b="1" i="0" u="none" strike="noStrike" kern="1200" spc="0" baseline="0">
              <a:solidFill>
                <a:sysClr val="windowText" lastClr="000000"/>
              </a:solidFill>
              <a:latin typeface="+mn-lt"/>
              <a:ea typeface="+mn-ea"/>
              <a:cs typeface="+mn-cs"/>
            </a:defRPr>
          </a:pPr>
          <a:endParaRPr lang="en-US"/>
        </a:p>
      </c:txPr>
    </c:title>
    <c:autoTitleDeleted val="0"/>
    <c:plotArea>
      <c:layout/>
      <c:pieChart>
        <c:varyColors val="1"/>
        <c:ser>
          <c:idx val="2"/>
          <c:order val="0"/>
          <c:tx>
            <c:strRef>
              <c:f>Oct!$D$52</c:f>
              <c:strCache>
                <c:ptCount val="1"/>
                <c:pt idx="0">
                  <c:v>Total</c:v>
                </c:pt>
              </c:strCache>
            </c:strRef>
          </c:tx>
          <c:spPr>
            <a:solidFill>
              <a:srgbClr val="F7F7F7"/>
            </a:solidFill>
            <a:ln w="19050">
              <a:solidFill>
                <a:schemeClr val="bg2">
                  <a:lumMod val="90000"/>
                </a:schemeClr>
              </a:solidFill>
            </a:ln>
          </c:spPr>
          <c:dPt>
            <c:idx val="0"/>
            <c:bubble3D val="0"/>
            <c:spPr>
              <a:solidFill>
                <a:srgbClr val="F7F7F7"/>
              </a:solidFill>
              <a:ln w="19050">
                <a:solidFill>
                  <a:schemeClr val="bg2">
                    <a:lumMod val="90000"/>
                  </a:schemeClr>
                </a:solidFill>
              </a:ln>
              <a:effectLst/>
            </c:spPr>
            <c:extLst>
              <c:ext xmlns:c16="http://schemas.microsoft.com/office/drawing/2014/chart" uri="{C3380CC4-5D6E-409C-BE32-E72D297353CC}">
                <c16:uniqueId val="{00000001-86D0-41DB-9599-92EF84794C65}"/>
              </c:ext>
            </c:extLst>
          </c:dPt>
          <c:dPt>
            <c:idx val="1"/>
            <c:bubble3D val="0"/>
            <c:spPr>
              <a:solidFill>
                <a:schemeClr val="bg2"/>
              </a:solidFill>
              <a:ln w="19050">
                <a:solidFill>
                  <a:schemeClr val="bg2">
                    <a:lumMod val="90000"/>
                  </a:schemeClr>
                </a:solidFill>
              </a:ln>
              <a:effectLst/>
            </c:spPr>
            <c:extLst>
              <c:ext xmlns:c16="http://schemas.microsoft.com/office/drawing/2014/chart" uri="{C3380CC4-5D6E-409C-BE32-E72D297353CC}">
                <c16:uniqueId val="{00000003-86D0-41DB-9599-92EF84794C65}"/>
              </c:ext>
            </c:extLst>
          </c:dPt>
          <c:dLbls>
            <c:dLbl>
              <c:idx val="0"/>
              <c:layout>
                <c:manualLayout>
                  <c:x val="6.2922200858950839E-2"/>
                  <c:y val="-5.7940247469122956E-2"/>
                </c:manualLayout>
              </c:layout>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6D0-41DB-9599-92EF84794C65}"/>
                </c:ext>
              </c:extLst>
            </c:dLbl>
            <c:dLbl>
              <c:idx val="1"/>
              <c:layout>
                <c:manualLayout>
                  <c:x val="-4.8011385115936479E-2"/>
                  <c:y val="2.6697554736401265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15:layout>
                    <c:manualLayout>
                      <c:w val="0.24931745400710711"/>
                      <c:h val="0.11967240535812428"/>
                    </c:manualLayout>
                  </c15:layout>
                </c:ext>
                <c:ext xmlns:c16="http://schemas.microsoft.com/office/drawing/2014/chart" uri="{C3380CC4-5D6E-409C-BE32-E72D297353CC}">
                  <c16:uniqueId val="{00000003-86D0-41DB-9599-92EF84794C6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Oct!$B$53:$B$54</c:f>
              <c:strCache>
                <c:ptCount val="2"/>
                <c:pt idx="0">
                  <c:v>Yes</c:v>
                </c:pt>
                <c:pt idx="1">
                  <c:v>No</c:v>
                </c:pt>
              </c:strCache>
            </c:strRef>
          </c:cat>
          <c:val>
            <c:numRef>
              <c:f>Oct!$D$53:$D$54</c:f>
              <c:numCache>
                <c:formatCode>General</c:formatCode>
                <c:ptCount val="2"/>
                <c:pt idx="0">
                  <c:v>0</c:v>
                </c:pt>
                <c:pt idx="1">
                  <c:v>0</c:v>
                </c:pt>
              </c:numCache>
            </c:numRef>
          </c:val>
          <c:extLst>
            <c:ext xmlns:c16="http://schemas.microsoft.com/office/drawing/2014/chart" uri="{C3380CC4-5D6E-409C-BE32-E72D297353CC}">
              <c16:uniqueId val="{00000004-86D0-41DB-9599-92EF84794C65}"/>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Oct!$B$171</c:f>
          <c:strCache>
            <c:ptCount val="1"/>
            <c:pt idx="0">
              <c:v>Falls by Contributing Factors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4"/>
          <c:order val="0"/>
          <c:tx>
            <c:strRef>
              <c:f>Oct!$G$172</c:f>
              <c:strCache>
                <c:ptCount val="1"/>
                <c:pt idx="0">
                  <c:v>Total</c:v>
                </c:pt>
              </c:strCache>
            </c:strRef>
          </c:tx>
          <c:spPr>
            <a:solidFill>
              <a:schemeClr val="bg2">
                <a:lumMod val="9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Oct!$B$173:$B$196</c:f>
              <c:strCache>
                <c:ptCount val="11"/>
                <c:pt idx="0">
                  <c:v>Assisted/caregiver transfer</c:v>
                </c:pt>
                <c:pt idx="1">
                  <c:v>Bowel and bladder (B&amp;B) needs</c:v>
                </c:pt>
                <c:pt idx="2">
                  <c:v>Behavioral or situational</c:v>
                </c:pt>
                <c:pt idx="3">
                  <c:v>Change of condition</c:v>
                </c:pt>
                <c:pt idx="4">
                  <c:v>Environmental factors</c:v>
                </c:pt>
                <c:pt idx="5">
                  <c:v>Equipment malfunction</c:v>
                </c:pt>
                <c:pt idx="6">
                  <c:v>Equipment or assistive device</c:v>
                </c:pt>
                <c:pt idx="7">
                  <c:v>Medication related</c:v>
                </c:pt>
                <c:pt idx="8">
                  <c:v>Process(s) not followed</c:v>
                </c:pt>
                <c:pt idx="9">
                  <c:v>Resident health conditions</c:v>
                </c:pt>
                <c:pt idx="10">
                  <c:v>Staff</c:v>
                </c:pt>
              </c:strCache>
            </c:strRef>
          </c:cat>
          <c:val>
            <c:numRef>
              <c:f>Oct!$G$173:$G$196</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59A7-4CD8-9AC9-2CDDB3FFDB03}"/>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bg2">
                    <a:lumMod val="50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Oct!$F$51</c:f>
          <c:strCache>
            <c:ptCount val="1"/>
            <c:pt idx="0">
              <c:v>Fall Circumstances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Oct!$H$52</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Oct!$F$53:$F$55</c:f>
              <c:strCache>
                <c:ptCount val="3"/>
                <c:pt idx="0">
                  <c:v>Overwhelming Force</c:v>
                </c:pt>
                <c:pt idx="1">
                  <c:v>Intercepted</c:v>
                </c:pt>
                <c:pt idx="2">
                  <c:v>N/A</c:v>
                </c:pt>
              </c:strCache>
            </c:strRef>
          </c:cat>
          <c:val>
            <c:numRef>
              <c:f>Oct!$H$53:$H$55</c:f>
              <c:numCache>
                <c:formatCode>General</c:formatCode>
                <c:ptCount val="3"/>
                <c:pt idx="0">
                  <c:v>0</c:v>
                </c:pt>
                <c:pt idx="1">
                  <c:v>0</c:v>
                </c:pt>
                <c:pt idx="2">
                  <c:v>0</c:v>
                </c:pt>
              </c:numCache>
            </c:numRef>
          </c:val>
          <c:extLst>
            <c:ext xmlns:c16="http://schemas.microsoft.com/office/drawing/2014/chart" uri="{C3380CC4-5D6E-409C-BE32-E72D297353CC}">
              <c16:uniqueId val="{00000000-F029-43B5-9063-BA5DA6CBD6B3}"/>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Jan!$B$134</c:f>
          <c:strCache>
            <c:ptCount val="1"/>
            <c:pt idx="0">
              <c:v>Falls by Shift</c:v>
            </c:pt>
          </c:strCache>
        </c:strRef>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Oct!$D$135</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Oct!$B$136:$B$140</c:f>
              <c:strCache>
                <c:ptCount val="4"/>
                <c:pt idx="0">
                  <c:v>11-7</c:v>
                </c:pt>
                <c:pt idx="1">
                  <c:v>11–7</c:v>
                </c:pt>
                <c:pt idx="2">
                  <c:v>7–3</c:v>
                </c:pt>
                <c:pt idx="3">
                  <c:v>3–11</c:v>
                </c:pt>
              </c:strCache>
            </c:strRef>
          </c:cat>
          <c:val>
            <c:numRef>
              <c:f>Oct!$D$136:$D$140</c:f>
              <c:numCache>
                <c:formatCode>General</c:formatCode>
                <c:ptCount val="5"/>
                <c:pt idx="0">
                  <c:v>0</c:v>
                </c:pt>
                <c:pt idx="1">
                  <c:v>0</c:v>
                </c:pt>
                <c:pt idx="2">
                  <c:v>0</c:v>
                </c:pt>
                <c:pt idx="3">
                  <c:v>0</c:v>
                </c:pt>
                <c:pt idx="4">
                  <c:v>#N/A</c:v>
                </c:pt>
              </c:numCache>
            </c:numRef>
          </c:val>
          <c:extLst>
            <c:ext xmlns:c16="http://schemas.microsoft.com/office/drawing/2014/chart" uri="{C3380CC4-5D6E-409C-BE32-E72D297353CC}">
              <c16:uniqueId val="{00000001-24C5-47D9-85DA-1599C2E81FB3}"/>
            </c:ext>
          </c:extLst>
        </c:ser>
        <c:dLbls>
          <c:showLegendKey val="0"/>
          <c:showVal val="0"/>
          <c:showCatName val="0"/>
          <c:showSerName val="0"/>
          <c:showPercent val="0"/>
          <c:showBubbleSize val="0"/>
        </c:dLbls>
        <c:gapWidth val="219"/>
        <c:axId val="789078271"/>
        <c:axId val="789056671"/>
      </c:barChart>
      <c:catAx>
        <c:axId val="7890782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789056671"/>
        <c:crosses val="autoZero"/>
        <c:auto val="1"/>
        <c:lblAlgn val="ctr"/>
        <c:lblOffset val="100"/>
        <c:noMultiLvlLbl val="0"/>
      </c:catAx>
      <c:valAx>
        <c:axId val="789056671"/>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7890782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Nov!$B$93</c:f>
          <c:strCache>
            <c:ptCount val="1"/>
            <c:pt idx="0">
              <c:v>Falls by Location</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Nov!$D$94</c:f>
              <c:strCache>
                <c:ptCount val="1"/>
                <c:pt idx="0">
                  <c:v>Total</c:v>
                </c:pt>
              </c:strCache>
            </c:strRef>
          </c:tx>
          <c:spPr>
            <a:solidFill>
              <a:schemeClr val="accent3">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Nov!$B$95:$B$105</c:f>
              <c:strCache>
                <c:ptCount val="7"/>
                <c:pt idx="0">
                  <c:v>Activity Room</c:v>
                </c:pt>
                <c:pt idx="1">
                  <c:v>Bedroom</c:v>
                </c:pt>
                <c:pt idx="2">
                  <c:v>Bathroom</c:v>
                </c:pt>
                <c:pt idx="3">
                  <c:v>Hallway</c:v>
                </c:pt>
                <c:pt idx="4">
                  <c:v>Offsite</c:v>
                </c:pt>
                <c:pt idx="5">
                  <c:v>Shower Room</c:v>
                </c:pt>
                <c:pt idx="6">
                  <c:v>Dining Room</c:v>
                </c:pt>
              </c:strCache>
            </c:strRef>
          </c:cat>
          <c:val>
            <c:numRef>
              <c:f>Nov!$D$95:$D$105</c:f>
              <c:numCache>
                <c:formatCode>General</c:formatCode>
                <c:ptCount val="11"/>
                <c:pt idx="0">
                  <c:v>0</c:v>
                </c:pt>
                <c:pt idx="1">
                  <c:v>0</c:v>
                </c:pt>
                <c:pt idx="2">
                  <c:v>0</c:v>
                </c:pt>
                <c:pt idx="3">
                  <c:v>0</c:v>
                </c:pt>
                <c:pt idx="4">
                  <c:v>0</c:v>
                </c:pt>
                <c:pt idx="5">
                  <c:v>0</c:v>
                </c:pt>
                <c:pt idx="6">
                  <c:v>0</c:v>
                </c:pt>
                <c:pt idx="7">
                  <c:v>#N/A</c:v>
                </c:pt>
                <c:pt idx="8">
                  <c:v>#N/A</c:v>
                </c:pt>
                <c:pt idx="9">
                  <c:v>#N/A</c:v>
                </c:pt>
                <c:pt idx="10">
                  <c:v>#N/A</c:v>
                </c:pt>
              </c:numCache>
            </c:numRef>
          </c:val>
          <c:extLst>
            <c:ext xmlns:c16="http://schemas.microsoft.com/office/drawing/2014/chart" uri="{C3380CC4-5D6E-409C-BE32-E72D297353CC}">
              <c16:uniqueId val="{00000000-D2D6-45E2-B682-1D79C6A8DBC8}"/>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Nov!$B$123</c:f>
          <c:strCache>
            <c:ptCount val="1"/>
            <c:pt idx="0">
              <c:v>Falls by Day of the Week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Nov!$D$124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Nov!$B$125:$B$131</c:f>
              <c:strCache>
                <c:ptCount val="7"/>
                <c:pt idx="0">
                  <c:v>Sun</c:v>
                </c:pt>
                <c:pt idx="1">
                  <c:v>Mon</c:v>
                </c:pt>
                <c:pt idx="2">
                  <c:v>Tue</c:v>
                </c:pt>
                <c:pt idx="3">
                  <c:v>Wed</c:v>
                </c:pt>
                <c:pt idx="4">
                  <c:v>Thu</c:v>
                </c:pt>
                <c:pt idx="5">
                  <c:v>Fri</c:v>
                </c:pt>
                <c:pt idx="6">
                  <c:v>Sat</c:v>
                </c:pt>
              </c:strCache>
            </c:strRef>
          </c:cat>
          <c:val>
            <c:numRef>
              <c:f>Nov!$D$125:$D$131</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63B8-4145-AC21-7C20348D52EC}"/>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Nov!$B$108</c:f>
          <c:strCache>
            <c:ptCount val="1"/>
            <c:pt idx="0">
              <c:v>Falls by Nursing Station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Nov!$D$109</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Nov!$B$110:$B$120</c:f>
              <c:strCache>
                <c:ptCount val="5"/>
                <c:pt idx="0">
                  <c:v>1</c:v>
                </c:pt>
                <c:pt idx="1">
                  <c:v>2</c:v>
                </c:pt>
                <c:pt idx="2">
                  <c:v>3</c:v>
                </c:pt>
                <c:pt idx="3">
                  <c:v>4</c:v>
                </c:pt>
                <c:pt idx="4">
                  <c:v>5</c:v>
                </c:pt>
              </c:strCache>
            </c:strRef>
          </c:cat>
          <c:val>
            <c:numRef>
              <c:f>Nov!$D$110:$D$120</c:f>
              <c:numCache>
                <c:formatCode>General</c:formatCode>
                <c:ptCount val="11"/>
                <c:pt idx="0">
                  <c:v>0</c:v>
                </c:pt>
                <c:pt idx="1">
                  <c:v>0</c:v>
                </c:pt>
                <c:pt idx="2">
                  <c:v>0</c:v>
                </c:pt>
                <c:pt idx="3">
                  <c:v>0</c:v>
                </c:pt>
                <c:pt idx="4">
                  <c:v>0</c:v>
                </c:pt>
                <c:pt idx="5">
                  <c:v>#N/A</c:v>
                </c:pt>
                <c:pt idx="6">
                  <c:v>#N/A</c:v>
                </c:pt>
                <c:pt idx="7">
                  <c:v>#N/A</c:v>
                </c:pt>
                <c:pt idx="8">
                  <c:v>#N/A</c:v>
                </c:pt>
                <c:pt idx="9">
                  <c:v>#N/A</c:v>
                </c:pt>
                <c:pt idx="10">
                  <c:v>#N/A</c:v>
                </c:pt>
              </c:numCache>
            </c:numRef>
          </c:val>
          <c:extLst>
            <c:ext xmlns:c16="http://schemas.microsoft.com/office/drawing/2014/chart" uri="{C3380CC4-5D6E-409C-BE32-E72D297353CC}">
              <c16:uniqueId val="{00000000-EC77-4BA4-B22A-997180D81D8E}"/>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Nov!$F$58</c:f>
          <c:strCache>
            <c:ptCount val="1"/>
            <c:pt idx="0">
              <c:v>Falls by BIMS Score</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Nov!$H$59</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Nov!$F$60:$F$62</c:f>
              <c:strCache>
                <c:ptCount val="3"/>
                <c:pt idx="0">
                  <c:v>Severe (1–7)</c:v>
                </c:pt>
                <c:pt idx="1">
                  <c:v>Moderate (8–12)</c:v>
                </c:pt>
                <c:pt idx="2">
                  <c:v>Intact (13–15)</c:v>
                </c:pt>
              </c:strCache>
            </c:strRef>
          </c:cat>
          <c:val>
            <c:numRef>
              <c:f>Nov!$H$60:$H$62</c:f>
              <c:numCache>
                <c:formatCode>General</c:formatCode>
                <c:ptCount val="3"/>
                <c:pt idx="0">
                  <c:v>0</c:v>
                </c:pt>
                <c:pt idx="1">
                  <c:v>0</c:v>
                </c:pt>
                <c:pt idx="2">
                  <c:v>0</c:v>
                </c:pt>
              </c:numCache>
            </c:numRef>
          </c:val>
          <c:extLst>
            <c:ext xmlns:c16="http://schemas.microsoft.com/office/drawing/2014/chart" uri="{C3380CC4-5D6E-409C-BE32-E72D297353CC}">
              <c16:uniqueId val="{00000000-A29C-4A4F-B024-79AB6B5107D2}"/>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Nov!$B$143</c:f>
          <c:strCache>
            <c:ptCount val="1"/>
            <c:pt idx="0">
              <c:v>Falls by Hour </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1"/>
          <c:order val="0"/>
          <c:tx>
            <c:strRef>
              <c:f>Nov!$D$144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Nov!$B$145:$B$168</c:f>
              <c:strCache>
                <c:ptCount val="24"/>
                <c:pt idx="0">
                  <c:v>23:00–24:00</c:v>
                </c:pt>
                <c:pt idx="1">
                  <c:v>24:00–01:00</c:v>
                </c:pt>
                <c:pt idx="2">
                  <c:v>01:00–02:00</c:v>
                </c:pt>
                <c:pt idx="3">
                  <c:v>02:00–03:00</c:v>
                </c:pt>
                <c:pt idx="4">
                  <c:v>03:00–04:00</c:v>
                </c:pt>
                <c:pt idx="5">
                  <c:v>04:00–05:00</c:v>
                </c:pt>
                <c:pt idx="6">
                  <c:v>05:00–06:00</c:v>
                </c:pt>
                <c:pt idx="7">
                  <c:v>06:00–07:00</c:v>
                </c:pt>
                <c:pt idx="8">
                  <c:v>07:00–08:00</c:v>
                </c:pt>
                <c:pt idx="9">
                  <c:v>08:00–09:00</c:v>
                </c:pt>
                <c:pt idx="10">
                  <c:v>09:00–10:00</c:v>
                </c:pt>
                <c:pt idx="11">
                  <c:v>10:00–11:00</c:v>
                </c:pt>
                <c:pt idx="12">
                  <c:v>11:00–12:00</c:v>
                </c:pt>
                <c:pt idx="13">
                  <c:v>12:00–13:00</c:v>
                </c:pt>
                <c:pt idx="14">
                  <c:v>13:00–14:00</c:v>
                </c:pt>
                <c:pt idx="15">
                  <c:v>14:00–15:00</c:v>
                </c:pt>
                <c:pt idx="16">
                  <c:v>15:00–16:00</c:v>
                </c:pt>
                <c:pt idx="17">
                  <c:v>16:00–17:00</c:v>
                </c:pt>
                <c:pt idx="18">
                  <c:v>17:00–18:00</c:v>
                </c:pt>
                <c:pt idx="19">
                  <c:v>18:00–19:00</c:v>
                </c:pt>
                <c:pt idx="20">
                  <c:v>19:00–20:00</c:v>
                </c:pt>
                <c:pt idx="21">
                  <c:v>20:00–21:00</c:v>
                </c:pt>
                <c:pt idx="22">
                  <c:v>21:00–22:00</c:v>
                </c:pt>
                <c:pt idx="23">
                  <c:v>22:00–23:00</c:v>
                </c:pt>
              </c:strCache>
            </c:strRef>
          </c:cat>
          <c:val>
            <c:numRef>
              <c:f>Nov!$D$145:$D$168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1871-4D90-85C5-5D0901743FA0}"/>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Nov!$B$65</c:f>
          <c:strCache>
            <c:ptCount val="1"/>
            <c:pt idx="0">
              <c:v>Falls by Activity</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Nov!$G$66</c:f>
              <c:strCache>
                <c:ptCount val="1"/>
                <c:pt idx="0">
                  <c:v>Total</c:v>
                </c:pt>
              </c:strCache>
            </c:strRef>
          </c:tx>
          <c:spPr>
            <a:solidFill>
              <a:schemeClr val="bg1">
                <a:lumMod val="75000"/>
              </a:schemeClr>
            </a:solidFill>
            <a:ln>
              <a:solidFill>
                <a:schemeClr val="bg1">
                  <a:lumMod val="85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Nov!$B$67:$B$90</c:f>
              <c:strCache>
                <c:ptCount val="11"/>
                <c:pt idx="0">
                  <c:v>Ambulating with assistive device (walker, cane, wheelchair)</c:v>
                </c:pt>
                <c:pt idx="1">
                  <c:v>Ambulating with staff assistance</c:v>
                </c:pt>
                <c:pt idx="2">
                  <c:v>Ambulating without assistance or assistive device</c:v>
                </c:pt>
                <c:pt idx="3">
                  <c:v>Changing position (e.g., in bed, chair)</c:v>
                </c:pt>
                <c:pt idx="4">
                  <c:v>Dressing or undressing</c:v>
                </c:pt>
                <c:pt idx="5">
                  <c:v>Other activity</c:v>
                </c:pt>
                <c:pt idx="6">
                  <c:v>Reaching for an item</c:v>
                </c:pt>
                <c:pt idx="7">
                  <c:v>Showering or bathing</c:v>
                </c:pt>
                <c:pt idx="8">
                  <c:v>Toileting</c:v>
                </c:pt>
                <c:pt idx="9">
                  <c:v>Transferring to or from bed, chair, wheelchair, etc.</c:v>
                </c:pt>
                <c:pt idx="10">
                  <c:v>Unknown</c:v>
                </c:pt>
              </c:strCache>
            </c:strRef>
          </c:cat>
          <c:val>
            <c:numRef>
              <c:f>Nov!$G$67:$G$90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EB49-450C-8B47-C0472EE1BFB2}"/>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Nov!$B$51</c:f>
          <c:strCache>
            <c:ptCount val="1"/>
            <c:pt idx="0">
              <c:v>Witnessed Falls</c:v>
            </c:pt>
          </c:strCache>
        </c:strRef>
      </c:tx>
      <c:layout>
        <c:manualLayout>
          <c:xMode val="edge"/>
          <c:yMode val="edge"/>
          <c:x val="0.28456383934819923"/>
          <c:y val="4.8263836268180225E-2"/>
        </c:manualLayout>
      </c:layout>
      <c:overlay val="0"/>
      <c:spPr>
        <a:noFill/>
        <a:ln>
          <a:noFill/>
        </a:ln>
        <a:effectLst/>
      </c:spPr>
      <c:txPr>
        <a:bodyPr rot="0" spcFirstLastPara="1" vertOverflow="ellipsis" vert="horz" wrap="square" anchor="ctr" anchorCtr="1"/>
        <a:lstStyle/>
        <a:p>
          <a:pPr>
            <a:defRPr sz="1100" b="1" i="0" u="none" strike="noStrike" kern="1200" spc="0" baseline="0">
              <a:solidFill>
                <a:sysClr val="windowText" lastClr="000000"/>
              </a:solidFill>
              <a:latin typeface="+mn-lt"/>
              <a:ea typeface="+mn-ea"/>
              <a:cs typeface="+mn-cs"/>
            </a:defRPr>
          </a:pPr>
          <a:endParaRPr lang="en-US"/>
        </a:p>
      </c:txPr>
    </c:title>
    <c:autoTitleDeleted val="0"/>
    <c:plotArea>
      <c:layout/>
      <c:pieChart>
        <c:varyColors val="1"/>
        <c:ser>
          <c:idx val="2"/>
          <c:order val="0"/>
          <c:tx>
            <c:strRef>
              <c:f>Nov!$D$52</c:f>
              <c:strCache>
                <c:ptCount val="1"/>
                <c:pt idx="0">
                  <c:v>Total</c:v>
                </c:pt>
              </c:strCache>
            </c:strRef>
          </c:tx>
          <c:spPr>
            <a:solidFill>
              <a:srgbClr val="F7F7F7"/>
            </a:solidFill>
            <a:ln w="19050">
              <a:solidFill>
                <a:schemeClr val="bg2">
                  <a:lumMod val="90000"/>
                </a:schemeClr>
              </a:solidFill>
            </a:ln>
          </c:spPr>
          <c:dPt>
            <c:idx val="0"/>
            <c:bubble3D val="0"/>
            <c:spPr>
              <a:solidFill>
                <a:srgbClr val="F7F7F7"/>
              </a:solidFill>
              <a:ln w="19050">
                <a:solidFill>
                  <a:schemeClr val="bg2">
                    <a:lumMod val="90000"/>
                  </a:schemeClr>
                </a:solidFill>
              </a:ln>
              <a:effectLst/>
            </c:spPr>
            <c:extLst>
              <c:ext xmlns:c16="http://schemas.microsoft.com/office/drawing/2014/chart" uri="{C3380CC4-5D6E-409C-BE32-E72D297353CC}">
                <c16:uniqueId val="{00000001-56A5-4653-99CB-BE12162F20D1}"/>
              </c:ext>
            </c:extLst>
          </c:dPt>
          <c:dPt>
            <c:idx val="1"/>
            <c:bubble3D val="0"/>
            <c:spPr>
              <a:solidFill>
                <a:schemeClr val="bg2"/>
              </a:solidFill>
              <a:ln w="19050">
                <a:solidFill>
                  <a:schemeClr val="bg2">
                    <a:lumMod val="90000"/>
                  </a:schemeClr>
                </a:solidFill>
              </a:ln>
              <a:effectLst/>
            </c:spPr>
            <c:extLst>
              <c:ext xmlns:c16="http://schemas.microsoft.com/office/drawing/2014/chart" uri="{C3380CC4-5D6E-409C-BE32-E72D297353CC}">
                <c16:uniqueId val="{00000003-56A5-4653-99CB-BE12162F20D1}"/>
              </c:ext>
            </c:extLst>
          </c:dPt>
          <c:dLbls>
            <c:dLbl>
              <c:idx val="0"/>
              <c:layout>
                <c:manualLayout>
                  <c:x val="6.2922200858950839E-2"/>
                  <c:y val="-5.7940247469122956E-2"/>
                </c:manualLayout>
              </c:layout>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6A5-4653-99CB-BE12162F20D1}"/>
                </c:ext>
              </c:extLst>
            </c:dLbl>
            <c:dLbl>
              <c:idx val="1"/>
              <c:layout>
                <c:manualLayout>
                  <c:x val="-4.8011385115936479E-2"/>
                  <c:y val="2.6697554736401265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15:layout>
                    <c:manualLayout>
                      <c:w val="0.24931745400710711"/>
                      <c:h val="0.11967240535812428"/>
                    </c:manualLayout>
                  </c15:layout>
                </c:ext>
                <c:ext xmlns:c16="http://schemas.microsoft.com/office/drawing/2014/chart" uri="{C3380CC4-5D6E-409C-BE32-E72D297353CC}">
                  <c16:uniqueId val="{00000003-56A5-4653-99CB-BE12162F20D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Nov!$B$53:$B$54</c:f>
              <c:strCache>
                <c:ptCount val="2"/>
                <c:pt idx="0">
                  <c:v>Yes</c:v>
                </c:pt>
                <c:pt idx="1">
                  <c:v>No</c:v>
                </c:pt>
              </c:strCache>
            </c:strRef>
          </c:cat>
          <c:val>
            <c:numRef>
              <c:f>Nov!$D$53:$D$54</c:f>
              <c:numCache>
                <c:formatCode>General</c:formatCode>
                <c:ptCount val="2"/>
                <c:pt idx="0">
                  <c:v>0</c:v>
                </c:pt>
                <c:pt idx="1">
                  <c:v>0</c:v>
                </c:pt>
              </c:numCache>
            </c:numRef>
          </c:val>
          <c:extLst>
            <c:ext xmlns:c16="http://schemas.microsoft.com/office/drawing/2014/chart" uri="{C3380CC4-5D6E-409C-BE32-E72D297353CC}">
              <c16:uniqueId val="{00000004-56A5-4653-99CB-BE12162F20D1}"/>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Nov!$B$171</c:f>
          <c:strCache>
            <c:ptCount val="1"/>
            <c:pt idx="0">
              <c:v>Falls by Contributing Factors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4"/>
          <c:order val="0"/>
          <c:tx>
            <c:strRef>
              <c:f>Nov!$G$172</c:f>
              <c:strCache>
                <c:ptCount val="1"/>
                <c:pt idx="0">
                  <c:v>Total</c:v>
                </c:pt>
              </c:strCache>
            </c:strRef>
          </c:tx>
          <c:spPr>
            <a:solidFill>
              <a:schemeClr val="bg2">
                <a:lumMod val="9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Nov!$B$173:$B$196</c:f>
              <c:strCache>
                <c:ptCount val="11"/>
                <c:pt idx="0">
                  <c:v>Assisted/caregiver transfer</c:v>
                </c:pt>
                <c:pt idx="1">
                  <c:v>Bowel and bladder (B&amp;B) needs</c:v>
                </c:pt>
                <c:pt idx="2">
                  <c:v>Behavioral or situational</c:v>
                </c:pt>
                <c:pt idx="3">
                  <c:v>Change of condition</c:v>
                </c:pt>
                <c:pt idx="4">
                  <c:v>Environmental factors</c:v>
                </c:pt>
                <c:pt idx="5">
                  <c:v>Equipment malfunction</c:v>
                </c:pt>
                <c:pt idx="6">
                  <c:v>Equipment or assistive device</c:v>
                </c:pt>
                <c:pt idx="7">
                  <c:v>Medication related</c:v>
                </c:pt>
                <c:pt idx="8">
                  <c:v>Process(s) not followed</c:v>
                </c:pt>
                <c:pt idx="9">
                  <c:v>Resident health conditions</c:v>
                </c:pt>
                <c:pt idx="10">
                  <c:v>Staff</c:v>
                </c:pt>
              </c:strCache>
            </c:strRef>
          </c:cat>
          <c:val>
            <c:numRef>
              <c:f>Nov!$G$173:$G$196</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216D-4B4C-9B6E-307FC5F9E9A8}"/>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bg2">
                    <a:lumMod val="50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Nov!$F$51</c:f>
          <c:strCache>
            <c:ptCount val="1"/>
            <c:pt idx="0">
              <c:v>Fall Circumstances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Nov!$H$52</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Nov!$F$53:$F$55</c:f>
              <c:strCache>
                <c:ptCount val="3"/>
                <c:pt idx="0">
                  <c:v>Overwhelming Force</c:v>
                </c:pt>
                <c:pt idx="1">
                  <c:v>Intercepted</c:v>
                </c:pt>
                <c:pt idx="2">
                  <c:v>N/A</c:v>
                </c:pt>
              </c:strCache>
            </c:strRef>
          </c:cat>
          <c:val>
            <c:numRef>
              <c:f>Nov!$H$53:$H$55</c:f>
              <c:numCache>
                <c:formatCode>General</c:formatCode>
                <c:ptCount val="3"/>
                <c:pt idx="0">
                  <c:v>0</c:v>
                </c:pt>
                <c:pt idx="1">
                  <c:v>0</c:v>
                </c:pt>
                <c:pt idx="2">
                  <c:v>0</c:v>
                </c:pt>
              </c:numCache>
            </c:numRef>
          </c:val>
          <c:extLst>
            <c:ext xmlns:c16="http://schemas.microsoft.com/office/drawing/2014/chart" uri="{C3380CC4-5D6E-409C-BE32-E72D297353CC}">
              <c16:uniqueId val="{00000000-3B6F-47FE-B3BF-5958411A26D2}"/>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Jan!$B$134</c:f>
          <c:strCache>
            <c:ptCount val="1"/>
            <c:pt idx="0">
              <c:v>Falls by Shift</c:v>
            </c:pt>
          </c:strCache>
        </c:strRef>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Nov!$D$135</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Nov!$B$136:$B$140</c:f>
              <c:strCache>
                <c:ptCount val="4"/>
                <c:pt idx="0">
                  <c:v>11-7</c:v>
                </c:pt>
                <c:pt idx="1">
                  <c:v>11–7</c:v>
                </c:pt>
                <c:pt idx="2">
                  <c:v>7–3</c:v>
                </c:pt>
                <c:pt idx="3">
                  <c:v>3–11</c:v>
                </c:pt>
              </c:strCache>
            </c:strRef>
          </c:cat>
          <c:val>
            <c:numRef>
              <c:f>Nov!$D$136:$D$140</c:f>
              <c:numCache>
                <c:formatCode>General</c:formatCode>
                <c:ptCount val="5"/>
                <c:pt idx="0">
                  <c:v>0</c:v>
                </c:pt>
                <c:pt idx="1">
                  <c:v>0</c:v>
                </c:pt>
                <c:pt idx="2">
                  <c:v>0</c:v>
                </c:pt>
                <c:pt idx="3">
                  <c:v>0</c:v>
                </c:pt>
                <c:pt idx="4">
                  <c:v>#N/A</c:v>
                </c:pt>
              </c:numCache>
            </c:numRef>
          </c:val>
          <c:extLst>
            <c:ext xmlns:c16="http://schemas.microsoft.com/office/drawing/2014/chart" uri="{C3380CC4-5D6E-409C-BE32-E72D297353CC}">
              <c16:uniqueId val="{00000001-9D7E-411A-991B-E6BD0DB7230D}"/>
            </c:ext>
          </c:extLst>
        </c:ser>
        <c:dLbls>
          <c:showLegendKey val="0"/>
          <c:showVal val="0"/>
          <c:showCatName val="0"/>
          <c:showSerName val="0"/>
          <c:showPercent val="0"/>
          <c:showBubbleSize val="0"/>
        </c:dLbls>
        <c:gapWidth val="219"/>
        <c:axId val="789078271"/>
        <c:axId val="789056671"/>
      </c:barChart>
      <c:catAx>
        <c:axId val="7890782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789056671"/>
        <c:crosses val="autoZero"/>
        <c:auto val="1"/>
        <c:lblAlgn val="ctr"/>
        <c:lblOffset val="100"/>
        <c:noMultiLvlLbl val="0"/>
      </c:catAx>
      <c:valAx>
        <c:axId val="789056671"/>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7890782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Dec!$B$93</c:f>
          <c:strCache>
            <c:ptCount val="1"/>
            <c:pt idx="0">
              <c:v>Falls by Location</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Dec!$D$94</c:f>
              <c:strCache>
                <c:ptCount val="1"/>
                <c:pt idx="0">
                  <c:v>Total</c:v>
                </c:pt>
              </c:strCache>
            </c:strRef>
          </c:tx>
          <c:spPr>
            <a:solidFill>
              <a:schemeClr val="accent3">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Dec!$B$95:$B$105</c:f>
              <c:strCache>
                <c:ptCount val="7"/>
                <c:pt idx="0">
                  <c:v>Activity Room</c:v>
                </c:pt>
                <c:pt idx="1">
                  <c:v>Bedroom</c:v>
                </c:pt>
                <c:pt idx="2">
                  <c:v>Bathroom</c:v>
                </c:pt>
                <c:pt idx="3">
                  <c:v>Hallway</c:v>
                </c:pt>
                <c:pt idx="4">
                  <c:v>Offsite</c:v>
                </c:pt>
                <c:pt idx="5">
                  <c:v>Shower Room</c:v>
                </c:pt>
                <c:pt idx="6">
                  <c:v>Dining Room</c:v>
                </c:pt>
              </c:strCache>
            </c:strRef>
          </c:cat>
          <c:val>
            <c:numRef>
              <c:f>Dec!$D$95:$D$105</c:f>
              <c:numCache>
                <c:formatCode>General</c:formatCode>
                <c:ptCount val="11"/>
                <c:pt idx="0">
                  <c:v>0</c:v>
                </c:pt>
                <c:pt idx="1">
                  <c:v>0</c:v>
                </c:pt>
                <c:pt idx="2">
                  <c:v>0</c:v>
                </c:pt>
                <c:pt idx="3">
                  <c:v>0</c:v>
                </c:pt>
                <c:pt idx="4">
                  <c:v>0</c:v>
                </c:pt>
                <c:pt idx="5">
                  <c:v>0</c:v>
                </c:pt>
                <c:pt idx="6">
                  <c:v>0</c:v>
                </c:pt>
                <c:pt idx="7">
                  <c:v>#N/A</c:v>
                </c:pt>
                <c:pt idx="8">
                  <c:v>#N/A</c:v>
                </c:pt>
                <c:pt idx="9">
                  <c:v>#N/A</c:v>
                </c:pt>
                <c:pt idx="10">
                  <c:v>#N/A</c:v>
                </c:pt>
              </c:numCache>
            </c:numRef>
          </c:val>
          <c:extLst>
            <c:ext xmlns:c16="http://schemas.microsoft.com/office/drawing/2014/chart" uri="{C3380CC4-5D6E-409C-BE32-E72D297353CC}">
              <c16:uniqueId val="{00000000-F0B7-4D83-A548-10ED314CECA1}"/>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Dec!$B$123</c:f>
          <c:strCache>
            <c:ptCount val="1"/>
            <c:pt idx="0">
              <c:v>Falls by Day of the Week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Dec!$D$124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Dec!$B$125:$B$131</c:f>
              <c:strCache>
                <c:ptCount val="7"/>
                <c:pt idx="0">
                  <c:v>Sun</c:v>
                </c:pt>
                <c:pt idx="1">
                  <c:v>Mon</c:v>
                </c:pt>
                <c:pt idx="2">
                  <c:v>Tue</c:v>
                </c:pt>
                <c:pt idx="3">
                  <c:v>Wed</c:v>
                </c:pt>
                <c:pt idx="4">
                  <c:v>Thu</c:v>
                </c:pt>
                <c:pt idx="5">
                  <c:v>Fri</c:v>
                </c:pt>
                <c:pt idx="6">
                  <c:v>Sat</c:v>
                </c:pt>
              </c:strCache>
            </c:strRef>
          </c:cat>
          <c:val>
            <c:numRef>
              <c:f>Dec!$D$125:$D$131</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16AB-4BD4-8DD5-65B7A9D5AA0C}"/>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Dec!$B$108</c:f>
          <c:strCache>
            <c:ptCount val="1"/>
            <c:pt idx="0">
              <c:v>Falls by Nursing Station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Dec!$D$109</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Dec!$B$110:$B$120</c:f>
              <c:strCache>
                <c:ptCount val="5"/>
                <c:pt idx="0">
                  <c:v>1</c:v>
                </c:pt>
                <c:pt idx="1">
                  <c:v>2</c:v>
                </c:pt>
                <c:pt idx="2">
                  <c:v>3</c:v>
                </c:pt>
                <c:pt idx="3">
                  <c:v>4</c:v>
                </c:pt>
                <c:pt idx="4">
                  <c:v>5</c:v>
                </c:pt>
              </c:strCache>
            </c:strRef>
          </c:cat>
          <c:val>
            <c:numRef>
              <c:f>Dec!$D$110:$D$120</c:f>
              <c:numCache>
                <c:formatCode>General</c:formatCode>
                <c:ptCount val="11"/>
                <c:pt idx="0">
                  <c:v>0</c:v>
                </c:pt>
                <c:pt idx="1">
                  <c:v>0</c:v>
                </c:pt>
                <c:pt idx="2">
                  <c:v>0</c:v>
                </c:pt>
                <c:pt idx="3">
                  <c:v>0</c:v>
                </c:pt>
                <c:pt idx="4">
                  <c:v>0</c:v>
                </c:pt>
                <c:pt idx="5">
                  <c:v>#N/A</c:v>
                </c:pt>
                <c:pt idx="6">
                  <c:v>#N/A</c:v>
                </c:pt>
                <c:pt idx="7">
                  <c:v>#N/A</c:v>
                </c:pt>
                <c:pt idx="8">
                  <c:v>#N/A</c:v>
                </c:pt>
                <c:pt idx="9">
                  <c:v>#N/A</c:v>
                </c:pt>
                <c:pt idx="10">
                  <c:v>#N/A</c:v>
                </c:pt>
              </c:numCache>
            </c:numRef>
          </c:val>
          <c:extLst>
            <c:ext xmlns:c16="http://schemas.microsoft.com/office/drawing/2014/chart" uri="{C3380CC4-5D6E-409C-BE32-E72D297353CC}">
              <c16:uniqueId val="{00000000-1C1C-4180-9D21-5E679BE21A82}"/>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Dec!$F$58</c:f>
          <c:strCache>
            <c:ptCount val="1"/>
            <c:pt idx="0">
              <c:v>Falls by BIMS Score</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Dec!$H$59</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Dec!$F$60:$F$62</c:f>
              <c:strCache>
                <c:ptCount val="3"/>
                <c:pt idx="0">
                  <c:v>Severe (1–7)</c:v>
                </c:pt>
                <c:pt idx="1">
                  <c:v>Moderate (8–12)</c:v>
                </c:pt>
                <c:pt idx="2">
                  <c:v>Intact (13–15)</c:v>
                </c:pt>
              </c:strCache>
            </c:strRef>
          </c:cat>
          <c:val>
            <c:numRef>
              <c:f>Dec!$H$60:$H$62</c:f>
              <c:numCache>
                <c:formatCode>General</c:formatCode>
                <c:ptCount val="3"/>
                <c:pt idx="0">
                  <c:v>0</c:v>
                </c:pt>
                <c:pt idx="1">
                  <c:v>0</c:v>
                </c:pt>
                <c:pt idx="2">
                  <c:v>0</c:v>
                </c:pt>
              </c:numCache>
            </c:numRef>
          </c:val>
          <c:extLst>
            <c:ext xmlns:c16="http://schemas.microsoft.com/office/drawing/2014/chart" uri="{C3380CC4-5D6E-409C-BE32-E72D297353CC}">
              <c16:uniqueId val="{00000000-8A1E-402F-B08F-928520A8C2E4}"/>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Dec!$B$143</c:f>
          <c:strCache>
            <c:ptCount val="1"/>
            <c:pt idx="0">
              <c:v>Falls by Hour </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1"/>
          <c:order val="0"/>
          <c:tx>
            <c:strRef>
              <c:f>Dec!$D$144</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Dec!$B$145:$B$168</c:f>
              <c:strCache>
                <c:ptCount val="24"/>
                <c:pt idx="0">
                  <c:v>23:00–24:00</c:v>
                </c:pt>
                <c:pt idx="1">
                  <c:v>24:00–01:00</c:v>
                </c:pt>
                <c:pt idx="2">
                  <c:v>01:00–02:00</c:v>
                </c:pt>
                <c:pt idx="3">
                  <c:v>02:00–03:00</c:v>
                </c:pt>
                <c:pt idx="4">
                  <c:v>03:00–04:00</c:v>
                </c:pt>
                <c:pt idx="5">
                  <c:v>04:00–05:00</c:v>
                </c:pt>
                <c:pt idx="6">
                  <c:v>05:00–06:00</c:v>
                </c:pt>
                <c:pt idx="7">
                  <c:v>06:00–07:00</c:v>
                </c:pt>
                <c:pt idx="8">
                  <c:v>07:00–08:00</c:v>
                </c:pt>
                <c:pt idx="9">
                  <c:v>08:00–09:00</c:v>
                </c:pt>
                <c:pt idx="10">
                  <c:v>09:00–10:00</c:v>
                </c:pt>
                <c:pt idx="11">
                  <c:v>10:00–11:00</c:v>
                </c:pt>
                <c:pt idx="12">
                  <c:v>11:00–12:00</c:v>
                </c:pt>
                <c:pt idx="13">
                  <c:v>12:00–13:00</c:v>
                </c:pt>
                <c:pt idx="14">
                  <c:v>13:00–14:00</c:v>
                </c:pt>
                <c:pt idx="15">
                  <c:v>14:00–15:00</c:v>
                </c:pt>
                <c:pt idx="16">
                  <c:v>15:00–16:00</c:v>
                </c:pt>
                <c:pt idx="17">
                  <c:v>16:00–17:00</c:v>
                </c:pt>
                <c:pt idx="18">
                  <c:v>17:00–18:00</c:v>
                </c:pt>
                <c:pt idx="19">
                  <c:v>18:00–19:00</c:v>
                </c:pt>
                <c:pt idx="20">
                  <c:v>19:00–20:00</c:v>
                </c:pt>
                <c:pt idx="21">
                  <c:v>20:00–21:00</c:v>
                </c:pt>
                <c:pt idx="22">
                  <c:v>21:00–22:00</c:v>
                </c:pt>
                <c:pt idx="23">
                  <c:v>22:00–23:00</c:v>
                </c:pt>
              </c:strCache>
            </c:strRef>
          </c:cat>
          <c:val>
            <c:numRef>
              <c:f>Dec!$D$145:$D$168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5607-4A89-9ABC-6FD275D21310}"/>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Dec!$B$65</c:f>
          <c:strCache>
            <c:ptCount val="1"/>
            <c:pt idx="0">
              <c:v>Falls by Activity</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Dec!$G$66</c:f>
              <c:strCache>
                <c:ptCount val="1"/>
                <c:pt idx="0">
                  <c:v>Total</c:v>
                </c:pt>
              </c:strCache>
            </c:strRef>
          </c:tx>
          <c:spPr>
            <a:solidFill>
              <a:schemeClr val="bg1">
                <a:lumMod val="75000"/>
              </a:schemeClr>
            </a:solidFill>
            <a:ln>
              <a:solidFill>
                <a:schemeClr val="bg1">
                  <a:lumMod val="85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Dec!$B$67:$B$90</c:f>
              <c:strCache>
                <c:ptCount val="11"/>
                <c:pt idx="0">
                  <c:v>Ambulating with assistive device (walker, cane, wheelchair)</c:v>
                </c:pt>
                <c:pt idx="1">
                  <c:v>Ambulating with staff assistance</c:v>
                </c:pt>
                <c:pt idx="2">
                  <c:v>Ambulating without assistance or assistive device</c:v>
                </c:pt>
                <c:pt idx="3">
                  <c:v>Changing position (e.g., in bed, chair)</c:v>
                </c:pt>
                <c:pt idx="4">
                  <c:v>Dressing or undressing</c:v>
                </c:pt>
                <c:pt idx="5">
                  <c:v>Other activity</c:v>
                </c:pt>
                <c:pt idx="6">
                  <c:v>Reaching for an item</c:v>
                </c:pt>
                <c:pt idx="7">
                  <c:v>Showering or bathing</c:v>
                </c:pt>
                <c:pt idx="8">
                  <c:v>Toileting</c:v>
                </c:pt>
                <c:pt idx="9">
                  <c:v>Transferring to or from bed, chair, wheelchair, etc.</c:v>
                </c:pt>
                <c:pt idx="10">
                  <c:v>Unknown</c:v>
                </c:pt>
              </c:strCache>
            </c:strRef>
          </c:cat>
          <c:val>
            <c:numRef>
              <c:f>Dec!$G$67:$G$90</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F0E8-4462-9F0E-7AEBFAE88F0C}"/>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Dec!$B$51</c:f>
          <c:strCache>
            <c:ptCount val="1"/>
            <c:pt idx="0">
              <c:v>Witnessed Falls</c:v>
            </c:pt>
          </c:strCache>
        </c:strRef>
      </c:tx>
      <c:layout>
        <c:manualLayout>
          <c:xMode val="edge"/>
          <c:yMode val="edge"/>
          <c:x val="0.28456383934819923"/>
          <c:y val="4.8263836268180225E-2"/>
        </c:manualLayout>
      </c:layout>
      <c:overlay val="0"/>
      <c:spPr>
        <a:noFill/>
        <a:ln>
          <a:noFill/>
        </a:ln>
        <a:effectLst/>
      </c:spPr>
      <c:txPr>
        <a:bodyPr rot="0" spcFirstLastPara="1" vertOverflow="ellipsis" vert="horz" wrap="square" anchor="ctr" anchorCtr="1"/>
        <a:lstStyle/>
        <a:p>
          <a:pPr>
            <a:defRPr sz="1100" b="1" i="0" u="none" strike="noStrike" kern="1200" spc="0" baseline="0">
              <a:solidFill>
                <a:sysClr val="windowText" lastClr="000000"/>
              </a:solidFill>
              <a:latin typeface="+mn-lt"/>
              <a:ea typeface="+mn-ea"/>
              <a:cs typeface="+mn-cs"/>
            </a:defRPr>
          </a:pPr>
          <a:endParaRPr lang="en-US"/>
        </a:p>
      </c:txPr>
    </c:title>
    <c:autoTitleDeleted val="0"/>
    <c:plotArea>
      <c:layout/>
      <c:pieChart>
        <c:varyColors val="1"/>
        <c:ser>
          <c:idx val="2"/>
          <c:order val="0"/>
          <c:tx>
            <c:strRef>
              <c:f>Dec!$D$52</c:f>
              <c:strCache>
                <c:ptCount val="1"/>
                <c:pt idx="0">
                  <c:v>Total</c:v>
                </c:pt>
              </c:strCache>
            </c:strRef>
          </c:tx>
          <c:spPr>
            <a:solidFill>
              <a:srgbClr val="F7F7F7"/>
            </a:solidFill>
            <a:ln w="19050">
              <a:solidFill>
                <a:schemeClr val="bg2">
                  <a:lumMod val="90000"/>
                </a:schemeClr>
              </a:solidFill>
            </a:ln>
          </c:spPr>
          <c:dPt>
            <c:idx val="0"/>
            <c:bubble3D val="0"/>
            <c:spPr>
              <a:solidFill>
                <a:srgbClr val="F7F7F7"/>
              </a:solidFill>
              <a:ln w="19050">
                <a:solidFill>
                  <a:schemeClr val="bg2">
                    <a:lumMod val="90000"/>
                  </a:schemeClr>
                </a:solidFill>
              </a:ln>
              <a:effectLst/>
            </c:spPr>
            <c:extLst>
              <c:ext xmlns:c16="http://schemas.microsoft.com/office/drawing/2014/chart" uri="{C3380CC4-5D6E-409C-BE32-E72D297353CC}">
                <c16:uniqueId val="{00000001-EF2C-4DAB-B88F-F172B4073DD4}"/>
              </c:ext>
            </c:extLst>
          </c:dPt>
          <c:dPt>
            <c:idx val="1"/>
            <c:bubble3D val="0"/>
            <c:spPr>
              <a:solidFill>
                <a:schemeClr val="bg2"/>
              </a:solidFill>
              <a:ln w="19050">
                <a:solidFill>
                  <a:schemeClr val="bg2">
                    <a:lumMod val="90000"/>
                  </a:schemeClr>
                </a:solidFill>
              </a:ln>
              <a:effectLst/>
            </c:spPr>
            <c:extLst>
              <c:ext xmlns:c16="http://schemas.microsoft.com/office/drawing/2014/chart" uri="{C3380CC4-5D6E-409C-BE32-E72D297353CC}">
                <c16:uniqueId val="{00000003-EF2C-4DAB-B88F-F172B4073DD4}"/>
              </c:ext>
            </c:extLst>
          </c:dPt>
          <c:dLbls>
            <c:dLbl>
              <c:idx val="0"/>
              <c:layout>
                <c:manualLayout>
                  <c:x val="6.2922200858950839E-2"/>
                  <c:y val="-5.7940247469122956E-2"/>
                </c:manualLayout>
              </c:layout>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F2C-4DAB-B88F-F172B4073DD4}"/>
                </c:ext>
              </c:extLst>
            </c:dLbl>
            <c:dLbl>
              <c:idx val="1"/>
              <c:layout>
                <c:manualLayout>
                  <c:x val="-4.8011385115936479E-2"/>
                  <c:y val="2.6697554736401265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15:layout>
                    <c:manualLayout>
                      <c:w val="0.24931745400710711"/>
                      <c:h val="0.11967240535812428"/>
                    </c:manualLayout>
                  </c15:layout>
                </c:ext>
                <c:ext xmlns:c16="http://schemas.microsoft.com/office/drawing/2014/chart" uri="{C3380CC4-5D6E-409C-BE32-E72D297353CC}">
                  <c16:uniqueId val="{00000003-EF2C-4DAB-B88F-F172B4073DD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Dec!$B$53:$B$54</c:f>
              <c:strCache>
                <c:ptCount val="2"/>
                <c:pt idx="0">
                  <c:v>Yes</c:v>
                </c:pt>
                <c:pt idx="1">
                  <c:v>No</c:v>
                </c:pt>
              </c:strCache>
            </c:strRef>
          </c:cat>
          <c:val>
            <c:numRef>
              <c:f>Dec!$D$53:$D$54</c:f>
              <c:numCache>
                <c:formatCode>General</c:formatCode>
                <c:ptCount val="2"/>
                <c:pt idx="0">
                  <c:v>0</c:v>
                </c:pt>
                <c:pt idx="1">
                  <c:v>0</c:v>
                </c:pt>
              </c:numCache>
            </c:numRef>
          </c:val>
          <c:extLst>
            <c:ext xmlns:c16="http://schemas.microsoft.com/office/drawing/2014/chart" uri="{C3380CC4-5D6E-409C-BE32-E72D297353CC}">
              <c16:uniqueId val="{00000004-EF2C-4DAB-B88F-F172B4073DD4}"/>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317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Dec!$B$171</c:f>
          <c:strCache>
            <c:ptCount val="1"/>
            <c:pt idx="0">
              <c:v>Falls by Contributing Factors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4"/>
          <c:order val="0"/>
          <c:tx>
            <c:strRef>
              <c:f>Dec!$G$172</c:f>
              <c:strCache>
                <c:ptCount val="1"/>
                <c:pt idx="0">
                  <c:v>Total</c:v>
                </c:pt>
              </c:strCache>
            </c:strRef>
          </c:tx>
          <c:spPr>
            <a:solidFill>
              <a:schemeClr val="bg2">
                <a:lumMod val="9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Dec!$B$173:$B$196</c:f>
              <c:strCache>
                <c:ptCount val="11"/>
                <c:pt idx="0">
                  <c:v>Assisted/caregiver transfer</c:v>
                </c:pt>
                <c:pt idx="1">
                  <c:v>Bowel and bladder (B&amp;B) needs</c:v>
                </c:pt>
                <c:pt idx="2">
                  <c:v>Behavioral or situational</c:v>
                </c:pt>
                <c:pt idx="3">
                  <c:v>Change of condition</c:v>
                </c:pt>
                <c:pt idx="4">
                  <c:v>Environmental factors</c:v>
                </c:pt>
                <c:pt idx="5">
                  <c:v>Equipment malfunction</c:v>
                </c:pt>
                <c:pt idx="6">
                  <c:v>Equipment or assistive device</c:v>
                </c:pt>
                <c:pt idx="7">
                  <c:v>Medication related</c:v>
                </c:pt>
                <c:pt idx="8">
                  <c:v>Process(s) not followed</c:v>
                </c:pt>
                <c:pt idx="9">
                  <c:v>Resident health conditions</c:v>
                </c:pt>
                <c:pt idx="10">
                  <c:v>Staff</c:v>
                </c:pt>
              </c:strCache>
            </c:strRef>
          </c:cat>
          <c:val>
            <c:numRef>
              <c:f>Dec!$G$173:$G$196</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1C69-4506-B493-B8594D0BD5A5}"/>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bg2">
                    <a:lumMod val="50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Dec!$F$51</c:f>
          <c:strCache>
            <c:ptCount val="1"/>
            <c:pt idx="0">
              <c:v>Fall Circumstances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Dec!$H$52</c:f>
              <c:strCache>
                <c:ptCount val="1"/>
                <c:pt idx="0">
                  <c:v>Total</c:v>
                </c:pt>
              </c:strCache>
            </c:strRef>
          </c:tx>
          <c:spPr>
            <a:solidFill>
              <a:schemeClr val="bg2">
                <a:lumMod val="9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Dec!$F$53:$F$55</c:f>
              <c:strCache>
                <c:ptCount val="3"/>
                <c:pt idx="0">
                  <c:v>Overwhelming Force</c:v>
                </c:pt>
                <c:pt idx="1">
                  <c:v>Intercepted</c:v>
                </c:pt>
                <c:pt idx="2">
                  <c:v>N/A</c:v>
                </c:pt>
              </c:strCache>
            </c:strRef>
          </c:cat>
          <c:val>
            <c:numRef>
              <c:f>Dec!$H$53:$H$55</c:f>
              <c:numCache>
                <c:formatCode>General</c:formatCode>
                <c:ptCount val="3"/>
                <c:pt idx="0">
                  <c:v>0</c:v>
                </c:pt>
                <c:pt idx="1">
                  <c:v>0</c:v>
                </c:pt>
                <c:pt idx="2">
                  <c:v>0</c:v>
                </c:pt>
              </c:numCache>
            </c:numRef>
          </c:val>
          <c:extLst>
            <c:ext xmlns:c16="http://schemas.microsoft.com/office/drawing/2014/chart" uri="{C3380CC4-5D6E-409C-BE32-E72D297353CC}">
              <c16:uniqueId val="{00000000-C6BD-4F11-A852-96809A3F585C}"/>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Jan!$B$134</c:f>
          <c:strCache>
            <c:ptCount val="1"/>
            <c:pt idx="0">
              <c:v>Falls by Shift</c:v>
            </c:pt>
          </c:strCache>
        </c:strRef>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1"/>
          <c:order val="0"/>
          <c:tx>
            <c:strRef>
              <c:f>Dec!$D$135</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Dec!$B$136:$B$140</c:f>
              <c:strCache>
                <c:ptCount val="4"/>
                <c:pt idx="0">
                  <c:v>11-7</c:v>
                </c:pt>
                <c:pt idx="1">
                  <c:v>11–7</c:v>
                </c:pt>
                <c:pt idx="2">
                  <c:v>7–3</c:v>
                </c:pt>
                <c:pt idx="3">
                  <c:v>3–11</c:v>
                </c:pt>
              </c:strCache>
            </c:strRef>
          </c:cat>
          <c:val>
            <c:numRef>
              <c:f>Dec!$D$136:$D$140</c:f>
              <c:numCache>
                <c:formatCode>General</c:formatCode>
                <c:ptCount val="5"/>
                <c:pt idx="0">
                  <c:v>0</c:v>
                </c:pt>
                <c:pt idx="1">
                  <c:v>0</c:v>
                </c:pt>
                <c:pt idx="2">
                  <c:v>0</c:v>
                </c:pt>
                <c:pt idx="3">
                  <c:v>0</c:v>
                </c:pt>
                <c:pt idx="4">
                  <c:v>#N/A</c:v>
                </c:pt>
              </c:numCache>
            </c:numRef>
          </c:val>
          <c:extLst>
            <c:ext xmlns:c16="http://schemas.microsoft.com/office/drawing/2014/chart" uri="{C3380CC4-5D6E-409C-BE32-E72D297353CC}">
              <c16:uniqueId val="{00000002-9087-4775-B21D-60516061DAD4}"/>
            </c:ext>
          </c:extLst>
        </c:ser>
        <c:dLbls>
          <c:showLegendKey val="0"/>
          <c:showVal val="0"/>
          <c:showCatName val="0"/>
          <c:showSerName val="0"/>
          <c:showPercent val="0"/>
          <c:showBubbleSize val="0"/>
        </c:dLbls>
        <c:gapWidth val="219"/>
        <c:axId val="789078271"/>
        <c:axId val="789056671"/>
      </c:barChart>
      <c:catAx>
        <c:axId val="7890782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789056671"/>
        <c:crosses val="autoZero"/>
        <c:auto val="1"/>
        <c:lblAlgn val="ctr"/>
        <c:lblOffset val="100"/>
        <c:noMultiLvlLbl val="0"/>
      </c:catAx>
      <c:valAx>
        <c:axId val="789056671"/>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7890782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Total Number of Falls by Month </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1"/>
          <c:order val="0"/>
          <c:tx>
            <c:strRef>
              <c:f>Falls!$B$7</c:f>
              <c:strCache>
                <c:ptCount val="1"/>
                <c:pt idx="0">
                  <c:v>All Falls</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Falls!$C$3:$N$3</c:f>
              <c:strCache>
                <c:ptCount val="12"/>
                <c:pt idx="0">
                  <c:v>January </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Falls!$C$7:$N$7</c:f>
              <c:numCache>
                <c:formatCode>General</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6-88AE-4151-994A-CF67A8E0FFBD}"/>
            </c:ext>
          </c:extLst>
        </c:ser>
        <c:ser>
          <c:idx val="2"/>
          <c:order val="1"/>
          <c:tx>
            <c:strRef>
              <c:f>Falls!$B$8</c:f>
              <c:strCache>
                <c:ptCount val="1"/>
                <c:pt idx="0">
                  <c:v>Goal</c:v>
                </c:pt>
              </c:strCache>
            </c:strRef>
          </c:tx>
          <c:spPr>
            <a:ln w="28575" cap="rnd">
              <a:solidFill>
                <a:schemeClr val="accent6">
                  <a:lumMod val="60000"/>
                  <a:lumOff val="40000"/>
                </a:schemeClr>
              </a:solidFill>
              <a:round/>
            </a:ln>
            <a:effectLst/>
          </c:spPr>
          <c:marker>
            <c:symbol val="none"/>
          </c:marker>
          <c:cat>
            <c:strRef>
              <c:f>Falls!$C$3:$N$3</c:f>
              <c:strCache>
                <c:ptCount val="12"/>
                <c:pt idx="0">
                  <c:v>January </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Falls!$C$8:$N$8</c:f>
              <c:numCache>
                <c:formatCode>General</c:formatCode>
                <c:ptCount val="12"/>
                <c:pt idx="0">
                  <c:v>10</c:v>
                </c:pt>
                <c:pt idx="1">
                  <c:v>10</c:v>
                </c:pt>
                <c:pt idx="2">
                  <c:v>10</c:v>
                </c:pt>
                <c:pt idx="3">
                  <c:v>10</c:v>
                </c:pt>
                <c:pt idx="4">
                  <c:v>10</c:v>
                </c:pt>
                <c:pt idx="5">
                  <c:v>10</c:v>
                </c:pt>
                <c:pt idx="6">
                  <c:v>10</c:v>
                </c:pt>
                <c:pt idx="7">
                  <c:v>10</c:v>
                </c:pt>
                <c:pt idx="8">
                  <c:v>10</c:v>
                </c:pt>
                <c:pt idx="9">
                  <c:v>10</c:v>
                </c:pt>
                <c:pt idx="10">
                  <c:v>10</c:v>
                </c:pt>
                <c:pt idx="11">
                  <c:v>10</c:v>
                </c:pt>
              </c:numCache>
            </c:numRef>
          </c:val>
          <c:smooth val="0"/>
          <c:extLst>
            <c:ext xmlns:c16="http://schemas.microsoft.com/office/drawing/2014/chart" uri="{C3380CC4-5D6E-409C-BE32-E72D297353CC}">
              <c16:uniqueId val="{00000007-88AE-4151-994A-CF67A8E0FFBD}"/>
            </c:ext>
          </c:extLst>
        </c:ser>
        <c:dLbls>
          <c:showLegendKey val="0"/>
          <c:showVal val="0"/>
          <c:showCatName val="0"/>
          <c:showSerName val="0"/>
          <c:showPercent val="0"/>
          <c:showBubbleSize val="0"/>
        </c:dLbls>
        <c:marker val="1"/>
        <c:smooth val="0"/>
        <c:axId val="1155463519"/>
        <c:axId val="1155463039"/>
      </c:lineChart>
      <c:catAx>
        <c:axId val="11554635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155463039"/>
        <c:crosses val="autoZero"/>
        <c:auto val="1"/>
        <c:lblAlgn val="ctr"/>
        <c:lblOffset val="100"/>
        <c:noMultiLvlLbl val="0"/>
      </c:catAx>
      <c:valAx>
        <c:axId val="115546303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1554635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orientation="portrait"/>
  </c:printSettings>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Falls!$B$32</c:f>
          <c:strCache>
            <c:ptCount val="1"/>
            <c:pt idx="0">
              <c:v>Fall Rate by Month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Falls!$B$34</c:f>
              <c:strCache>
                <c:ptCount val="1"/>
                <c:pt idx="0">
                  <c:v>Facility Rate</c:v>
                </c:pt>
              </c:strCache>
            </c:strRef>
          </c:tx>
          <c:spPr>
            <a:ln w="28575" cap="rnd">
              <a:solidFill>
                <a:schemeClr val="accent1"/>
              </a:solidFill>
              <a:round/>
            </a:ln>
            <a:effectLst/>
          </c:spPr>
          <c:marker>
            <c:symbol val="circle"/>
            <c:size val="5"/>
            <c:spPr>
              <a:solidFill>
                <a:schemeClr val="accent1"/>
              </a:solidFill>
              <a:ln w="9525">
                <a:solidFill>
                  <a:schemeClr val="accent1">
                    <a:alpha val="87000"/>
                  </a:scheme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Falls!$C$33:$N$33</c:f>
              <c:strCache>
                <c:ptCount val="12"/>
                <c:pt idx="0">
                  <c:v>January </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Falls!$C$34:$N$34</c:f>
              <c:numCache>
                <c:formatCode>General</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3-A664-4E22-AAB7-8A6228E3041F}"/>
            </c:ext>
          </c:extLst>
        </c:ser>
        <c:ser>
          <c:idx val="1"/>
          <c:order val="1"/>
          <c:tx>
            <c:strRef>
              <c:f>'Summary and Graphs'!#REF!</c:f>
              <c:strCache>
                <c:ptCount val="1"/>
                <c:pt idx="0">
                  <c:v>#REF!</c:v>
                </c:pt>
              </c:strCache>
            </c:strRef>
          </c:tx>
          <c:spPr>
            <a:ln w="28575" cap="rnd">
              <a:solidFill>
                <a:schemeClr val="accent2"/>
              </a:solidFill>
              <a:round/>
            </a:ln>
            <a:effectLst/>
          </c:spPr>
          <c:marker>
            <c:symbol val="none"/>
          </c:marker>
          <c:cat>
            <c:strRef>
              <c:f>Falls!$C$33:$N$33</c:f>
              <c:strCache>
                <c:ptCount val="12"/>
                <c:pt idx="0">
                  <c:v>January </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'Summary and Graphs'!#REF!</c:f>
              <c:numCache>
                <c:formatCode>General</c:formatCode>
                <c:ptCount val="1"/>
                <c:pt idx="0">
                  <c:v>1</c:v>
                </c:pt>
              </c:numCache>
            </c:numRef>
          </c:val>
          <c:smooth val="0"/>
          <c:extLst>
            <c:ext xmlns:c16="http://schemas.microsoft.com/office/drawing/2014/chart" uri="{C3380CC4-5D6E-409C-BE32-E72D297353CC}">
              <c16:uniqueId val="{00000004-A664-4E22-AAB7-8A6228E3041F}"/>
            </c:ext>
          </c:extLst>
        </c:ser>
        <c:ser>
          <c:idx val="2"/>
          <c:order val="2"/>
          <c:tx>
            <c:strRef>
              <c:f>'Summary and Graphs'!#REF!</c:f>
              <c:strCache>
                <c:ptCount val="1"/>
                <c:pt idx="0">
                  <c:v>#REF!</c:v>
                </c:pt>
              </c:strCache>
            </c:strRef>
          </c:tx>
          <c:spPr>
            <a:ln w="28575" cap="rnd">
              <a:solidFill>
                <a:schemeClr val="accent3"/>
              </a:solidFill>
              <a:round/>
            </a:ln>
            <a:effectLst/>
          </c:spPr>
          <c:marker>
            <c:symbol val="none"/>
          </c:marker>
          <c:cat>
            <c:strRef>
              <c:f>Falls!$C$33:$N$33</c:f>
              <c:strCache>
                <c:ptCount val="12"/>
                <c:pt idx="0">
                  <c:v>January </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'Summary and Graphs'!#REF!</c:f>
              <c:numCache>
                <c:formatCode>General</c:formatCode>
                <c:ptCount val="1"/>
                <c:pt idx="0">
                  <c:v>1</c:v>
                </c:pt>
              </c:numCache>
            </c:numRef>
          </c:val>
          <c:smooth val="0"/>
          <c:extLst>
            <c:ext xmlns:c16="http://schemas.microsoft.com/office/drawing/2014/chart" uri="{C3380CC4-5D6E-409C-BE32-E72D297353CC}">
              <c16:uniqueId val="{00000005-A664-4E22-AAB7-8A6228E3041F}"/>
            </c:ext>
          </c:extLst>
        </c:ser>
        <c:ser>
          <c:idx val="3"/>
          <c:order val="3"/>
          <c:tx>
            <c:strRef>
              <c:f>Falls!$B$35</c:f>
              <c:strCache>
                <c:ptCount val="1"/>
                <c:pt idx="0">
                  <c:v>Goal</c:v>
                </c:pt>
              </c:strCache>
            </c:strRef>
          </c:tx>
          <c:spPr>
            <a:ln w="28575" cap="rnd">
              <a:solidFill>
                <a:schemeClr val="accent6">
                  <a:lumMod val="60000"/>
                  <a:lumOff val="40000"/>
                </a:schemeClr>
              </a:solidFill>
              <a:round/>
            </a:ln>
            <a:effectLst/>
          </c:spPr>
          <c:marker>
            <c:symbol val="none"/>
          </c:marker>
          <c:cat>
            <c:strRef>
              <c:f>Falls!$C$33:$N$33</c:f>
              <c:strCache>
                <c:ptCount val="12"/>
                <c:pt idx="0">
                  <c:v>January </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Falls!$C$35:$N$35</c:f>
              <c:numCache>
                <c:formatCode>General</c:formatCode>
                <c:ptCount val="12"/>
                <c:pt idx="0">
                  <c:v>2.1</c:v>
                </c:pt>
                <c:pt idx="1">
                  <c:v>2.1</c:v>
                </c:pt>
                <c:pt idx="2">
                  <c:v>2.1</c:v>
                </c:pt>
                <c:pt idx="3">
                  <c:v>2.1</c:v>
                </c:pt>
                <c:pt idx="4">
                  <c:v>2.1</c:v>
                </c:pt>
                <c:pt idx="5">
                  <c:v>2.1</c:v>
                </c:pt>
                <c:pt idx="6">
                  <c:v>2.1</c:v>
                </c:pt>
                <c:pt idx="7">
                  <c:v>2.1</c:v>
                </c:pt>
                <c:pt idx="8">
                  <c:v>2.1</c:v>
                </c:pt>
                <c:pt idx="9">
                  <c:v>2.1</c:v>
                </c:pt>
                <c:pt idx="10">
                  <c:v>2.1</c:v>
                </c:pt>
                <c:pt idx="11">
                  <c:v>2.1</c:v>
                </c:pt>
              </c:numCache>
            </c:numRef>
          </c:val>
          <c:smooth val="0"/>
          <c:extLst>
            <c:ext xmlns:c16="http://schemas.microsoft.com/office/drawing/2014/chart" uri="{C3380CC4-5D6E-409C-BE32-E72D297353CC}">
              <c16:uniqueId val="{00000006-A664-4E22-AAB7-8A6228E3041F}"/>
            </c:ext>
          </c:extLst>
        </c:ser>
        <c:dLbls>
          <c:showLegendKey val="0"/>
          <c:showVal val="0"/>
          <c:showCatName val="0"/>
          <c:showSerName val="0"/>
          <c:showPercent val="0"/>
          <c:showBubbleSize val="0"/>
        </c:dLbls>
        <c:marker val="1"/>
        <c:smooth val="0"/>
        <c:axId val="1155463519"/>
        <c:axId val="1155463039"/>
      </c:lineChart>
      <c:catAx>
        <c:axId val="11554635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155463039"/>
        <c:crosses val="autoZero"/>
        <c:auto val="1"/>
        <c:lblAlgn val="ctr"/>
        <c:lblOffset val="100"/>
        <c:noMultiLvlLbl val="0"/>
      </c:catAx>
      <c:valAx>
        <c:axId val="115546303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155463519"/>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25" l="0.15" r="0.15" t="0.25" header="0.3" footer="0.3"/>
    <c:pageSetup orientation="landscape"/>
  </c:printSettings>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Number of Falls per Month by Category</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Falls!$B$4</c:f>
              <c:strCache>
                <c:ptCount val="1"/>
                <c:pt idx="0">
                  <c:v>Major Injury</c:v>
                </c:pt>
              </c:strCache>
            </c:strRef>
          </c:tx>
          <c:spPr>
            <a:ln w="28575" cap="rnd">
              <a:solidFill>
                <a:srgbClr val="FF0000">
                  <a:alpha val="97000"/>
                </a:srgbClr>
              </a:solidFill>
              <a:round/>
            </a:ln>
            <a:effectLst/>
          </c:spPr>
          <c:marker>
            <c:symbol val="circle"/>
            <c:size val="5"/>
            <c:spPr>
              <a:solidFill>
                <a:srgbClr val="FF0000"/>
              </a:solidFill>
              <a:ln w="9525">
                <a:solidFill>
                  <a:srgbClr val="FF0000"/>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a:noFill/>
                    </a:ln>
                    <a:solidFill>
                      <a:srgbClr val="FF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Falls!$C$3:$N$3</c:f>
              <c:strCache>
                <c:ptCount val="12"/>
                <c:pt idx="0">
                  <c:v>January </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Falls!$C$4:$N$4</c:f>
              <c:numCache>
                <c:formatCode>General</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0-087B-4E92-84C8-A27D305D75A1}"/>
            </c:ext>
          </c:extLst>
        </c:ser>
        <c:ser>
          <c:idx val="1"/>
          <c:order val="1"/>
          <c:tx>
            <c:strRef>
              <c:f>Falls!$B$5</c:f>
              <c:strCache>
                <c:ptCount val="1"/>
                <c:pt idx="0">
                  <c:v>Injury (Except Major)</c:v>
                </c:pt>
              </c:strCache>
            </c:strRef>
          </c:tx>
          <c:spPr>
            <a:ln w="28575" cap="rnd">
              <a:solidFill>
                <a:schemeClr val="accent2"/>
              </a:solidFill>
              <a:round/>
            </a:ln>
            <a:effectLst/>
          </c:spPr>
          <c:marker>
            <c:symbol val="circle"/>
            <c:size val="5"/>
            <c:spPr>
              <a:solidFill>
                <a:srgbClr val="FF9900"/>
              </a:solidFill>
              <a:ln w="9525">
                <a:solidFill>
                  <a:srgbClr val="FF9900"/>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a:noFill/>
                    </a:ln>
                    <a:solidFill>
                      <a:srgbClr val="FF99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Falls!$C$3:$N$3</c:f>
              <c:strCache>
                <c:ptCount val="12"/>
                <c:pt idx="0">
                  <c:v>January </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Falls!$C$5:$N$5</c:f>
              <c:numCache>
                <c:formatCode>General</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1-087B-4E92-84C8-A27D305D75A1}"/>
            </c:ext>
          </c:extLst>
        </c:ser>
        <c:ser>
          <c:idx val="2"/>
          <c:order val="2"/>
          <c:tx>
            <c:strRef>
              <c:f>Falls!$B$6</c:f>
              <c:strCache>
                <c:ptCount val="1"/>
                <c:pt idx="0">
                  <c:v>No Injury</c:v>
                </c:pt>
              </c:strCache>
            </c:strRef>
          </c:tx>
          <c:spPr>
            <a:ln w="28575" cap="rnd">
              <a:solidFill>
                <a:schemeClr val="accent1"/>
              </a:solidFill>
              <a:round/>
            </a:ln>
            <a:effectLst/>
          </c:spPr>
          <c:marker>
            <c:symbol val="circle"/>
            <c:size val="5"/>
            <c:spPr>
              <a:solidFill>
                <a:schemeClr val="accent1">
                  <a:alpha val="98000"/>
                </a:schemeClr>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Falls!$C$3:$N$3</c:f>
              <c:strCache>
                <c:ptCount val="12"/>
                <c:pt idx="0">
                  <c:v>January </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Falls!$C$6:$N$6</c:f>
              <c:numCache>
                <c:formatCode>General</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2-087B-4E92-84C8-A27D305D75A1}"/>
            </c:ext>
          </c:extLst>
        </c:ser>
        <c:dLbls>
          <c:showLegendKey val="0"/>
          <c:showVal val="0"/>
          <c:showCatName val="0"/>
          <c:showSerName val="0"/>
          <c:showPercent val="0"/>
          <c:showBubbleSize val="0"/>
        </c:dLbls>
        <c:marker val="1"/>
        <c:smooth val="0"/>
        <c:axId val="1155463519"/>
        <c:axId val="1155463039"/>
      </c:lineChart>
      <c:catAx>
        <c:axId val="11554635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155463039"/>
        <c:crosses val="autoZero"/>
        <c:auto val="1"/>
        <c:lblAlgn val="ctr"/>
        <c:lblOffset val="100"/>
        <c:noMultiLvlLbl val="0"/>
      </c:catAx>
      <c:valAx>
        <c:axId val="115546303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15546351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orientation="portrait"/>
  </c:printSettings>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'BIMS RCA'!$B$2</c:f>
          <c:strCache>
            <c:ptCount val="1"/>
            <c:pt idx="0">
              <c:v>BIMS Scores of Residents with Falls </c:v>
            </c:pt>
          </c:strCache>
        </c:strRef>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'BIMS RCA'!$D$10</c:f>
              <c:strCache>
                <c:ptCount val="1"/>
                <c:pt idx="0">
                  <c:v>Total</c:v>
                </c:pt>
              </c:strCache>
            </c:strRef>
          </c:tx>
          <c:spPr>
            <a:solidFill>
              <a:schemeClr val="accent1"/>
            </a:solidFill>
            <a:ln>
              <a:noFill/>
            </a:ln>
            <a:effectLst/>
          </c:spPr>
          <c:invertIfNegative val="0"/>
          <c:cat>
            <c:strRef>
              <c:f>'BIMS RCA'!$B$11:$B$13</c:f>
              <c:strCache>
                <c:ptCount val="3"/>
                <c:pt idx="0">
                  <c:v>Severe</c:v>
                </c:pt>
                <c:pt idx="1">
                  <c:v>Moderate</c:v>
                </c:pt>
                <c:pt idx="2">
                  <c:v>Intact</c:v>
                </c:pt>
              </c:strCache>
            </c:strRef>
          </c:cat>
          <c:val>
            <c:numRef>
              <c:f>'BIMS RCA'!$D$11:$D$13</c:f>
              <c:numCache>
                <c:formatCode>General</c:formatCode>
                <c:ptCount val="3"/>
                <c:pt idx="0">
                  <c:v>0</c:v>
                </c:pt>
                <c:pt idx="1">
                  <c:v>0</c:v>
                </c:pt>
                <c:pt idx="2">
                  <c:v>0</c:v>
                </c:pt>
              </c:numCache>
            </c:numRef>
          </c:val>
          <c:extLst>
            <c:ext xmlns:c16="http://schemas.microsoft.com/office/drawing/2014/chart" uri="{C3380CC4-5D6E-409C-BE32-E72D297353CC}">
              <c16:uniqueId val="{00000000-5377-465B-A1E1-9E2EA6968117}"/>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accent3"/>
      </a:solidFill>
      <a:round/>
    </a:ln>
    <a:effectLst/>
  </c:spPr>
  <c:txPr>
    <a:bodyPr/>
    <a:lstStyle/>
    <a:p>
      <a:pPr>
        <a:defRPr/>
      </a:pPr>
      <a:endParaRPr lang="en-US"/>
    </a:p>
  </c:txPr>
  <c:printSettings>
    <c:headerFooter/>
    <c:pageMargins b="0.75" l="0.7" r="0.7" t="0.75" header="0.3" footer="0.3"/>
    <c:pageSetup/>
  </c:printSettings>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'BIMS RCA'!$B$23</c:f>
          <c:strCache>
            <c:ptCount val="1"/>
            <c:pt idx="0">
              <c:v>Fall Circumstances</c:v>
            </c:pt>
          </c:strCache>
        </c:strRef>
      </c:tx>
      <c:layout>
        <c:manualLayout>
          <c:xMode val="edge"/>
          <c:yMode val="edge"/>
          <c:x val="0.24525542495882549"/>
          <c:y val="2.138342860126174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'BIMS RCA'!$D$24</c:f>
              <c:strCache>
                <c:ptCount val="1"/>
                <c:pt idx="0">
                  <c:v>Total</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0FAA-4098-82FC-ABDC501A290C}"/>
              </c:ext>
            </c:extLst>
          </c:dPt>
          <c:dPt>
            <c:idx val="1"/>
            <c:bubble3D val="0"/>
            <c:spPr>
              <a:solidFill>
                <a:schemeClr val="accent3"/>
              </a:solidFill>
              <a:ln w="19050">
                <a:solidFill>
                  <a:schemeClr val="lt1"/>
                </a:solidFill>
              </a:ln>
              <a:effectLst/>
            </c:spPr>
            <c:extLst>
              <c:ext xmlns:c16="http://schemas.microsoft.com/office/drawing/2014/chart" uri="{C3380CC4-5D6E-409C-BE32-E72D297353CC}">
                <c16:uniqueId val="{00000003-0FAA-4098-82FC-ABDC501A290C}"/>
              </c:ext>
            </c:extLst>
          </c:dPt>
          <c:dPt>
            <c:idx val="2"/>
            <c:bubble3D val="0"/>
            <c:spPr>
              <a:solidFill>
                <a:schemeClr val="accent5"/>
              </a:solidFill>
              <a:ln w="19050">
                <a:solidFill>
                  <a:schemeClr val="lt1"/>
                </a:solidFill>
              </a:ln>
              <a:effectLst/>
            </c:spPr>
            <c:extLst>
              <c:ext xmlns:c16="http://schemas.microsoft.com/office/drawing/2014/chart" uri="{C3380CC4-5D6E-409C-BE32-E72D297353CC}">
                <c16:uniqueId val="{00000005-0FAA-4098-82FC-ABDC501A290C}"/>
              </c:ext>
            </c:extLst>
          </c:dPt>
          <c:cat>
            <c:strRef>
              <c:f>'BIMS RCA'!$B$25:$B$27</c:f>
              <c:strCache>
                <c:ptCount val="3"/>
                <c:pt idx="0">
                  <c:v>Overwhelming Force</c:v>
                </c:pt>
                <c:pt idx="1">
                  <c:v>Intercepted</c:v>
                </c:pt>
                <c:pt idx="2">
                  <c:v>N/A</c:v>
                </c:pt>
              </c:strCache>
            </c:strRef>
          </c:cat>
          <c:val>
            <c:numRef>
              <c:f>'BIMS RCA'!$D$25:$D$27</c:f>
              <c:numCache>
                <c:formatCode>General</c:formatCode>
                <c:ptCount val="3"/>
                <c:pt idx="0">
                  <c:v>0</c:v>
                </c:pt>
                <c:pt idx="1">
                  <c:v>0</c:v>
                </c:pt>
                <c:pt idx="2">
                  <c:v>0</c:v>
                </c:pt>
              </c:numCache>
            </c:numRef>
          </c:val>
          <c:extLst>
            <c:ext xmlns:c16="http://schemas.microsoft.com/office/drawing/2014/chart" uri="{C3380CC4-5D6E-409C-BE32-E72D297353CC}">
              <c16:uniqueId val="{00000002-3568-41A0-9E6F-D71D8B0AA76E}"/>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58660216025207235"/>
          <c:y val="0.29263951189708526"/>
          <c:w val="0.38685877420862563"/>
          <c:h val="0.6484874481976229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'BIMS RCA'!$B$36</c:f>
          <c:strCache>
            <c:ptCount val="1"/>
            <c:pt idx="0">
              <c:v>Witnessed Falls</c:v>
            </c:pt>
          </c:strCache>
        </c:strRef>
      </c:tx>
      <c:layout>
        <c:manualLayout>
          <c:xMode val="edge"/>
          <c:yMode val="edge"/>
          <c:x val="0.27164191261607012"/>
          <c:y val="2.866021385998961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2"/>
          <c:order val="0"/>
          <c:tx>
            <c:strRef>
              <c:f>'BIMS RCA'!$C$37</c:f>
              <c:strCache>
                <c:ptCount val="1"/>
                <c:pt idx="0">
                  <c:v>Total</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A62D-4EC7-8667-B472516A6614}"/>
              </c:ext>
            </c:extLst>
          </c:dPt>
          <c:dPt>
            <c:idx val="1"/>
            <c:bubble3D val="0"/>
            <c:spPr>
              <a:solidFill>
                <a:schemeClr val="accent3"/>
              </a:solidFill>
              <a:ln w="19050">
                <a:solidFill>
                  <a:schemeClr val="lt1"/>
                </a:solidFill>
              </a:ln>
              <a:effectLst/>
            </c:spPr>
            <c:extLst>
              <c:ext xmlns:c16="http://schemas.microsoft.com/office/drawing/2014/chart" uri="{C3380CC4-5D6E-409C-BE32-E72D297353CC}">
                <c16:uniqueId val="{00000003-1F47-4B15-8008-7657A48FAC0C}"/>
              </c:ext>
            </c:extLst>
          </c:dPt>
          <c:cat>
            <c:strRef>
              <c:f>'BIMS RCA'!$B$38:$B$39</c:f>
              <c:strCache>
                <c:ptCount val="2"/>
                <c:pt idx="0">
                  <c:v>Yes</c:v>
                </c:pt>
                <c:pt idx="1">
                  <c:v>No</c:v>
                </c:pt>
              </c:strCache>
            </c:strRef>
          </c:cat>
          <c:val>
            <c:numRef>
              <c:f>'BIMS RCA'!$C$38:$C$39</c:f>
              <c:numCache>
                <c:formatCode>General</c:formatCode>
                <c:ptCount val="2"/>
                <c:pt idx="0">
                  <c:v>0</c:v>
                </c:pt>
                <c:pt idx="1">
                  <c:v>0</c:v>
                </c:pt>
              </c:numCache>
            </c:numRef>
          </c:val>
          <c:extLst>
            <c:ext xmlns:c16="http://schemas.microsoft.com/office/drawing/2014/chart" uri="{C3380CC4-5D6E-409C-BE32-E72D297353CC}">
              <c16:uniqueId val="{00000004-A62D-4EC7-8667-B472516A6614}"/>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7687617878755918"/>
          <c:y val="0.42430276761559388"/>
          <c:w val="0.15907714806122183"/>
          <c:h val="0.3456116873488042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portrait"/>
  </c:printSettings>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'BIMS RCA'!$B$71</c:f>
          <c:strCache>
            <c:ptCount val="1"/>
            <c:pt idx="0">
              <c:v>Falls by Activity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'BIMS RCA'!$G$72</c:f>
              <c:strCache>
                <c:ptCount val="1"/>
                <c:pt idx="0">
                  <c:v>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'BIMS RCA'!$B$73:$B$96</c:f>
              <c:strCache>
                <c:ptCount val="11"/>
                <c:pt idx="0">
                  <c:v>Ambulating with assistive device (walker, cane, wheelchair)</c:v>
                </c:pt>
                <c:pt idx="1">
                  <c:v>Ambulating with staff assistance</c:v>
                </c:pt>
                <c:pt idx="2">
                  <c:v>Ambulating without assistance or assistive device</c:v>
                </c:pt>
                <c:pt idx="3">
                  <c:v>Changing position (e.g., in bed, chair)</c:v>
                </c:pt>
                <c:pt idx="4">
                  <c:v>Dressing or undressing</c:v>
                </c:pt>
                <c:pt idx="5">
                  <c:v>Other activity</c:v>
                </c:pt>
                <c:pt idx="6">
                  <c:v>Reaching for an item</c:v>
                </c:pt>
                <c:pt idx="7">
                  <c:v>Showering or bathing</c:v>
                </c:pt>
                <c:pt idx="8">
                  <c:v>Toileting</c:v>
                </c:pt>
                <c:pt idx="9">
                  <c:v>Transferring to or from bed, chair, wheelchair, etc.</c:v>
                </c:pt>
                <c:pt idx="10">
                  <c:v>Unknown</c:v>
                </c:pt>
              </c:strCache>
            </c:strRef>
          </c:cat>
          <c:val>
            <c:numRef>
              <c:f>'BIMS RCA'!$G$73:$G$96</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CF4D-4C44-831B-E7F31ED36DC6}"/>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'BIMS RCA'!$B$127</c:f>
          <c:strCache>
            <c:ptCount val="1"/>
            <c:pt idx="0">
              <c:v>Falls by Contributing Factors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4"/>
          <c:order val="0"/>
          <c:tx>
            <c:strRef>
              <c:f>'BIMS RCA'!$G$128</c:f>
              <c:strCache>
                <c:ptCount val="1"/>
                <c:pt idx="0">
                  <c:v>Total</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'BIMS RCA'!$B$129:$B$152</c:f>
              <c:strCache>
                <c:ptCount val="11"/>
                <c:pt idx="0">
                  <c:v>Assisted/caregiver transfer</c:v>
                </c:pt>
                <c:pt idx="1">
                  <c:v>Bowel and bladder (B&amp;B) needs</c:v>
                </c:pt>
                <c:pt idx="2">
                  <c:v>Behavioral or situational</c:v>
                </c:pt>
                <c:pt idx="3">
                  <c:v>Change of condition</c:v>
                </c:pt>
                <c:pt idx="4">
                  <c:v>Environmental factors</c:v>
                </c:pt>
                <c:pt idx="5">
                  <c:v>Equipment malfunction</c:v>
                </c:pt>
                <c:pt idx="6">
                  <c:v>Equipment or assistive device</c:v>
                </c:pt>
                <c:pt idx="7">
                  <c:v>Medication related</c:v>
                </c:pt>
                <c:pt idx="8">
                  <c:v>Process(s) not followed</c:v>
                </c:pt>
                <c:pt idx="9">
                  <c:v>Resident health conditions</c:v>
                </c:pt>
                <c:pt idx="10">
                  <c:v>Staff</c:v>
                </c:pt>
              </c:strCache>
            </c:strRef>
          </c:cat>
          <c:val>
            <c:numRef>
              <c:f>'BIMS RCA'!$G$129:$G$152</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0-6A55-4445-8380-B1EB3D20E431}"/>
            </c:ext>
          </c:extLst>
        </c:ser>
        <c:dLbls>
          <c:showLegendKey val="0"/>
          <c:showVal val="0"/>
          <c:showCatName val="0"/>
          <c:showSerName val="0"/>
          <c:showPercent val="0"/>
          <c:showBubbleSize val="0"/>
        </c:dLbls>
        <c:gapWidth val="182"/>
        <c:axId val="1658854639"/>
        <c:axId val="1658861839"/>
      </c:barChart>
      <c:catAx>
        <c:axId val="16588546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'Loc Hr'!$B$2</c:f>
          <c:strCache>
            <c:ptCount val="1"/>
            <c:pt idx="0">
              <c:v>Number of Falls by Nurses Station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'Loc Hr'!$C$18</c:f>
              <c:strCache>
                <c:ptCount val="1"/>
                <c:pt idx="0">
                  <c:v>Total</c:v>
                </c:pt>
              </c:strCache>
            </c:strRef>
          </c:tx>
          <c:spPr>
            <a:solidFill>
              <a:schemeClr val="accent1"/>
            </a:solidFill>
            <a:ln>
              <a:noFill/>
            </a:ln>
            <a:effectLst/>
          </c:spPr>
          <c:invertIfNegative val="0"/>
          <c:cat>
            <c:strRef>
              <c:f>'Loc Hr'!$B$19:$B$29</c:f>
              <c:strCache>
                <c:ptCount val="5"/>
                <c:pt idx="0">
                  <c:v>1</c:v>
                </c:pt>
                <c:pt idx="1">
                  <c:v>2</c:v>
                </c:pt>
                <c:pt idx="2">
                  <c:v>3</c:v>
                </c:pt>
                <c:pt idx="3">
                  <c:v>4</c:v>
                </c:pt>
                <c:pt idx="4">
                  <c:v>5</c:v>
                </c:pt>
              </c:strCache>
            </c:strRef>
          </c:cat>
          <c:val>
            <c:numRef>
              <c:f>'Loc Hr'!$C$19:$C$29</c:f>
              <c:numCache>
                <c:formatCode>General</c:formatCode>
                <c:ptCount val="11"/>
                <c:pt idx="0">
                  <c:v>0</c:v>
                </c:pt>
                <c:pt idx="1">
                  <c:v>0</c:v>
                </c:pt>
                <c:pt idx="2">
                  <c:v>0</c:v>
                </c:pt>
                <c:pt idx="3">
                  <c:v>0</c:v>
                </c:pt>
                <c:pt idx="4">
                  <c:v>0</c:v>
                </c:pt>
                <c:pt idx="5">
                  <c:v>#N/A</c:v>
                </c:pt>
                <c:pt idx="6">
                  <c:v>#N/A</c:v>
                </c:pt>
                <c:pt idx="7">
                  <c:v>#N/A</c:v>
                </c:pt>
                <c:pt idx="8">
                  <c:v>#N/A</c:v>
                </c:pt>
                <c:pt idx="9">
                  <c:v>#N/A</c:v>
                </c:pt>
                <c:pt idx="10">
                  <c:v>#N/A</c:v>
                </c:pt>
              </c:numCache>
            </c:numRef>
          </c:val>
          <c:extLst>
            <c:ext xmlns:c16="http://schemas.microsoft.com/office/drawing/2014/chart" uri="{C3380CC4-5D6E-409C-BE32-E72D297353CC}">
              <c16:uniqueId val="{00000000-3E60-4161-8098-7B0D8BF1A9F3}"/>
            </c:ext>
          </c:extLst>
        </c:ser>
        <c:dLbls>
          <c:showLegendKey val="0"/>
          <c:showVal val="0"/>
          <c:showCatName val="0"/>
          <c:showSerName val="0"/>
          <c:showPercent val="0"/>
          <c:showBubbleSize val="0"/>
        </c:dLbls>
        <c:gapWidth val="219"/>
        <c:overlap val="-27"/>
        <c:axId val="1226967759"/>
        <c:axId val="1226960559"/>
      </c:barChart>
      <c:catAx>
        <c:axId val="1226967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226960559"/>
        <c:crosses val="autoZero"/>
        <c:auto val="1"/>
        <c:lblAlgn val="ctr"/>
        <c:lblOffset val="100"/>
        <c:noMultiLvlLbl val="0"/>
      </c:catAx>
      <c:valAx>
        <c:axId val="122696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6967759"/>
        <c:crosses val="autoZero"/>
        <c:crossBetween val="between"/>
      </c:valAx>
      <c:spPr>
        <a:noFill/>
        <a:ln>
          <a:noFill/>
        </a:ln>
        <a:effectLst/>
      </c:spPr>
    </c:plotArea>
    <c:plotVisOnly val="1"/>
    <c:dispBlanksAs val="gap"/>
    <c:showDLblsOverMax val="0"/>
  </c:chart>
  <c:spPr>
    <a:noFill/>
    <a:ln w="6350" cap="flat" cmpd="sng" algn="ctr">
      <a:solidFill>
        <a:schemeClr val="tx1"/>
      </a:solidFill>
      <a:round/>
    </a:ln>
    <a:effectLst/>
  </c:spPr>
  <c:txPr>
    <a:bodyPr/>
    <a:lstStyle/>
    <a:p>
      <a:pPr>
        <a:defRPr/>
      </a:pPr>
      <a:endParaRPr lang="en-US"/>
    </a:p>
  </c:txPr>
  <c:printSettings>
    <c:headerFooter/>
    <c:pageMargins b="0.75" l="0.7" r="0.7" t="0.75" header="0.3" footer="0.3"/>
    <c:pageSetup orientation="portrait"/>
  </c:printSettings>
</c:chartSpace>
</file>

<file path=xl/charts/chart1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'Loc Hr'!$B$63</c:f>
          <c:strCache>
            <c:ptCount val="1"/>
            <c:pt idx="0">
              <c:v>Falls by Day of the Week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'Loc Hr'!$C$75</c:f>
              <c:strCache>
                <c:ptCount val="1"/>
                <c:pt idx="0">
                  <c:v>Total</c:v>
                </c:pt>
              </c:strCache>
            </c:strRef>
          </c:tx>
          <c:spPr>
            <a:solidFill>
              <a:schemeClr val="accent1"/>
            </a:solidFill>
            <a:ln>
              <a:noFill/>
            </a:ln>
            <a:effectLst>
              <a:outerShdw blurRad="50800" dist="38100" dir="5400000" algn="t" rotWithShape="0">
                <a:prstClr val="black">
                  <a:alpha val="40000"/>
                </a:prstClr>
              </a:outerShdw>
              <a:softEdge rad="12700"/>
            </a:effectLst>
            <a:scene3d>
              <a:camera prst="orthographicFront"/>
              <a:lightRig rig="threePt" dir="t"/>
            </a:scene3d>
            <a:sp3d prstMaterial="matte"/>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'Loc Hr'!$B$76:$B$82</c:f>
              <c:strCache>
                <c:ptCount val="7"/>
                <c:pt idx="0">
                  <c:v>Sun</c:v>
                </c:pt>
                <c:pt idx="1">
                  <c:v>Mon</c:v>
                </c:pt>
                <c:pt idx="2">
                  <c:v>Tue</c:v>
                </c:pt>
                <c:pt idx="3">
                  <c:v>Wed</c:v>
                </c:pt>
                <c:pt idx="4">
                  <c:v>Thu</c:v>
                </c:pt>
                <c:pt idx="5">
                  <c:v>Fri</c:v>
                </c:pt>
                <c:pt idx="6">
                  <c:v>Sat</c:v>
                </c:pt>
              </c:strCache>
            </c:strRef>
          </c:cat>
          <c:val>
            <c:numRef>
              <c:f>'Loc Hr'!$C$76:$C$82</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1343-4FB6-B96F-00C92E6AA285}"/>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chart>
  <c:spPr>
    <a:noFill/>
    <a:ln w="63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1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'Loc Hr'!$B$94</c:f>
          <c:strCache>
            <c:ptCount val="1"/>
            <c:pt idx="0">
              <c:v>Cumulative Number of 
Falls by Shift</c:v>
            </c:pt>
          </c:strCache>
        </c:strRef>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'Loc Hr'!$C$95</c:f>
              <c:strCache>
                <c:ptCount val="1"/>
                <c:pt idx="0">
                  <c:v>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'Loc Hr'!$B$96:$B$100</c:f>
              <c:strCache>
                <c:ptCount val="4"/>
                <c:pt idx="0">
                  <c:v>11-7</c:v>
                </c:pt>
                <c:pt idx="1">
                  <c:v>11–7</c:v>
                </c:pt>
                <c:pt idx="2">
                  <c:v>7–3</c:v>
                </c:pt>
                <c:pt idx="3">
                  <c:v>3–11</c:v>
                </c:pt>
              </c:strCache>
            </c:strRef>
          </c:cat>
          <c:val>
            <c:numRef>
              <c:f>'Loc Hr'!$C$96:$C$100</c:f>
              <c:numCache>
                <c:formatCode>General</c:formatCode>
                <c:ptCount val="5"/>
                <c:pt idx="0">
                  <c:v>0</c:v>
                </c:pt>
                <c:pt idx="1">
                  <c:v>0</c:v>
                </c:pt>
                <c:pt idx="2">
                  <c:v>0</c:v>
                </c:pt>
                <c:pt idx="3">
                  <c:v>0</c:v>
                </c:pt>
                <c:pt idx="4">
                  <c:v>#N/A</c:v>
                </c:pt>
              </c:numCache>
            </c:numRef>
          </c:val>
          <c:extLst>
            <c:ext xmlns:c16="http://schemas.microsoft.com/office/drawing/2014/chart" uri="{C3380CC4-5D6E-409C-BE32-E72D297353CC}">
              <c16:uniqueId val="{00000000-32FA-454E-9084-A2E6A929C47D}"/>
            </c:ext>
          </c:extLst>
        </c:ser>
        <c:dLbls>
          <c:showLegendKey val="0"/>
          <c:showVal val="0"/>
          <c:showCatName val="0"/>
          <c:showSerName val="0"/>
          <c:showPercent val="0"/>
          <c:showBubbleSize val="0"/>
        </c:dLbls>
        <c:gapWidth val="219"/>
        <c:axId val="789078271"/>
        <c:axId val="789056671"/>
      </c:barChart>
      <c:catAx>
        <c:axId val="78907827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789056671"/>
        <c:crosses val="autoZero"/>
        <c:auto val="1"/>
        <c:lblAlgn val="ctr"/>
        <c:lblOffset val="100"/>
        <c:noMultiLvlLbl val="0"/>
      </c:catAx>
      <c:valAx>
        <c:axId val="789056671"/>
        <c:scaling>
          <c:orientation val="minMax"/>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7890782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317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1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'Loc Hr'!$B$104</c:f>
          <c:strCache>
            <c:ptCount val="1"/>
            <c:pt idx="0">
              <c:v>Number of Falls by Hour </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a:softEdge rad="12700"/>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'Loc Hr'!$B$134:$B$157</c:f>
              <c:strCache>
                <c:ptCount val="24"/>
                <c:pt idx="0">
                  <c:v>23:00–24:00</c:v>
                </c:pt>
                <c:pt idx="1">
                  <c:v>24:00–01:00</c:v>
                </c:pt>
                <c:pt idx="2">
                  <c:v>01:00–02:00</c:v>
                </c:pt>
                <c:pt idx="3">
                  <c:v>02:00–03:00</c:v>
                </c:pt>
                <c:pt idx="4">
                  <c:v>03:00–04:00</c:v>
                </c:pt>
                <c:pt idx="5">
                  <c:v>04:00–05:00</c:v>
                </c:pt>
                <c:pt idx="6">
                  <c:v>05:00–06:00</c:v>
                </c:pt>
                <c:pt idx="7">
                  <c:v>06:00–07:00</c:v>
                </c:pt>
                <c:pt idx="8">
                  <c:v>07:00–08:00</c:v>
                </c:pt>
                <c:pt idx="9">
                  <c:v>08:00–09:00</c:v>
                </c:pt>
                <c:pt idx="10">
                  <c:v>09:00–10:00</c:v>
                </c:pt>
                <c:pt idx="11">
                  <c:v>10:00–11:00</c:v>
                </c:pt>
                <c:pt idx="12">
                  <c:v>11:00–12:00</c:v>
                </c:pt>
                <c:pt idx="13">
                  <c:v>12:00–13:00</c:v>
                </c:pt>
                <c:pt idx="14">
                  <c:v>13:00–14:00</c:v>
                </c:pt>
                <c:pt idx="15">
                  <c:v>14:00–15:00</c:v>
                </c:pt>
                <c:pt idx="16">
                  <c:v>15:00–16:00</c:v>
                </c:pt>
                <c:pt idx="17">
                  <c:v>16:00–17:00</c:v>
                </c:pt>
                <c:pt idx="18">
                  <c:v>17:00–18:00</c:v>
                </c:pt>
                <c:pt idx="19">
                  <c:v>18:00–19:00</c:v>
                </c:pt>
                <c:pt idx="20">
                  <c:v>19:00–20:00</c:v>
                </c:pt>
                <c:pt idx="21">
                  <c:v>20:00–21:00</c:v>
                </c:pt>
                <c:pt idx="22">
                  <c:v>21:00–22:00</c:v>
                </c:pt>
                <c:pt idx="23">
                  <c:v>22:00–23:00</c:v>
                </c:pt>
              </c:strCache>
            </c:strRef>
          </c:cat>
          <c:val>
            <c:numRef>
              <c:f>'Loc Hr'!$C$134:$C$157</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0-724C-4096-8435-6A999FFE3A26}"/>
            </c:ext>
          </c:extLst>
        </c:ser>
        <c:dLbls>
          <c:showLegendKey val="0"/>
          <c:showVal val="0"/>
          <c:showCatName val="0"/>
          <c:showSerName val="0"/>
          <c:showPercent val="0"/>
          <c:showBubbleSize val="0"/>
        </c:dLbls>
        <c:gapWidth val="182"/>
        <c:axId val="1658854639"/>
        <c:axId val="1658861839"/>
      </c:barChart>
      <c:catAx>
        <c:axId val="165885463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58861839"/>
        <c:crosses val="autoZero"/>
        <c:auto val="1"/>
        <c:lblAlgn val="ctr"/>
        <c:lblOffset val="100"/>
        <c:noMultiLvlLbl val="0"/>
      </c:catAx>
      <c:valAx>
        <c:axId val="1658861839"/>
        <c:scaling>
          <c:orientation val="minMax"/>
        </c:scaling>
        <c:delete val="1"/>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8854639"/>
        <c:crosses val="autoZero"/>
        <c:crossBetween val="between"/>
      </c:valAx>
      <c:spPr>
        <a:noFill/>
        <a:ln>
          <a:noFill/>
        </a:ln>
        <a:effectLst/>
      </c:spPr>
    </c:plotArea>
    <c:plotVisOnly val="1"/>
    <c:dispBlanksAs val="gap"/>
    <c:showDLblsOverMax val="0"/>
  </c:chart>
  <c:spPr>
    <a:solidFill>
      <a:schemeClr val="bg1"/>
    </a:solidFill>
    <a:ln w="317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1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'Loc Hr'!$B$33</c:f>
          <c:strCache>
            <c:ptCount val="1"/>
            <c:pt idx="0">
              <c:v>Location of Falls by Month </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'Loc Hr'!$C$49</c:f>
              <c:strCache>
                <c:ptCount val="1"/>
                <c:pt idx="0">
                  <c:v>Total</c:v>
                </c:pt>
              </c:strCache>
            </c:strRef>
          </c:tx>
          <c:spPr>
            <a:solidFill>
              <a:schemeClr val="accent1"/>
            </a:solidFill>
            <a:ln>
              <a:noFill/>
            </a:ln>
            <a:effectLst>
              <a:outerShdw blurRad="50800" dist="38100" dir="3600000" algn="t" rotWithShape="0">
                <a:prstClr val="black">
                  <a:alpha val="40000"/>
                </a:prstClr>
              </a:outerShdw>
              <a:softEdge rad="12700"/>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'Loc Hr'!$B$50:$B$60</c:f>
              <c:strCache>
                <c:ptCount val="7"/>
                <c:pt idx="0">
                  <c:v>Activity Room</c:v>
                </c:pt>
                <c:pt idx="1">
                  <c:v>Bedroom</c:v>
                </c:pt>
                <c:pt idx="2">
                  <c:v>Bathroom</c:v>
                </c:pt>
                <c:pt idx="3">
                  <c:v>Hallway</c:v>
                </c:pt>
                <c:pt idx="4">
                  <c:v>Offsite</c:v>
                </c:pt>
                <c:pt idx="5">
                  <c:v>Shower Room</c:v>
                </c:pt>
                <c:pt idx="6">
                  <c:v>Dining Room</c:v>
                </c:pt>
              </c:strCache>
            </c:strRef>
          </c:cat>
          <c:val>
            <c:numRef>
              <c:f>'Loc Hr'!$C$50:$C$60</c:f>
              <c:numCache>
                <c:formatCode>General</c:formatCode>
                <c:ptCount val="11"/>
                <c:pt idx="0">
                  <c:v>0</c:v>
                </c:pt>
                <c:pt idx="1">
                  <c:v>0</c:v>
                </c:pt>
                <c:pt idx="2">
                  <c:v>0</c:v>
                </c:pt>
                <c:pt idx="3">
                  <c:v>0</c:v>
                </c:pt>
                <c:pt idx="4">
                  <c:v>0</c:v>
                </c:pt>
                <c:pt idx="5">
                  <c:v>0</c:v>
                </c:pt>
                <c:pt idx="6">
                  <c:v>0</c:v>
                </c:pt>
                <c:pt idx="7">
                  <c:v>#N/A</c:v>
                </c:pt>
                <c:pt idx="8">
                  <c:v>#N/A</c:v>
                </c:pt>
                <c:pt idx="9">
                  <c:v>#N/A</c:v>
                </c:pt>
                <c:pt idx="10">
                  <c:v>#N/A</c:v>
                </c:pt>
              </c:numCache>
            </c:numRef>
          </c:val>
          <c:extLst>
            <c:ext xmlns:c16="http://schemas.microsoft.com/office/drawing/2014/chart" uri="{C3380CC4-5D6E-409C-BE32-E72D297353CC}">
              <c16:uniqueId val="{00000000-9A97-4A37-83DD-3EAE91C878E5}"/>
            </c:ext>
          </c:extLst>
        </c:ser>
        <c:dLbls>
          <c:showLegendKey val="0"/>
          <c:showVal val="0"/>
          <c:showCatName val="0"/>
          <c:showSerName val="0"/>
          <c:showPercent val="0"/>
          <c:showBubbleSize val="0"/>
        </c:dLbls>
        <c:gapWidth val="219"/>
        <c:overlap val="-27"/>
        <c:axId val="1569634943"/>
        <c:axId val="1590853103"/>
      </c:barChart>
      <c:catAx>
        <c:axId val="1569634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1590853103"/>
        <c:crosses val="autoZero"/>
        <c:auto val="1"/>
        <c:lblAlgn val="ctr"/>
        <c:lblOffset val="100"/>
        <c:noMultiLvlLbl val="0"/>
      </c:catAx>
      <c:valAx>
        <c:axId val="15908531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963494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317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6">
  <a:schemeClr val="accent3"/>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withinLinear" id="16">
  <a:schemeClr val="accent3"/>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withinLinear" id="16">
  <a:schemeClr val="accent3"/>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withinLinear" id="16">
  <a:schemeClr val="accent3"/>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withinLinear" id="16">
  <a:schemeClr val="accent3"/>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withinLinear" id="16">
  <a:schemeClr val="accent3"/>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withinLinear" id="16">
  <a:schemeClr val="accent3"/>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withinLinear" id="16">
  <a:schemeClr val="accent3"/>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withinLinear" id="16">
  <a:schemeClr val="accent3"/>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withinLinear" id="16">
  <a:schemeClr val="accent3"/>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withinLinear" id="16">
  <a:schemeClr val="accent3"/>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withinLinear" id="16">
  <a:schemeClr val="accent3"/>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withinLinear" id="16">
  <a:schemeClr val="accent3"/>
</cs:colorStyle>
</file>

<file path=xl/charts/colors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7.xml><?xml version="1.0" encoding="utf-8"?>
<cs:colorStyle xmlns:cs="http://schemas.microsoft.com/office/drawing/2012/chartStyle" xmlns:a="http://schemas.openxmlformats.org/drawingml/2006/main" meth="withinLinear" id="16">
  <a:schemeClr val="accent3"/>
</cs:colorStyle>
</file>

<file path=xl/charts/colors6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1.xml><?xml version="1.0" encoding="utf-8"?>
<cs:colorStyle xmlns:cs="http://schemas.microsoft.com/office/drawing/2012/chartStyle" xmlns:a="http://schemas.openxmlformats.org/drawingml/2006/main" meth="withinLinear" id="16">
  <a:schemeClr val="accent3"/>
</cs:colorStyle>
</file>

<file path=xl/charts/colors7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7.xml><?xml version="1.0" encoding="utf-8"?>
<cs:colorStyle xmlns:cs="http://schemas.microsoft.com/office/drawing/2012/chartStyle" xmlns:a="http://schemas.openxmlformats.org/drawingml/2006/main" meth="withinLinear" id="16">
  <a:schemeClr val="accent3"/>
</cs:colorStyle>
</file>

<file path=xl/charts/colors7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1.xml><?xml version="1.0" encoding="utf-8"?>
<cs:colorStyle xmlns:cs="http://schemas.microsoft.com/office/drawing/2012/chartStyle" xmlns:a="http://schemas.openxmlformats.org/drawingml/2006/main" meth="withinLinear" id="16">
  <a:schemeClr val="accent3"/>
</cs:colorStyle>
</file>

<file path=xl/charts/colors8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7.xml><?xml version="1.0" encoding="utf-8"?>
<cs:colorStyle xmlns:cs="http://schemas.microsoft.com/office/drawing/2012/chartStyle" xmlns:a="http://schemas.openxmlformats.org/drawingml/2006/main" meth="withinLinear" id="16">
  <a:schemeClr val="accent3"/>
</cs:colorStyle>
</file>

<file path=xl/charts/colors8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1.xml><?xml version="1.0" encoding="utf-8"?>
<cs:colorStyle xmlns:cs="http://schemas.microsoft.com/office/drawing/2012/chartStyle" xmlns:a="http://schemas.openxmlformats.org/drawingml/2006/main" meth="withinLinear" id="16">
  <a:schemeClr val="accent3"/>
</cs:colorStyle>
</file>

<file path=xl/charts/colors9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7.xml><?xml version="1.0" encoding="utf-8"?>
<cs:colorStyle xmlns:cs="http://schemas.microsoft.com/office/drawing/2012/chartStyle" xmlns:a="http://schemas.openxmlformats.org/drawingml/2006/main" meth="withinLinear" id="16">
  <a:schemeClr val="accent3"/>
</cs:colorStyle>
</file>

<file path=xl/charts/colors9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1.xml><?xml version="1.0" encoding="utf-8"?>
<cs:colorStyle xmlns:cs="http://schemas.microsoft.com/office/drawing/2012/chartStyle" xmlns:a="http://schemas.openxmlformats.org/drawingml/2006/main" meth="withinLinear" id="16">
  <a:schemeClr val="accent3"/>
</cs:colorStyle>
</file>

<file path=xl/charts/colors10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7.xml><?xml version="1.0" encoding="utf-8"?>
<cs:colorStyle xmlns:cs="http://schemas.microsoft.com/office/drawing/2012/chartStyle" xmlns:a="http://schemas.openxmlformats.org/drawingml/2006/main" meth="withinLinear" id="16">
  <a:schemeClr val="accent3"/>
</cs:colorStyle>
</file>

<file path=xl/charts/colors10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1.xml><?xml version="1.0" encoding="utf-8"?>
<cs:colorStyle xmlns:cs="http://schemas.microsoft.com/office/drawing/2012/chartStyle" xmlns:a="http://schemas.openxmlformats.org/drawingml/2006/main" meth="withinLinear" id="16">
  <a:schemeClr val="accent3"/>
</cs:colorStyle>
</file>

<file path=xl/charts/colors1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7.xml><?xml version="1.0" encoding="utf-8"?>
<cs:colorStyle xmlns:cs="http://schemas.microsoft.com/office/drawing/2012/chartStyle" xmlns:a="http://schemas.openxmlformats.org/drawingml/2006/main" meth="withinLinear" id="16">
  <a:schemeClr val="accent3"/>
</cs:colorStyle>
</file>

<file path=xl/charts/colors1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5.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6.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3.xml.rels><?xml version="1.0" encoding="UTF-8" standalone="yes"?>
<Relationships xmlns="http://schemas.openxmlformats.org/package/2006/relationships"><Relationship Id="rId8" Type="http://schemas.openxmlformats.org/officeDocument/2006/relationships/chart" Target="../charts/chart18.xml"/><Relationship Id="rId3" Type="http://schemas.openxmlformats.org/officeDocument/2006/relationships/chart" Target="../charts/chart13.xml"/><Relationship Id="rId7" Type="http://schemas.openxmlformats.org/officeDocument/2006/relationships/chart" Target="../charts/chart17.xml"/><Relationship Id="rId2" Type="http://schemas.openxmlformats.org/officeDocument/2006/relationships/chart" Target="../charts/chart12.xml"/><Relationship Id="rId1" Type="http://schemas.openxmlformats.org/officeDocument/2006/relationships/chart" Target="../charts/chart11.xml"/><Relationship Id="rId6" Type="http://schemas.openxmlformats.org/officeDocument/2006/relationships/chart" Target="../charts/chart16.xml"/><Relationship Id="rId5" Type="http://schemas.openxmlformats.org/officeDocument/2006/relationships/chart" Target="../charts/chart15.xml"/><Relationship Id="rId10" Type="http://schemas.openxmlformats.org/officeDocument/2006/relationships/chart" Target="../charts/chart20.xml"/><Relationship Id="rId4" Type="http://schemas.openxmlformats.org/officeDocument/2006/relationships/chart" Target="../charts/chart14.xml"/><Relationship Id="rId9" Type="http://schemas.openxmlformats.org/officeDocument/2006/relationships/chart" Target="../charts/chart19.xml"/></Relationships>
</file>

<file path=xl/drawings/_rels/drawing4.xml.rels><?xml version="1.0" encoding="UTF-8" standalone="yes"?>
<Relationships xmlns="http://schemas.openxmlformats.org/package/2006/relationships"><Relationship Id="rId8" Type="http://schemas.openxmlformats.org/officeDocument/2006/relationships/chart" Target="../charts/chart28.xml"/><Relationship Id="rId3" Type="http://schemas.openxmlformats.org/officeDocument/2006/relationships/chart" Target="../charts/chart23.xml"/><Relationship Id="rId7" Type="http://schemas.openxmlformats.org/officeDocument/2006/relationships/chart" Target="../charts/chart27.xml"/><Relationship Id="rId2" Type="http://schemas.openxmlformats.org/officeDocument/2006/relationships/chart" Target="../charts/chart22.xml"/><Relationship Id="rId1" Type="http://schemas.openxmlformats.org/officeDocument/2006/relationships/chart" Target="../charts/chart21.xml"/><Relationship Id="rId6" Type="http://schemas.openxmlformats.org/officeDocument/2006/relationships/chart" Target="../charts/chart26.xml"/><Relationship Id="rId5" Type="http://schemas.openxmlformats.org/officeDocument/2006/relationships/chart" Target="../charts/chart25.xml"/><Relationship Id="rId10" Type="http://schemas.openxmlformats.org/officeDocument/2006/relationships/chart" Target="../charts/chart30.xml"/><Relationship Id="rId4" Type="http://schemas.openxmlformats.org/officeDocument/2006/relationships/chart" Target="../charts/chart24.xml"/><Relationship Id="rId9" Type="http://schemas.openxmlformats.org/officeDocument/2006/relationships/chart" Target="../charts/chart29.xml"/></Relationships>
</file>

<file path=xl/drawings/_rels/drawing5.xml.rels><?xml version="1.0" encoding="UTF-8" standalone="yes"?>
<Relationships xmlns="http://schemas.openxmlformats.org/package/2006/relationships"><Relationship Id="rId8" Type="http://schemas.openxmlformats.org/officeDocument/2006/relationships/chart" Target="../charts/chart38.xml"/><Relationship Id="rId3" Type="http://schemas.openxmlformats.org/officeDocument/2006/relationships/chart" Target="../charts/chart33.xml"/><Relationship Id="rId7" Type="http://schemas.openxmlformats.org/officeDocument/2006/relationships/chart" Target="../charts/chart37.xml"/><Relationship Id="rId2" Type="http://schemas.openxmlformats.org/officeDocument/2006/relationships/chart" Target="../charts/chart32.xml"/><Relationship Id="rId1" Type="http://schemas.openxmlformats.org/officeDocument/2006/relationships/chart" Target="../charts/chart31.xml"/><Relationship Id="rId6" Type="http://schemas.openxmlformats.org/officeDocument/2006/relationships/chart" Target="../charts/chart36.xml"/><Relationship Id="rId5" Type="http://schemas.openxmlformats.org/officeDocument/2006/relationships/chart" Target="../charts/chart35.xml"/><Relationship Id="rId10" Type="http://schemas.openxmlformats.org/officeDocument/2006/relationships/chart" Target="../charts/chart40.xml"/><Relationship Id="rId4" Type="http://schemas.openxmlformats.org/officeDocument/2006/relationships/chart" Target="../charts/chart34.xml"/><Relationship Id="rId9" Type="http://schemas.openxmlformats.org/officeDocument/2006/relationships/chart" Target="../charts/chart39.xml"/></Relationships>
</file>

<file path=xl/drawings/_rels/drawing6.xml.rels><?xml version="1.0" encoding="UTF-8" standalone="yes"?>
<Relationships xmlns="http://schemas.openxmlformats.org/package/2006/relationships"><Relationship Id="rId8" Type="http://schemas.openxmlformats.org/officeDocument/2006/relationships/chart" Target="../charts/chart48.xml"/><Relationship Id="rId3" Type="http://schemas.openxmlformats.org/officeDocument/2006/relationships/chart" Target="../charts/chart43.xml"/><Relationship Id="rId7" Type="http://schemas.openxmlformats.org/officeDocument/2006/relationships/chart" Target="../charts/chart47.xml"/><Relationship Id="rId2" Type="http://schemas.openxmlformats.org/officeDocument/2006/relationships/chart" Target="../charts/chart42.xml"/><Relationship Id="rId1" Type="http://schemas.openxmlformats.org/officeDocument/2006/relationships/chart" Target="../charts/chart41.xml"/><Relationship Id="rId6" Type="http://schemas.openxmlformats.org/officeDocument/2006/relationships/chart" Target="../charts/chart46.xml"/><Relationship Id="rId5" Type="http://schemas.openxmlformats.org/officeDocument/2006/relationships/chart" Target="../charts/chart45.xml"/><Relationship Id="rId10" Type="http://schemas.openxmlformats.org/officeDocument/2006/relationships/chart" Target="../charts/chart50.xml"/><Relationship Id="rId4" Type="http://schemas.openxmlformats.org/officeDocument/2006/relationships/chart" Target="../charts/chart44.xml"/><Relationship Id="rId9" Type="http://schemas.openxmlformats.org/officeDocument/2006/relationships/chart" Target="../charts/chart49.xml"/></Relationships>
</file>

<file path=xl/drawings/_rels/drawing7.xml.rels><?xml version="1.0" encoding="UTF-8" standalone="yes"?>
<Relationships xmlns="http://schemas.openxmlformats.org/package/2006/relationships"><Relationship Id="rId8" Type="http://schemas.openxmlformats.org/officeDocument/2006/relationships/chart" Target="../charts/chart58.xml"/><Relationship Id="rId3" Type="http://schemas.openxmlformats.org/officeDocument/2006/relationships/chart" Target="../charts/chart53.xml"/><Relationship Id="rId7" Type="http://schemas.openxmlformats.org/officeDocument/2006/relationships/chart" Target="../charts/chart57.xml"/><Relationship Id="rId2" Type="http://schemas.openxmlformats.org/officeDocument/2006/relationships/chart" Target="../charts/chart52.xml"/><Relationship Id="rId1" Type="http://schemas.openxmlformats.org/officeDocument/2006/relationships/chart" Target="../charts/chart51.xml"/><Relationship Id="rId6" Type="http://schemas.openxmlformats.org/officeDocument/2006/relationships/chart" Target="../charts/chart56.xml"/><Relationship Id="rId5" Type="http://schemas.openxmlformats.org/officeDocument/2006/relationships/chart" Target="../charts/chart55.xml"/><Relationship Id="rId10" Type="http://schemas.openxmlformats.org/officeDocument/2006/relationships/chart" Target="../charts/chart60.xml"/><Relationship Id="rId4" Type="http://schemas.openxmlformats.org/officeDocument/2006/relationships/chart" Target="../charts/chart54.xml"/><Relationship Id="rId9" Type="http://schemas.openxmlformats.org/officeDocument/2006/relationships/chart" Target="../charts/chart59.xml"/></Relationships>
</file>

<file path=xl/drawings/_rels/drawing8.xml.rels><?xml version="1.0" encoding="UTF-8" standalone="yes"?>
<Relationships xmlns="http://schemas.openxmlformats.org/package/2006/relationships"><Relationship Id="rId8" Type="http://schemas.openxmlformats.org/officeDocument/2006/relationships/chart" Target="../charts/chart68.xml"/><Relationship Id="rId3" Type="http://schemas.openxmlformats.org/officeDocument/2006/relationships/chart" Target="../charts/chart63.xml"/><Relationship Id="rId7" Type="http://schemas.openxmlformats.org/officeDocument/2006/relationships/chart" Target="../charts/chart67.xml"/><Relationship Id="rId2" Type="http://schemas.openxmlformats.org/officeDocument/2006/relationships/chart" Target="../charts/chart62.xml"/><Relationship Id="rId1" Type="http://schemas.openxmlformats.org/officeDocument/2006/relationships/chart" Target="../charts/chart61.xml"/><Relationship Id="rId6" Type="http://schemas.openxmlformats.org/officeDocument/2006/relationships/chart" Target="../charts/chart66.xml"/><Relationship Id="rId5" Type="http://schemas.openxmlformats.org/officeDocument/2006/relationships/chart" Target="../charts/chart65.xml"/><Relationship Id="rId10" Type="http://schemas.openxmlformats.org/officeDocument/2006/relationships/chart" Target="../charts/chart70.xml"/><Relationship Id="rId4" Type="http://schemas.openxmlformats.org/officeDocument/2006/relationships/chart" Target="../charts/chart64.xml"/><Relationship Id="rId9" Type="http://schemas.openxmlformats.org/officeDocument/2006/relationships/chart" Target="../charts/chart69.xml"/></Relationships>
</file>

<file path=xl/drawings/_rels/drawing9.xml.rels><?xml version="1.0" encoding="UTF-8" standalone="yes"?>
<Relationships xmlns="http://schemas.openxmlformats.org/package/2006/relationships"><Relationship Id="rId8" Type="http://schemas.openxmlformats.org/officeDocument/2006/relationships/chart" Target="../charts/chart78.xml"/><Relationship Id="rId3" Type="http://schemas.openxmlformats.org/officeDocument/2006/relationships/chart" Target="../charts/chart73.xml"/><Relationship Id="rId7" Type="http://schemas.openxmlformats.org/officeDocument/2006/relationships/chart" Target="../charts/chart77.xml"/><Relationship Id="rId2" Type="http://schemas.openxmlformats.org/officeDocument/2006/relationships/chart" Target="../charts/chart72.xml"/><Relationship Id="rId1" Type="http://schemas.openxmlformats.org/officeDocument/2006/relationships/chart" Target="../charts/chart71.xml"/><Relationship Id="rId6" Type="http://schemas.openxmlformats.org/officeDocument/2006/relationships/chart" Target="../charts/chart76.xml"/><Relationship Id="rId5" Type="http://schemas.openxmlformats.org/officeDocument/2006/relationships/chart" Target="../charts/chart75.xml"/><Relationship Id="rId10" Type="http://schemas.openxmlformats.org/officeDocument/2006/relationships/chart" Target="../charts/chart80.xml"/><Relationship Id="rId4" Type="http://schemas.openxmlformats.org/officeDocument/2006/relationships/chart" Target="../charts/chart74.xml"/><Relationship Id="rId9" Type="http://schemas.openxmlformats.org/officeDocument/2006/relationships/chart" Target="../charts/chart79.xml"/></Relationships>
</file>

<file path=xl/drawings/_rels/drawing10.xml.rels><?xml version="1.0" encoding="UTF-8" standalone="yes"?>
<Relationships xmlns="http://schemas.openxmlformats.org/package/2006/relationships"><Relationship Id="rId8" Type="http://schemas.openxmlformats.org/officeDocument/2006/relationships/chart" Target="../charts/chart88.xml"/><Relationship Id="rId3" Type="http://schemas.openxmlformats.org/officeDocument/2006/relationships/chart" Target="../charts/chart83.xml"/><Relationship Id="rId7" Type="http://schemas.openxmlformats.org/officeDocument/2006/relationships/chart" Target="../charts/chart87.xml"/><Relationship Id="rId2" Type="http://schemas.openxmlformats.org/officeDocument/2006/relationships/chart" Target="../charts/chart82.xml"/><Relationship Id="rId1" Type="http://schemas.openxmlformats.org/officeDocument/2006/relationships/chart" Target="../charts/chart81.xml"/><Relationship Id="rId6" Type="http://schemas.openxmlformats.org/officeDocument/2006/relationships/chart" Target="../charts/chart86.xml"/><Relationship Id="rId5" Type="http://schemas.openxmlformats.org/officeDocument/2006/relationships/chart" Target="../charts/chart85.xml"/><Relationship Id="rId10" Type="http://schemas.openxmlformats.org/officeDocument/2006/relationships/chart" Target="../charts/chart90.xml"/><Relationship Id="rId4" Type="http://schemas.openxmlformats.org/officeDocument/2006/relationships/chart" Target="../charts/chart84.xml"/><Relationship Id="rId9" Type="http://schemas.openxmlformats.org/officeDocument/2006/relationships/chart" Target="../charts/chart89.xml"/></Relationships>
</file>

<file path=xl/drawings/_rels/drawing11.xml.rels><?xml version="1.0" encoding="UTF-8" standalone="yes"?>
<Relationships xmlns="http://schemas.openxmlformats.org/package/2006/relationships"><Relationship Id="rId8" Type="http://schemas.openxmlformats.org/officeDocument/2006/relationships/chart" Target="../charts/chart98.xml"/><Relationship Id="rId3" Type="http://schemas.openxmlformats.org/officeDocument/2006/relationships/chart" Target="../charts/chart93.xml"/><Relationship Id="rId7" Type="http://schemas.openxmlformats.org/officeDocument/2006/relationships/chart" Target="../charts/chart97.xml"/><Relationship Id="rId2" Type="http://schemas.openxmlformats.org/officeDocument/2006/relationships/chart" Target="../charts/chart92.xml"/><Relationship Id="rId1" Type="http://schemas.openxmlformats.org/officeDocument/2006/relationships/chart" Target="../charts/chart91.xml"/><Relationship Id="rId6" Type="http://schemas.openxmlformats.org/officeDocument/2006/relationships/chart" Target="../charts/chart96.xml"/><Relationship Id="rId5" Type="http://schemas.openxmlformats.org/officeDocument/2006/relationships/chart" Target="../charts/chart95.xml"/><Relationship Id="rId10" Type="http://schemas.openxmlformats.org/officeDocument/2006/relationships/chart" Target="../charts/chart100.xml"/><Relationship Id="rId4" Type="http://schemas.openxmlformats.org/officeDocument/2006/relationships/chart" Target="../charts/chart94.xml"/><Relationship Id="rId9" Type="http://schemas.openxmlformats.org/officeDocument/2006/relationships/chart" Target="../charts/chart99.xml"/></Relationships>
</file>

<file path=xl/drawings/_rels/drawing12.xml.rels><?xml version="1.0" encoding="UTF-8" standalone="yes"?>
<Relationships xmlns="http://schemas.openxmlformats.org/package/2006/relationships"><Relationship Id="rId8" Type="http://schemas.openxmlformats.org/officeDocument/2006/relationships/chart" Target="../charts/chart108.xml"/><Relationship Id="rId3" Type="http://schemas.openxmlformats.org/officeDocument/2006/relationships/chart" Target="../charts/chart103.xml"/><Relationship Id="rId7" Type="http://schemas.openxmlformats.org/officeDocument/2006/relationships/chart" Target="../charts/chart107.xml"/><Relationship Id="rId2" Type="http://schemas.openxmlformats.org/officeDocument/2006/relationships/chart" Target="../charts/chart102.xml"/><Relationship Id="rId1" Type="http://schemas.openxmlformats.org/officeDocument/2006/relationships/chart" Target="../charts/chart101.xml"/><Relationship Id="rId6" Type="http://schemas.openxmlformats.org/officeDocument/2006/relationships/chart" Target="../charts/chart106.xml"/><Relationship Id="rId5" Type="http://schemas.openxmlformats.org/officeDocument/2006/relationships/chart" Target="../charts/chart105.xml"/><Relationship Id="rId10" Type="http://schemas.openxmlformats.org/officeDocument/2006/relationships/chart" Target="../charts/chart110.xml"/><Relationship Id="rId4" Type="http://schemas.openxmlformats.org/officeDocument/2006/relationships/chart" Target="../charts/chart104.xml"/><Relationship Id="rId9" Type="http://schemas.openxmlformats.org/officeDocument/2006/relationships/chart" Target="../charts/chart109.xml"/></Relationships>
</file>

<file path=xl/drawings/_rels/drawing13.xml.rels><?xml version="1.0" encoding="UTF-8" standalone="yes"?>
<Relationships xmlns="http://schemas.openxmlformats.org/package/2006/relationships"><Relationship Id="rId8" Type="http://schemas.openxmlformats.org/officeDocument/2006/relationships/chart" Target="../charts/chart118.xml"/><Relationship Id="rId3" Type="http://schemas.openxmlformats.org/officeDocument/2006/relationships/chart" Target="../charts/chart113.xml"/><Relationship Id="rId7" Type="http://schemas.openxmlformats.org/officeDocument/2006/relationships/chart" Target="../charts/chart117.xml"/><Relationship Id="rId2" Type="http://schemas.openxmlformats.org/officeDocument/2006/relationships/chart" Target="../charts/chart112.xml"/><Relationship Id="rId1" Type="http://schemas.openxmlformats.org/officeDocument/2006/relationships/chart" Target="../charts/chart111.xml"/><Relationship Id="rId6" Type="http://schemas.openxmlformats.org/officeDocument/2006/relationships/chart" Target="../charts/chart116.xml"/><Relationship Id="rId5" Type="http://schemas.openxmlformats.org/officeDocument/2006/relationships/chart" Target="../charts/chart115.xml"/><Relationship Id="rId10" Type="http://schemas.openxmlformats.org/officeDocument/2006/relationships/chart" Target="../charts/chart120.xml"/><Relationship Id="rId4" Type="http://schemas.openxmlformats.org/officeDocument/2006/relationships/chart" Target="../charts/chart114.xml"/><Relationship Id="rId9" Type="http://schemas.openxmlformats.org/officeDocument/2006/relationships/chart" Target="../charts/chart119.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123.xml"/><Relationship Id="rId2" Type="http://schemas.openxmlformats.org/officeDocument/2006/relationships/chart" Target="../charts/chart122.xml"/><Relationship Id="rId1" Type="http://schemas.openxmlformats.org/officeDocument/2006/relationships/chart" Target="../charts/chart121.xml"/></Relationships>
</file>

<file path=xl/drawings/_rels/drawing15.xml.rels><?xml version="1.0" encoding="UTF-8" standalone="yes"?>
<Relationships xmlns="http://schemas.openxmlformats.org/package/2006/relationships"><Relationship Id="rId3" Type="http://schemas.openxmlformats.org/officeDocument/2006/relationships/chart" Target="../charts/chart126.xml"/><Relationship Id="rId2" Type="http://schemas.openxmlformats.org/officeDocument/2006/relationships/chart" Target="../charts/chart125.xml"/><Relationship Id="rId1" Type="http://schemas.openxmlformats.org/officeDocument/2006/relationships/chart" Target="../charts/chart124.xml"/><Relationship Id="rId5" Type="http://schemas.openxmlformats.org/officeDocument/2006/relationships/chart" Target="../charts/chart128.xml"/><Relationship Id="rId4" Type="http://schemas.openxmlformats.org/officeDocument/2006/relationships/chart" Target="../charts/chart127.xml"/></Relationships>
</file>

<file path=xl/drawings/_rels/drawing16.xml.rels><?xml version="1.0" encoding="UTF-8" standalone="yes"?>
<Relationships xmlns="http://schemas.openxmlformats.org/package/2006/relationships"><Relationship Id="rId3" Type="http://schemas.openxmlformats.org/officeDocument/2006/relationships/chart" Target="../charts/chart131.xml"/><Relationship Id="rId2" Type="http://schemas.openxmlformats.org/officeDocument/2006/relationships/chart" Target="../charts/chart130.xml"/><Relationship Id="rId1" Type="http://schemas.openxmlformats.org/officeDocument/2006/relationships/chart" Target="../charts/chart129.xml"/><Relationship Id="rId5" Type="http://schemas.openxmlformats.org/officeDocument/2006/relationships/chart" Target="../charts/chart133.xml"/><Relationship Id="rId4" Type="http://schemas.openxmlformats.org/officeDocument/2006/relationships/chart" Target="../charts/chart132.xml"/></Relationships>
</file>

<file path=xl/drawings/_rels/drawing1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absolute">
    <xdr:from>
      <xdr:col>17</xdr:col>
      <xdr:colOff>4026</xdr:colOff>
      <xdr:row>2</xdr:row>
      <xdr:rowOff>47502</xdr:rowOff>
    </xdr:from>
    <xdr:to>
      <xdr:col>26</xdr:col>
      <xdr:colOff>965200</xdr:colOff>
      <xdr:row>28</xdr:row>
      <xdr:rowOff>15903</xdr:rowOff>
    </xdr:to>
    <xdr:sp macro="" textlink="">
      <xdr:nvSpPr>
        <xdr:cNvPr id="241" name="TextBox 16">
          <a:extLst>
            <a:ext uri="{FF2B5EF4-FFF2-40B4-BE49-F238E27FC236}">
              <a16:creationId xmlns:a16="http://schemas.microsoft.com/office/drawing/2014/main" id="{1110B108-F58F-4B12-B77D-BE394C11C5C7}"/>
            </a:ext>
          </a:extLst>
        </xdr:cNvPr>
        <xdr:cNvSpPr txBox="1">
          <a:spLocks noChangeAspect="1"/>
        </xdr:cNvSpPr>
      </xdr:nvSpPr>
      <xdr:spPr>
        <a:xfrm>
          <a:off x="9630626" y="384052"/>
          <a:ext cx="6447574" cy="4959501"/>
        </a:xfrm>
        <a:prstGeom prst="rect">
          <a:avLst/>
        </a:prstGeom>
        <a:noFill/>
        <a:ln w="190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t>Graphs:</a:t>
          </a:r>
        </a:p>
        <a:p>
          <a:r>
            <a:rPr lang="en-US" sz="1100"/>
            <a:t>1. There are four</a:t>
          </a:r>
          <a:r>
            <a:rPr lang="en-US" sz="1100" baseline="0"/>
            <a:t> consolidated graph tabs.</a:t>
          </a:r>
          <a:endParaRPr lang="en-US" sz="1100" baseline="0">
            <a:solidFill>
              <a:sysClr val="windowText" lastClr="000000"/>
            </a:solidFill>
          </a:endParaRPr>
        </a:p>
        <a:p>
          <a:pPr marL="457200" lvl="1" indent="-171450">
            <a:buFont typeface="Arial" panose="020B0604020202020204" pitchFamily="34" charset="0"/>
            <a:buChar char="•"/>
          </a:pPr>
          <a:r>
            <a:rPr lang="en-US" sz="1100" b="1">
              <a:solidFill>
                <a:sysClr val="windowText" lastClr="000000"/>
              </a:solidFill>
            </a:rPr>
            <a:t>Falls: </a:t>
          </a:r>
          <a:r>
            <a:rPr lang="en-US" sz="1100" b="0">
              <a:solidFill>
                <a:sysClr val="windowText" lastClr="000000"/>
              </a:solidFill>
            </a:rPr>
            <a:t>These graphs capture</a:t>
          </a:r>
          <a:r>
            <a:rPr lang="en-US" sz="1100" b="0" baseline="0">
              <a:solidFill>
                <a:sysClr val="windowText" lastClr="000000"/>
              </a:solidFill>
            </a:rPr>
            <a:t> </a:t>
          </a:r>
          <a:r>
            <a:rPr lang="en-US" sz="1100" b="0">
              <a:solidFill>
                <a:sysClr val="windowText" lastClr="000000"/>
              </a:solidFill>
            </a:rPr>
            <a:t>the number and types of fall</a:t>
          </a:r>
          <a:r>
            <a:rPr lang="en-US" sz="1100" b="0" baseline="0">
              <a:solidFill>
                <a:sysClr val="windowText" lastClr="000000"/>
              </a:solidFill>
            </a:rPr>
            <a:t>s by month and year. The first graph totals all falls and the second graph separates them out by type. A falls rate graph is also included </a:t>
          </a:r>
          <a:r>
            <a:rPr lang="en-US" sz="1100" b="0" i="1" baseline="0">
              <a:solidFill>
                <a:sysClr val="windowText" lastClr="000000"/>
              </a:solidFill>
            </a:rPr>
            <a:t>(fall rate is further explained in the Fall Rate section). </a:t>
          </a:r>
          <a:r>
            <a:rPr lang="en-US" sz="1100" b="0" baseline="0">
              <a:solidFill>
                <a:sysClr val="windowText" lastClr="000000"/>
              </a:solidFill>
            </a:rPr>
            <a:t>The goal for both graphs can be edited for your facility.</a:t>
          </a:r>
        </a:p>
        <a:p>
          <a:pPr marL="457200" lvl="1" indent="-171450">
            <a:buFont typeface="Arial" panose="020B0604020202020204" pitchFamily="34" charset="0"/>
            <a:buChar char="•"/>
          </a:pPr>
          <a:endParaRPr lang="en-US" sz="1100" b="1">
            <a:solidFill>
              <a:sysClr val="windowText" lastClr="000000"/>
            </a:solidFill>
          </a:endParaRPr>
        </a:p>
        <a:p>
          <a:pPr marL="457200" lvl="1" indent="-171450">
            <a:buFont typeface="Arial" panose="020B0604020202020204" pitchFamily="34" charset="0"/>
            <a:buChar char="•"/>
          </a:pPr>
          <a:r>
            <a:rPr lang="en-US" sz="1100" b="1">
              <a:solidFill>
                <a:sysClr val="windowText" lastClr="000000"/>
              </a:solidFill>
            </a:rPr>
            <a:t>BIMS RCA: </a:t>
          </a:r>
          <a:r>
            <a:rPr lang="en-US" sz="1100" b="0">
              <a:solidFill>
                <a:sysClr val="windowText" lastClr="000000"/>
              </a:solidFill>
            </a:rPr>
            <a:t>Graphs in this tab</a:t>
          </a:r>
          <a:r>
            <a:rPr lang="en-US" sz="1100" b="0" baseline="0">
              <a:solidFill>
                <a:sysClr val="windowText" lastClr="000000"/>
              </a:solidFill>
            </a:rPr>
            <a:t> </a:t>
          </a:r>
          <a:r>
            <a:rPr lang="en-US" sz="1100" b="0">
              <a:solidFill>
                <a:sysClr val="windowText" lastClr="000000"/>
              </a:solidFill>
            </a:rPr>
            <a:t>total monthly Falls by the BIMS score, fall circumstances, witnessed falls, activity “What was the resident doing prior to fall?,” and contributing factors. </a:t>
          </a:r>
          <a:r>
            <a:rPr lang="en-US" sz="1100" b="0" i="1">
              <a:solidFill>
                <a:sysClr val="windowText" lastClr="000000"/>
              </a:solidFill>
            </a:rPr>
            <a:t>Activity and contributing factors will update based on the entries in the “Data Validation Tab.”</a:t>
          </a:r>
        </a:p>
        <a:p>
          <a:pPr marL="457200" lvl="1" indent="-171450">
            <a:buFont typeface="Arial" panose="020B0604020202020204" pitchFamily="34" charset="0"/>
            <a:buChar char="•"/>
          </a:pPr>
          <a:endParaRPr lang="en-US" sz="1100" b="1">
            <a:solidFill>
              <a:sysClr val="windowText" lastClr="000000"/>
            </a:solidFill>
          </a:endParaRPr>
        </a:p>
        <a:p>
          <a:pPr marL="457200" lvl="1" indent="-171450">
            <a:buFont typeface="Arial" panose="020B0604020202020204" pitchFamily="34" charset="0"/>
            <a:buChar char="•"/>
          </a:pPr>
          <a:r>
            <a:rPr lang="en-US" sz="1100" b="1">
              <a:solidFill>
                <a:sysClr val="windowText" lastClr="000000"/>
              </a:solidFill>
            </a:rPr>
            <a:t>Loc Hr: </a:t>
          </a:r>
          <a:r>
            <a:rPr lang="en-US" sz="1100" b="0">
              <a:solidFill>
                <a:sysClr val="windowText" lastClr="000000"/>
              </a:solidFill>
            </a:rPr>
            <a:t>The graphs on this tab total monthly falls by nurses station, location of falls, falls by days of the week, falls by shift, and falls per hour.</a:t>
          </a:r>
        </a:p>
        <a:p>
          <a:pPr marL="457200" lvl="1" indent="-171450">
            <a:buFont typeface="Arial" panose="020B0604020202020204" pitchFamily="34" charset="0"/>
            <a:buChar char="•"/>
          </a:pPr>
          <a:endParaRPr lang="en-US" sz="1100" b="1">
            <a:solidFill>
              <a:sysClr val="windowText" lastClr="000000"/>
            </a:solidFill>
          </a:endParaRPr>
        </a:p>
        <a:p>
          <a:pPr marL="457200" lvl="1" indent="-171450">
            <a:buFont typeface="Arial" panose="020B0604020202020204" pitchFamily="34" charset="0"/>
            <a:buChar char="•"/>
          </a:pPr>
          <a:r>
            <a:rPr lang="en-US" sz="1100" b="1">
              <a:solidFill>
                <a:sysClr val="windowText" lastClr="000000"/>
              </a:solidFill>
            </a:rPr>
            <a:t>Resident: </a:t>
          </a:r>
          <a:r>
            <a:rPr lang="en-US" sz="1100" b="0">
              <a:solidFill>
                <a:sysClr val="windowText" lastClr="000000"/>
              </a:solidFill>
            </a:rPr>
            <a:t>This table consolidates resident falls across all months to</a:t>
          </a:r>
          <a:r>
            <a:rPr lang="en-US" sz="1100" b="0" baseline="0">
              <a:solidFill>
                <a:sysClr val="windowText" lastClr="000000"/>
              </a:solidFill>
            </a:rPr>
            <a:t> show fall trends by resident.</a:t>
          </a:r>
          <a:endParaRPr lang="en-US" sz="1100" b="0">
            <a:solidFill>
              <a:sysClr val="windowText" lastClr="000000"/>
            </a:solidFill>
          </a:endParaRPr>
        </a:p>
        <a:p>
          <a:endParaRPr lang="en-US" sz="1100"/>
        </a:p>
        <a:p>
          <a:r>
            <a:rPr lang="en-US" sz="1100" b="1">
              <a:solidFill>
                <a:schemeClr val="tx1"/>
              </a:solidFill>
              <a:effectLst/>
              <a:latin typeface="+mn-lt"/>
              <a:ea typeface="+mn-ea"/>
              <a:cs typeface="+mn-cs"/>
            </a:rPr>
            <a:t>Fall Rate and Census:</a:t>
          </a:r>
        </a:p>
        <a:p>
          <a:pPr marL="228600" lvl="0" indent="-228600">
            <a:buFont typeface="+mj-lt"/>
            <a:buAutoNum type="arabicPeriod"/>
          </a:pPr>
          <a:r>
            <a:rPr lang="en-US" sz="1100">
              <a:solidFill>
                <a:schemeClr val="tx1"/>
              </a:solidFill>
              <a:effectLst/>
              <a:latin typeface="+mn-lt"/>
              <a:ea typeface="+mn-ea"/>
              <a:cs typeface="+mn-cs"/>
            </a:rPr>
            <a:t>Enter daily census numbers for each month. The</a:t>
          </a:r>
          <a:r>
            <a:rPr lang="en-US" sz="1100" baseline="0">
              <a:solidFill>
                <a:schemeClr val="tx1"/>
              </a:solidFill>
              <a:effectLst/>
              <a:latin typeface="+mn-lt"/>
              <a:ea typeface="+mn-ea"/>
              <a:cs typeface="+mn-cs"/>
            </a:rPr>
            <a:t> f</a:t>
          </a:r>
          <a:r>
            <a:rPr lang="en-US" sz="1100">
              <a:solidFill>
                <a:schemeClr val="tx1"/>
              </a:solidFill>
              <a:effectLst/>
              <a:latin typeface="+mn-lt"/>
              <a:ea typeface="+mn-ea"/>
              <a:cs typeface="+mn-cs"/>
            </a:rPr>
            <a:t>alls total will automatically populate based on the data entry each month. The</a:t>
          </a:r>
          <a:r>
            <a:rPr lang="en-US" sz="1100" baseline="0">
              <a:solidFill>
                <a:schemeClr val="tx1"/>
              </a:solidFill>
              <a:effectLst/>
              <a:latin typeface="+mn-lt"/>
              <a:ea typeface="+mn-ea"/>
              <a:cs typeface="+mn-cs"/>
            </a:rPr>
            <a:t> f</a:t>
          </a:r>
          <a:r>
            <a:rPr lang="en-US" sz="1100">
              <a:solidFill>
                <a:schemeClr val="tx1"/>
              </a:solidFill>
              <a:effectLst/>
              <a:latin typeface="+mn-lt"/>
              <a:ea typeface="+mn-ea"/>
              <a:cs typeface="+mn-cs"/>
            </a:rPr>
            <a:t>alls rate is calculated by dividing the number of falls in a month by the total resident days in the month multiplied by 1,000.</a:t>
          </a:r>
        </a:p>
        <a:p>
          <a:pPr marL="228600" lvl="0" indent="-228600">
            <a:buFont typeface="+mj-lt"/>
            <a:buAutoNum type="arabicPeriod"/>
          </a:pPr>
          <a:r>
            <a:rPr lang="en-US" sz="1100">
              <a:solidFill>
                <a:schemeClr val="tx1"/>
              </a:solidFill>
              <a:effectLst/>
              <a:latin typeface="+mn-lt"/>
              <a:ea typeface="+mn-ea"/>
              <a:cs typeface="+mn-cs"/>
            </a:rPr>
            <a:t>The</a:t>
          </a:r>
          <a:r>
            <a:rPr lang="en-US" sz="1100" baseline="0">
              <a:solidFill>
                <a:schemeClr val="tx1"/>
              </a:solidFill>
              <a:effectLst/>
              <a:latin typeface="+mn-lt"/>
              <a:ea typeface="+mn-ea"/>
              <a:cs typeface="+mn-cs"/>
            </a:rPr>
            <a:t> f</a:t>
          </a:r>
          <a:r>
            <a:rPr lang="en-US" sz="1100">
              <a:solidFill>
                <a:schemeClr val="tx1"/>
              </a:solidFill>
              <a:effectLst/>
              <a:latin typeface="+mn-lt"/>
              <a:ea typeface="+mn-ea"/>
              <a:cs typeface="+mn-cs"/>
            </a:rPr>
            <a:t>alls rate will be different from the</a:t>
          </a:r>
          <a:r>
            <a:rPr lang="en-US" sz="1100" baseline="0">
              <a:solidFill>
                <a:schemeClr val="tx1"/>
              </a:solidFill>
              <a:effectLst/>
              <a:latin typeface="+mn-lt"/>
              <a:ea typeface="+mn-ea"/>
              <a:cs typeface="+mn-cs"/>
            </a:rPr>
            <a:t> public reported iQIES data.</a:t>
          </a:r>
          <a:endParaRPr lang="en-US" sz="1100"/>
        </a:p>
        <a:p>
          <a:endParaRPr lang="en-US" sz="1100"/>
        </a:p>
        <a:p>
          <a:endParaRPr lang="en-US" sz="1100"/>
        </a:p>
        <a:p>
          <a:endParaRPr lang="en-US" sz="1100"/>
        </a:p>
        <a:p>
          <a:endParaRPr lang="en-US" sz="1100"/>
        </a:p>
        <a:p>
          <a:endParaRPr lang="en-US" sz="1100"/>
        </a:p>
        <a:p>
          <a:endParaRPr lang="en-US" sz="1100"/>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chemeClr val="tx1"/>
              </a:solidFill>
              <a:effectLst/>
              <a:latin typeface="+mn-lt"/>
              <a:ea typeface="+mn-ea"/>
              <a:cs typeface="+mn-cs"/>
            </a:rPr>
            <a:t>Example: </a:t>
          </a:r>
          <a:r>
            <a:rPr lang="en-US" sz="1100">
              <a:solidFill>
                <a:schemeClr val="tx1"/>
              </a:solidFill>
              <a:effectLst/>
              <a:latin typeface="+mn-lt"/>
              <a:ea typeface="+mn-ea"/>
              <a:cs typeface="+mn-cs"/>
            </a:rPr>
            <a:t>See the "Example" tab</a:t>
          </a:r>
          <a:r>
            <a:rPr lang="en-US" sz="1100" baseline="0">
              <a:solidFill>
                <a:schemeClr val="tx1"/>
              </a:solidFill>
              <a:effectLst/>
              <a:latin typeface="+mn-lt"/>
              <a:ea typeface="+mn-ea"/>
              <a:cs typeface="+mn-cs"/>
            </a:rPr>
            <a:t> for additional context based on the provided directions above.</a:t>
          </a:r>
          <a:endParaRPr lang="en-US">
            <a:effectLst/>
          </a:endParaRPr>
        </a:p>
      </xdr:txBody>
    </xdr:sp>
    <xdr:clientData/>
  </xdr:twoCellAnchor>
  <xdr:twoCellAnchor editAs="absolute">
    <xdr:from>
      <xdr:col>6</xdr:col>
      <xdr:colOff>117502</xdr:colOff>
      <xdr:row>2</xdr:row>
      <xdr:rowOff>40031</xdr:rowOff>
    </xdr:from>
    <xdr:to>
      <xdr:col>16</xdr:col>
      <xdr:colOff>477077</xdr:colOff>
      <xdr:row>19</xdr:row>
      <xdr:rowOff>65481</xdr:rowOff>
    </xdr:to>
    <xdr:sp macro="" textlink="">
      <xdr:nvSpPr>
        <xdr:cNvPr id="149" name="TextBox 3">
          <a:extLst>
            <a:ext uri="{FF2B5EF4-FFF2-40B4-BE49-F238E27FC236}">
              <a16:creationId xmlns:a16="http://schemas.microsoft.com/office/drawing/2014/main" id="{C6D513CF-73D7-F3FC-07EF-8878EC3E5343}"/>
            </a:ext>
          </a:extLst>
        </xdr:cNvPr>
        <xdr:cNvSpPr txBox="1">
          <a:spLocks noChangeAspect="1"/>
        </xdr:cNvSpPr>
      </xdr:nvSpPr>
      <xdr:spPr>
        <a:xfrm>
          <a:off x="3195124" y="367438"/>
          <a:ext cx="6720619" cy="3234035"/>
        </a:xfrm>
        <a:prstGeom prst="rect">
          <a:avLst/>
        </a:prstGeom>
        <a:noFill/>
        <a:ln w="190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t>Data Validation Tab:</a:t>
          </a:r>
        </a:p>
        <a:p>
          <a:pPr marL="228600" indent="-228600">
            <a:buFont typeface="+mj-lt"/>
            <a:buAutoNum type="arabicPeriod"/>
          </a:pPr>
          <a:r>
            <a:rPr lang="en-US" sz="1100"/>
            <a:t>All fields that are not gray can be edited</a:t>
          </a:r>
        </a:p>
        <a:p>
          <a:pPr marL="457200" lvl="1" indent="-171450">
            <a:buFont typeface="Arial" panose="020B0604020202020204" pitchFamily="34" charset="0"/>
            <a:buChar char="•"/>
          </a:pPr>
          <a:r>
            <a:rPr lang="en-US" sz="1100"/>
            <a:t>Enter the</a:t>
          </a:r>
          <a:r>
            <a:rPr lang="en-US" sz="1100" baseline="0"/>
            <a:t> f</a:t>
          </a:r>
          <a:r>
            <a:rPr lang="en-US" sz="1100"/>
            <a:t>acility name into the “Facility Name” field. The</a:t>
          </a:r>
          <a:r>
            <a:rPr lang="en-US" sz="1100" baseline="0"/>
            <a:t> f</a:t>
          </a:r>
          <a:r>
            <a:rPr lang="en-US" sz="1100"/>
            <a:t>acility name will automatically populate across the months</a:t>
          </a:r>
          <a:r>
            <a:rPr lang="en-US" sz="1100" baseline="0"/>
            <a:t> and</a:t>
          </a:r>
          <a:r>
            <a:rPr lang="en-US" sz="1100"/>
            <a:t> graph charts.</a:t>
          </a:r>
        </a:p>
        <a:p>
          <a:pPr marL="457200" lvl="1" indent="-171450">
            <a:buFont typeface="Arial" panose="020B0604020202020204" pitchFamily="34" charset="0"/>
            <a:buChar char="•"/>
          </a:pPr>
          <a:r>
            <a:rPr lang="en-US" sz="1100"/>
            <a:t>Enter the year into the</a:t>
          </a:r>
          <a:r>
            <a:rPr lang="en-US" sz="1100" baseline="0"/>
            <a:t> </a:t>
          </a:r>
          <a:r>
            <a:rPr lang="en-US" sz="1100"/>
            <a:t>“Year” field. The year will automatically populate across months, graph charts, and census.</a:t>
          </a:r>
        </a:p>
        <a:p>
          <a:pPr marL="457200" lvl="1" indent="-171450">
            <a:buFont typeface="Arial" panose="020B0604020202020204" pitchFamily="34" charset="0"/>
            <a:buChar char="•"/>
          </a:pPr>
          <a:r>
            <a:rPr lang="en-US" sz="1100"/>
            <a:t>Location, nurses stations, contributing factors, and shifts: All of</a:t>
          </a:r>
          <a:r>
            <a:rPr lang="en-US" sz="1100" baseline="0"/>
            <a:t> </a:t>
          </a:r>
          <a:r>
            <a:rPr lang="en-US" sz="1100"/>
            <a:t>these fields can be customized to your facility needs;</a:t>
          </a:r>
          <a:r>
            <a:rPr lang="en-US" sz="1100" baseline="0"/>
            <a:t> </a:t>
          </a:r>
          <a:r>
            <a:rPr lang="en-US" sz="1100"/>
            <a:t>you can keep what is in these fields or edit them. All items added in this location will become drop-down options in the months tabs and populate across graphs.</a:t>
          </a:r>
        </a:p>
        <a:p>
          <a:pPr marL="457200" lvl="1" indent="-171450">
            <a:buFont typeface="Arial" panose="020B0604020202020204" pitchFamily="34" charset="0"/>
            <a:buChar char="•"/>
          </a:pPr>
          <a:r>
            <a:rPr lang="en-US" sz="1100"/>
            <a:t>Items in gray can not be modified.</a:t>
          </a:r>
        </a:p>
        <a:p>
          <a:pPr marL="228600" lvl="0" indent="-228600">
            <a:buFont typeface="+mj-lt"/>
            <a:buAutoNum type="arabicPeriod" startAt="2"/>
          </a:pPr>
          <a:r>
            <a:rPr lang="en-US" sz="1100"/>
            <a:t>Contributing Factors: Using the drop-down,</a:t>
          </a:r>
          <a:r>
            <a:rPr lang="en-US" sz="1100" baseline="0"/>
            <a:t> choose the option that describes the what factors contributed to the fall.</a:t>
          </a:r>
          <a:r>
            <a:rPr lang="en-US" sz="1100"/>
            <a:t> </a:t>
          </a:r>
        </a:p>
        <a:p>
          <a:endParaRPr lang="en-US" sz="1100">
            <a:solidFill>
              <a:srgbClr val="FF0000"/>
            </a:solidFill>
          </a:endParaRPr>
        </a:p>
        <a:p>
          <a:endParaRPr lang="en-US" sz="1100">
            <a:solidFill>
              <a:srgbClr val="FF0000"/>
            </a:solidFill>
          </a:endParaRPr>
        </a:p>
        <a:p>
          <a:endParaRPr lang="en-US" sz="1100">
            <a:solidFill>
              <a:srgbClr val="FF0000"/>
            </a:solidFill>
          </a:endParaRPr>
        </a:p>
        <a:p>
          <a:endParaRPr lang="en-US" sz="1100">
            <a:solidFill>
              <a:srgbClr val="FF0000"/>
            </a:solidFill>
          </a:endParaRPr>
        </a:p>
        <a:p>
          <a:endParaRPr lang="en-US" sz="1100">
            <a:solidFill>
              <a:srgbClr val="FF0000"/>
            </a:solidFill>
          </a:endParaRPr>
        </a:p>
        <a:p>
          <a:endParaRPr lang="en-US" sz="1100">
            <a:solidFill>
              <a:srgbClr val="FF0000"/>
            </a:solidFill>
          </a:endParaRPr>
        </a:p>
        <a:p>
          <a:pPr eaLnBrk="1" fontAlgn="auto" latinLnBrk="0" hangingPunct="1"/>
          <a:r>
            <a:rPr lang="en-US" sz="1100" b="1">
              <a:solidFill>
                <a:schemeClr val="tx1"/>
              </a:solidFill>
              <a:effectLst/>
              <a:latin typeface="+mn-lt"/>
              <a:ea typeface="+mn-ea"/>
              <a:cs typeface="+mn-cs"/>
            </a:rPr>
            <a:t>Example: </a:t>
          </a:r>
          <a:r>
            <a:rPr lang="en-US" sz="1100">
              <a:solidFill>
                <a:schemeClr val="tx1"/>
              </a:solidFill>
              <a:effectLst/>
              <a:latin typeface="+mn-lt"/>
              <a:ea typeface="+mn-ea"/>
              <a:cs typeface="+mn-cs"/>
            </a:rPr>
            <a:t>See the "Example" tab</a:t>
          </a:r>
          <a:r>
            <a:rPr lang="en-US" sz="1100" baseline="0">
              <a:solidFill>
                <a:schemeClr val="tx1"/>
              </a:solidFill>
              <a:effectLst/>
              <a:latin typeface="+mn-lt"/>
              <a:ea typeface="+mn-ea"/>
              <a:cs typeface="+mn-cs"/>
            </a:rPr>
            <a:t> for additional context based on the provided directions above.</a:t>
          </a:r>
          <a:endParaRPr lang="en-US">
            <a:effectLst/>
          </a:endParaRPr>
        </a:p>
      </xdr:txBody>
    </xdr:sp>
    <xdr:clientData/>
  </xdr:twoCellAnchor>
  <xdr:twoCellAnchor editAs="absolute">
    <xdr:from>
      <xdr:col>6</xdr:col>
      <xdr:colOff>115822</xdr:colOff>
      <xdr:row>20</xdr:row>
      <xdr:rowOff>25820</xdr:rowOff>
    </xdr:from>
    <xdr:to>
      <xdr:col>16</xdr:col>
      <xdr:colOff>484473</xdr:colOff>
      <xdr:row>47</xdr:row>
      <xdr:rowOff>66675</xdr:rowOff>
    </xdr:to>
    <xdr:sp macro="" textlink="">
      <xdr:nvSpPr>
        <xdr:cNvPr id="5" name="TextBox 4">
          <a:extLst>
            <a:ext uri="{FF2B5EF4-FFF2-40B4-BE49-F238E27FC236}">
              <a16:creationId xmlns:a16="http://schemas.microsoft.com/office/drawing/2014/main" id="{B62F0434-AD7E-A58C-36EC-9C295DEFC622}"/>
            </a:ext>
          </a:extLst>
        </xdr:cNvPr>
        <xdr:cNvSpPr txBox="1">
          <a:spLocks noChangeAspect="1"/>
        </xdr:cNvSpPr>
      </xdr:nvSpPr>
      <xdr:spPr>
        <a:xfrm>
          <a:off x="3030472" y="3816770"/>
          <a:ext cx="6464651" cy="5622505"/>
        </a:xfrm>
        <a:prstGeom prst="rect">
          <a:avLst/>
        </a:prstGeom>
        <a:noFill/>
        <a:ln w="190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chemeClr val="tx1"/>
              </a:solidFill>
              <a:effectLst/>
              <a:latin typeface="+mn-lt"/>
              <a:ea typeface="+mn-ea"/>
              <a:cs typeface="+mn-cs"/>
            </a:rPr>
            <a:t>January</a:t>
          </a:r>
          <a:r>
            <a:rPr lang="en-US" sz="1100" b="1">
              <a:solidFill>
                <a:schemeClr val="tx1"/>
              </a:solidFill>
              <a:effectLst/>
              <a:latin typeface="+mn-lt"/>
              <a:ea typeface="+mn-ea"/>
              <a:cs typeface="+mn-cs"/>
              <a:sym typeface="Symbol" panose="05050102010706020507" pitchFamily="18" charset="2"/>
            </a:rPr>
            <a:t></a:t>
          </a:r>
          <a:r>
            <a:rPr lang="en-US" sz="1100" b="1">
              <a:solidFill>
                <a:schemeClr val="tx1"/>
              </a:solidFill>
              <a:effectLst/>
              <a:latin typeface="+mn-lt"/>
              <a:ea typeface="+mn-ea"/>
              <a:cs typeface="+mn-cs"/>
            </a:rPr>
            <a:t>December Tabs:</a:t>
          </a:r>
        </a:p>
        <a:p>
          <a:pPr marL="228600" lvl="0" indent="-228600">
            <a:buFont typeface="+mj-lt"/>
            <a:buAutoNum type="arabicPeriod"/>
          </a:pPr>
          <a:r>
            <a:rPr lang="en-US" sz="1100">
              <a:solidFill>
                <a:schemeClr val="tx1"/>
              </a:solidFill>
              <a:effectLst/>
              <a:latin typeface="+mn-lt"/>
              <a:ea typeface="+mn-ea"/>
              <a:cs typeface="+mn-cs"/>
            </a:rPr>
            <a:t>Enter the resident room number.</a:t>
          </a:r>
        </a:p>
        <a:p>
          <a:pPr marL="228600" lvl="0" indent="-228600">
            <a:buFont typeface="+mj-lt"/>
            <a:buAutoNum type="arabicPeriod"/>
          </a:pPr>
          <a:r>
            <a:rPr lang="en-US" sz="1100">
              <a:solidFill>
                <a:schemeClr val="tx1"/>
              </a:solidFill>
              <a:effectLst/>
              <a:latin typeface="+mn-lt"/>
              <a:ea typeface="+mn-ea"/>
              <a:cs typeface="+mn-cs"/>
            </a:rPr>
            <a:t>Enter the resident name. Once the name is entered into the “Resident Name” field, all other fields will turn red until information is added. This is to ensure the integrity of your data and your reports by highlighting missing information.</a:t>
          </a:r>
        </a:p>
        <a:p>
          <a:pPr marL="228600" lvl="0" indent="-228600">
            <a:buFont typeface="+mj-lt"/>
            <a:buAutoNum type="arabicPeriod"/>
          </a:pPr>
          <a:r>
            <a:rPr lang="en-US" sz="1100">
              <a:solidFill>
                <a:schemeClr val="tx1"/>
              </a:solidFill>
              <a:effectLst/>
              <a:latin typeface="+mn-lt"/>
              <a:ea typeface="+mn-ea"/>
              <a:cs typeface="+mn-cs"/>
            </a:rPr>
            <a:t>Enter the date of the incident.</a:t>
          </a:r>
        </a:p>
        <a:p>
          <a:pPr marL="228600" lvl="0" indent="-228600">
            <a:buFont typeface="+mj-lt"/>
            <a:buAutoNum type="arabicPeriod"/>
          </a:pPr>
          <a:r>
            <a:rPr lang="en-US" sz="1100">
              <a:solidFill>
                <a:schemeClr val="tx1"/>
              </a:solidFill>
              <a:effectLst/>
              <a:latin typeface="+mn-lt"/>
              <a:ea typeface="+mn-ea"/>
              <a:cs typeface="+mn-cs"/>
            </a:rPr>
            <a:t>Enter the date of the post-fall evaluation.</a:t>
          </a:r>
        </a:p>
        <a:p>
          <a:pPr marL="228600" lvl="0" indent="-228600">
            <a:buFont typeface="+mj-lt"/>
            <a:buAutoNum type="arabicPeriod"/>
          </a:pPr>
          <a:r>
            <a:rPr lang="en-US" sz="1100">
              <a:solidFill>
                <a:schemeClr val="tx1"/>
              </a:solidFill>
              <a:effectLst/>
              <a:latin typeface="+mn-lt"/>
              <a:ea typeface="+mn-ea"/>
              <a:cs typeface="+mn-cs"/>
            </a:rPr>
            <a:t>Choose the fall circumstances from the drop-down. The options are “Overwhelming Force” (e.g., resident was pushed by another resident); “Intercepted” (e.g., fall was intercepted by staff); and “N/A”.</a:t>
          </a:r>
        </a:p>
        <a:p>
          <a:pPr marL="228600" lvl="0" indent="-228600">
            <a:buFont typeface="+mj-lt"/>
            <a:buAutoNum type="arabicPeriod"/>
          </a:pPr>
          <a:r>
            <a:rPr lang="en-US" sz="1100">
              <a:solidFill>
                <a:schemeClr val="tx1"/>
              </a:solidFill>
              <a:effectLst/>
              <a:latin typeface="+mn-lt"/>
              <a:ea typeface="+mn-ea"/>
              <a:cs typeface="+mn-cs"/>
            </a:rPr>
            <a:t>Choose the injury type from the drop-down.</a:t>
          </a:r>
        </a:p>
        <a:p>
          <a:pPr marL="228600" lvl="0" indent="-228600">
            <a:buFont typeface="+mj-lt"/>
            <a:buAutoNum type="arabicPeriod"/>
          </a:pPr>
          <a:r>
            <a:rPr lang="en-US" sz="1100">
              <a:solidFill>
                <a:schemeClr val="tx1"/>
              </a:solidFill>
              <a:effectLst/>
              <a:latin typeface="+mn-lt"/>
              <a:ea typeface="+mn-ea"/>
              <a:cs typeface="+mn-cs"/>
            </a:rPr>
            <a:t>Choose the fall location from</a:t>
          </a:r>
          <a:r>
            <a:rPr lang="en-US" sz="1100" baseline="0">
              <a:solidFill>
                <a:schemeClr val="tx1"/>
              </a:solidFill>
              <a:effectLst/>
              <a:latin typeface="+mn-lt"/>
              <a:ea typeface="+mn-ea"/>
              <a:cs typeface="+mn-cs"/>
            </a:rPr>
            <a:t> the</a:t>
          </a:r>
          <a:r>
            <a:rPr lang="en-US" sz="1100">
              <a:solidFill>
                <a:schemeClr val="tx1"/>
              </a:solidFill>
              <a:effectLst/>
              <a:latin typeface="+mn-lt"/>
              <a:ea typeface="+mn-ea"/>
              <a:cs typeface="+mn-cs"/>
            </a:rPr>
            <a:t> drop-down. Options for this field can be edited in the “Data Validation” tab.</a:t>
          </a:r>
        </a:p>
        <a:p>
          <a:pPr marL="228600" lvl="0" indent="-228600">
            <a:buFont typeface="+mj-lt"/>
            <a:buAutoNum type="arabicPeriod"/>
          </a:pPr>
          <a:r>
            <a:rPr lang="en-US" sz="1100">
              <a:solidFill>
                <a:schemeClr val="tx1"/>
              </a:solidFill>
              <a:effectLst/>
              <a:latin typeface="+mn-lt"/>
              <a:ea typeface="+mn-ea"/>
              <a:cs typeface="+mn-cs"/>
            </a:rPr>
            <a:t>Choose the nursing station relevant to the fall from the drop-down. Options for this field can be edited in the “Data Validation” tab.</a:t>
          </a:r>
        </a:p>
        <a:p>
          <a:pPr marL="228600" lvl="0" indent="-228600">
            <a:buFont typeface="+mj-lt"/>
            <a:buAutoNum type="arabicPeriod"/>
          </a:pPr>
          <a:r>
            <a:rPr lang="en-US" sz="1100">
              <a:solidFill>
                <a:schemeClr val="tx1"/>
              </a:solidFill>
              <a:effectLst/>
              <a:latin typeface="+mn-lt"/>
              <a:ea typeface="+mn-ea"/>
              <a:cs typeface="+mn-cs"/>
            </a:rPr>
            <a:t>The “Day” will auto populate from the “Date of Incident” field.</a:t>
          </a:r>
        </a:p>
        <a:p>
          <a:pPr marL="228600" lvl="0" indent="-228600">
            <a:buFont typeface="+mj-lt"/>
            <a:buAutoNum type="arabicPeriod"/>
          </a:pPr>
          <a:r>
            <a:rPr lang="en-US" sz="1100">
              <a:solidFill>
                <a:schemeClr val="tx1"/>
              </a:solidFill>
              <a:effectLst/>
              <a:latin typeface="+mn-lt"/>
              <a:ea typeface="+mn-ea"/>
              <a:cs typeface="+mn-cs"/>
            </a:rPr>
            <a:t>Choose the hour relevant for the fall from the drop-down.</a:t>
          </a:r>
        </a:p>
        <a:p>
          <a:pPr marL="228600" lvl="0" indent="-228600">
            <a:buFont typeface="+mj-lt"/>
            <a:buAutoNum type="arabicPeriod"/>
          </a:pPr>
          <a:r>
            <a:rPr lang="en-US" sz="1100">
              <a:solidFill>
                <a:schemeClr val="tx1"/>
              </a:solidFill>
              <a:effectLst/>
              <a:latin typeface="+mn-lt"/>
              <a:ea typeface="+mn-ea"/>
              <a:cs typeface="+mn-cs"/>
            </a:rPr>
            <a:t>The</a:t>
          </a:r>
          <a:r>
            <a:rPr lang="en-US" sz="1100" baseline="0">
              <a:solidFill>
                <a:schemeClr val="tx1"/>
              </a:solidFill>
              <a:effectLst/>
              <a:latin typeface="+mn-lt"/>
              <a:ea typeface="+mn-ea"/>
              <a:cs typeface="+mn-cs"/>
            </a:rPr>
            <a:t> </a:t>
          </a:r>
          <a:r>
            <a:rPr lang="en-US" sz="1100">
              <a:solidFill>
                <a:schemeClr val="tx1"/>
              </a:solidFill>
              <a:effectLst/>
              <a:latin typeface="+mn-lt"/>
              <a:ea typeface="+mn-ea"/>
              <a:cs typeface="+mn-cs"/>
            </a:rPr>
            <a:t>“Shift” will auto populate based on the “Hour” field. Options for the shift field can be edited in the “Data Validation” tab.</a:t>
          </a:r>
        </a:p>
        <a:p>
          <a:pPr marL="228600" lvl="0" indent="-228600">
            <a:buFont typeface="+mj-lt"/>
            <a:buAutoNum type="arabicPeriod"/>
          </a:pPr>
          <a:r>
            <a:rPr lang="en-US" sz="1100">
              <a:solidFill>
                <a:schemeClr val="tx1"/>
              </a:solidFill>
              <a:effectLst/>
              <a:latin typeface="+mn-lt"/>
              <a:ea typeface="+mn-ea"/>
              <a:cs typeface="+mn-cs"/>
            </a:rPr>
            <a:t>Choose the resident Brief</a:t>
          </a:r>
          <a:r>
            <a:rPr lang="en-US" sz="1100" baseline="0">
              <a:solidFill>
                <a:schemeClr val="tx1"/>
              </a:solidFill>
              <a:effectLst/>
              <a:latin typeface="+mn-lt"/>
              <a:ea typeface="+mn-ea"/>
              <a:cs typeface="+mn-cs"/>
            </a:rPr>
            <a:t> Interview for Mental Status </a:t>
          </a:r>
          <a:r>
            <a:rPr lang="en-US" sz="1100">
              <a:solidFill>
                <a:schemeClr val="tx1"/>
              </a:solidFill>
              <a:effectLst/>
              <a:latin typeface="+mn-lt"/>
              <a:ea typeface="+mn-ea"/>
              <a:cs typeface="+mn-cs"/>
            </a:rPr>
            <a:t>(BIMS) score from the drop-down.</a:t>
          </a:r>
        </a:p>
        <a:p>
          <a:pPr marL="228600" lvl="0" indent="-228600">
            <a:buFont typeface="+mj-lt"/>
            <a:buAutoNum type="arabicPeriod"/>
          </a:pPr>
          <a:r>
            <a:rPr lang="en-US" sz="1100">
              <a:solidFill>
                <a:schemeClr val="tx1"/>
              </a:solidFill>
              <a:effectLst/>
              <a:latin typeface="+mn-lt"/>
              <a:ea typeface="+mn-ea"/>
              <a:cs typeface="+mn-cs"/>
            </a:rPr>
            <a:t>“Cognitive Impairment” will auto populate based on resident BIMS score.</a:t>
          </a:r>
        </a:p>
        <a:p>
          <a:pPr marL="228600" lvl="0" indent="-228600">
            <a:buFont typeface="+mj-lt"/>
            <a:buAutoNum type="arabicPeriod"/>
          </a:pPr>
          <a:r>
            <a:rPr lang="en-US" sz="1100">
              <a:solidFill>
                <a:schemeClr val="tx1"/>
              </a:solidFill>
              <a:effectLst/>
              <a:latin typeface="+mn-lt"/>
              <a:ea typeface="+mn-ea"/>
              <a:cs typeface="+mn-cs"/>
            </a:rPr>
            <a:t>Choose the drop-down options for “What was the resident doing prior to fall?” The options for this field can be edited in the “Data Validation” tab.</a:t>
          </a:r>
        </a:p>
        <a:p>
          <a:pPr marL="228600" lvl="0" indent="-228600">
            <a:buFont typeface="+mj-lt"/>
            <a:buAutoNum type="arabicPeriod"/>
          </a:pPr>
          <a:r>
            <a:rPr lang="en-US" sz="1100">
              <a:solidFill>
                <a:schemeClr val="tx1"/>
              </a:solidFill>
              <a:effectLst/>
              <a:latin typeface="+mn-lt"/>
              <a:ea typeface="+mn-ea"/>
              <a:cs typeface="+mn-cs"/>
            </a:rPr>
            <a:t>Enter notes on resident activity prior to fall. This is a free text field and is not entered in graphs.</a:t>
          </a:r>
        </a:p>
        <a:p>
          <a:pPr marL="228600" lvl="0" indent="-228600">
            <a:buFont typeface="+mj-lt"/>
            <a:buAutoNum type="arabicPeriod"/>
          </a:pPr>
          <a:r>
            <a:rPr lang="en-US" sz="1100">
              <a:solidFill>
                <a:schemeClr val="tx1"/>
              </a:solidFill>
              <a:effectLst/>
              <a:latin typeface="+mn-lt"/>
              <a:ea typeface="+mn-ea"/>
              <a:cs typeface="+mn-cs"/>
            </a:rPr>
            <a:t>Choose whether the root cause analysis (RCA) was completed or not from the drop-down options.</a:t>
          </a:r>
        </a:p>
        <a:p>
          <a:pPr marL="228600" lvl="0" indent="-228600">
            <a:buFont typeface="+mj-lt"/>
            <a:buAutoNum type="arabicPeriod"/>
          </a:pPr>
          <a:r>
            <a:rPr lang="en-US" sz="1100">
              <a:solidFill>
                <a:schemeClr val="tx1"/>
              </a:solidFill>
              <a:effectLst/>
              <a:latin typeface="+mn-lt"/>
              <a:ea typeface="+mn-ea"/>
              <a:cs typeface="+mn-cs"/>
            </a:rPr>
            <a:t>Choose the contributing factors related to the fall from the drop-down. The</a:t>
          </a:r>
          <a:r>
            <a:rPr lang="en-US" sz="1100" baseline="0">
              <a:solidFill>
                <a:schemeClr val="tx1"/>
              </a:solidFill>
              <a:effectLst/>
              <a:latin typeface="+mn-lt"/>
              <a:ea typeface="+mn-ea"/>
              <a:cs typeface="+mn-cs"/>
            </a:rPr>
            <a:t> o</a:t>
          </a:r>
          <a:r>
            <a:rPr lang="en-US" sz="1100">
              <a:solidFill>
                <a:schemeClr val="tx1"/>
              </a:solidFill>
              <a:effectLst/>
              <a:latin typeface="+mn-lt"/>
              <a:ea typeface="+mn-ea"/>
              <a:cs typeface="+mn-cs"/>
            </a:rPr>
            <a:t>ptions for this field can be edited in the “Data Validation” tab.</a:t>
          </a:r>
        </a:p>
        <a:p>
          <a:pPr marL="228600" lvl="0" indent="-228600">
            <a:buFont typeface="+mj-lt"/>
            <a:buAutoNum type="arabicPeriod"/>
          </a:pPr>
          <a:r>
            <a:rPr lang="en-US" sz="1100">
              <a:solidFill>
                <a:schemeClr val="tx1"/>
              </a:solidFill>
              <a:effectLst/>
              <a:latin typeface="+mn-lt"/>
              <a:ea typeface="+mn-ea"/>
              <a:cs typeface="+mn-cs"/>
            </a:rPr>
            <a:t>The last three columns labeled “Nurse,” “Certified Nurse Assistant,” and “Witness Name” are all free text fields. The titles of these fields can also be edited (e.g., if you wanted to change the titles to “RN,” “CNA,” or “Charge Nurse”). These columns are not included in any graphs or calculations. </a:t>
          </a:r>
        </a:p>
        <a:p>
          <a:pPr marL="228600" lvl="0" indent="-228600">
            <a:buFont typeface="+mj-lt"/>
            <a:buAutoNum type="arabicPeriod"/>
          </a:pPr>
          <a:r>
            <a:rPr lang="en-US" sz="1100"/>
            <a:t>Graphs for each month can</a:t>
          </a:r>
          <a:r>
            <a:rPr lang="en-US" sz="1100" baseline="0"/>
            <a:t> be found by scrolling down past the data entry portion of the sheet. Graphs and monthly data entry charts can be printed </a:t>
          </a:r>
          <a:r>
            <a:rPr lang="en-US" sz="1100" i="1" baseline="0"/>
            <a:t>(you need to be in the month tab you would like to print).</a:t>
          </a: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chemeClr val="tx1"/>
              </a:solidFill>
              <a:effectLst/>
              <a:latin typeface="+mn-lt"/>
              <a:ea typeface="+mn-ea"/>
              <a:cs typeface="+mn-cs"/>
            </a:rPr>
            <a:t>Example: </a:t>
          </a:r>
          <a:r>
            <a:rPr lang="en-US" sz="1100">
              <a:solidFill>
                <a:schemeClr val="tx1"/>
              </a:solidFill>
              <a:effectLst/>
              <a:latin typeface="+mn-lt"/>
              <a:ea typeface="+mn-ea"/>
              <a:cs typeface="+mn-cs"/>
            </a:rPr>
            <a:t>See the "Example" tab</a:t>
          </a:r>
          <a:r>
            <a:rPr lang="en-US" sz="1100" baseline="0">
              <a:solidFill>
                <a:schemeClr val="tx1"/>
              </a:solidFill>
              <a:effectLst/>
              <a:latin typeface="+mn-lt"/>
              <a:ea typeface="+mn-ea"/>
              <a:cs typeface="+mn-cs"/>
            </a:rPr>
            <a:t> for additional context based on the provided directions above.</a:t>
          </a:r>
          <a:endParaRPr lang="en-US" sz="1000">
            <a:effectLst/>
          </a:endParaRPr>
        </a:p>
        <a:p>
          <a:pPr marL="0" lvl="0" indent="0">
            <a:buFontTx/>
            <a:buNone/>
          </a:pPr>
          <a:endParaRPr lang="en-US" sz="1000" baseline="0"/>
        </a:p>
      </xdr:txBody>
    </xdr:sp>
    <xdr:clientData/>
  </xdr:twoCellAnchor>
  <xdr:oneCellAnchor>
    <xdr:from>
      <xdr:col>6</xdr:col>
      <xdr:colOff>120641</xdr:colOff>
      <xdr:row>0</xdr:row>
      <xdr:rowOff>65803</xdr:rowOff>
    </xdr:from>
    <xdr:ext cx="6709651" cy="263216"/>
    <xdr:sp macro="" textlink="">
      <xdr:nvSpPr>
        <xdr:cNvPr id="15" name="TextBox 14">
          <a:extLst>
            <a:ext uri="{FF2B5EF4-FFF2-40B4-BE49-F238E27FC236}">
              <a16:creationId xmlns:a16="http://schemas.microsoft.com/office/drawing/2014/main" id="{6056A75B-7693-409E-993E-837C3123C225}"/>
            </a:ext>
          </a:extLst>
        </xdr:cNvPr>
        <xdr:cNvSpPr txBox="1"/>
      </xdr:nvSpPr>
      <xdr:spPr>
        <a:xfrm>
          <a:off x="3186006" y="65803"/>
          <a:ext cx="6709651" cy="263216"/>
        </a:xfrm>
        <a:prstGeom prst="rect">
          <a:avLst/>
        </a:prstGeom>
        <a:solidFill>
          <a:schemeClr val="accent5">
            <a:lumMod val="75000"/>
          </a:schemeClr>
        </a:solidFill>
        <a:ln w="19050">
          <a:solidFill>
            <a:schemeClr val="accent5">
              <a:lumMod val="7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lang="en-US" sz="1400" b="1">
              <a:solidFill>
                <a:schemeClr val="bg1"/>
              </a:solidFill>
            </a:rPr>
            <a:t>Data Entry Overview</a:t>
          </a:r>
          <a:endParaRPr lang="en-US" sz="1200">
            <a:solidFill>
              <a:schemeClr val="bg1"/>
            </a:solidFill>
          </a:endParaRPr>
        </a:p>
      </xdr:txBody>
    </xdr:sp>
    <xdr:clientData/>
  </xdr:oneCellAnchor>
  <xdr:oneCellAnchor>
    <xdr:from>
      <xdr:col>17</xdr:col>
      <xdr:colOff>11635</xdr:colOff>
      <xdr:row>0</xdr:row>
      <xdr:rowOff>65938</xdr:rowOff>
    </xdr:from>
    <xdr:ext cx="6427265" cy="268018"/>
    <xdr:sp macro="" textlink="">
      <xdr:nvSpPr>
        <xdr:cNvPr id="16" name="TextBox 15">
          <a:extLst>
            <a:ext uri="{FF2B5EF4-FFF2-40B4-BE49-F238E27FC236}">
              <a16:creationId xmlns:a16="http://schemas.microsoft.com/office/drawing/2014/main" id="{4EF0F42B-0A2B-47AC-B7EF-53E9F275C42C}"/>
            </a:ext>
          </a:extLst>
        </xdr:cNvPr>
        <xdr:cNvSpPr txBox="1"/>
      </xdr:nvSpPr>
      <xdr:spPr>
        <a:xfrm>
          <a:off x="10081167" y="65938"/>
          <a:ext cx="6427265" cy="268018"/>
        </a:xfrm>
        <a:prstGeom prst="rect">
          <a:avLst/>
        </a:prstGeom>
        <a:solidFill>
          <a:schemeClr val="accent5">
            <a:lumMod val="75000"/>
          </a:schemeClr>
        </a:solidFill>
        <a:ln w="19050">
          <a:solidFill>
            <a:schemeClr val="accent5">
              <a:lumMod val="7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400" b="1">
              <a:solidFill>
                <a:schemeClr val="bg1"/>
              </a:solidFill>
              <a:effectLst/>
              <a:latin typeface="+mn-lt"/>
              <a:ea typeface="+mn-ea"/>
              <a:cs typeface="+mn-cs"/>
            </a:rPr>
            <a:t>Consolidated</a:t>
          </a:r>
          <a:r>
            <a:rPr lang="en-US" sz="1400" b="1" baseline="0">
              <a:solidFill>
                <a:schemeClr val="bg1"/>
              </a:solidFill>
              <a:effectLst/>
              <a:latin typeface="+mn-lt"/>
              <a:ea typeface="+mn-ea"/>
              <a:cs typeface="+mn-cs"/>
            </a:rPr>
            <a:t> </a:t>
          </a:r>
          <a:r>
            <a:rPr lang="en-US" sz="1400" b="1">
              <a:solidFill>
                <a:schemeClr val="bg1"/>
              </a:solidFill>
              <a:effectLst/>
              <a:latin typeface="+mn-lt"/>
              <a:ea typeface="+mn-ea"/>
              <a:cs typeface="+mn-cs"/>
            </a:rPr>
            <a:t>Graphs, Fall Rate, and Census</a:t>
          </a:r>
          <a:endParaRPr lang="en-US" sz="1400">
            <a:solidFill>
              <a:schemeClr val="bg1"/>
            </a:solidFill>
          </a:endParaRPr>
        </a:p>
        <a:p>
          <a:endParaRPr lang="en-US" sz="1100">
            <a:solidFill>
              <a:schemeClr val="bg1"/>
            </a:solidFill>
          </a:endParaRPr>
        </a:p>
      </xdr:txBody>
    </xdr:sp>
    <xdr:clientData/>
  </xdr:oneCellAnchor>
  <xdr:twoCellAnchor editAs="oneCell">
    <xdr:from>
      <xdr:col>17</xdr:col>
      <xdr:colOff>331241</xdr:colOff>
      <xdr:row>20</xdr:row>
      <xdr:rowOff>115405</xdr:rowOff>
    </xdr:from>
    <xdr:to>
      <xdr:col>22</xdr:col>
      <xdr:colOff>266949</xdr:colOff>
      <xdr:row>24</xdr:row>
      <xdr:rowOff>118812</xdr:rowOff>
    </xdr:to>
    <xdr:pic>
      <xdr:nvPicPr>
        <xdr:cNvPr id="17" name="Picture 16" descr="Sample of falls rate formula.">
          <a:extLst>
            <a:ext uri="{FF2B5EF4-FFF2-40B4-BE49-F238E27FC236}">
              <a16:creationId xmlns:a16="http://schemas.microsoft.com/office/drawing/2014/main" id="{12AA654A-4012-C1A1-C7BF-ECEBC7F4487B}"/>
            </a:ext>
          </a:extLst>
        </xdr:cNvPr>
        <xdr:cNvPicPr>
          <a:picLocks noChangeAspect="1"/>
        </xdr:cNvPicPr>
      </xdr:nvPicPr>
      <xdr:blipFill rotWithShape="1">
        <a:blip xmlns:r="http://schemas.openxmlformats.org/officeDocument/2006/relationships" r:embed="rId1"/>
        <a:srcRect t="9053"/>
        <a:stretch>
          <a:fillRect/>
        </a:stretch>
      </xdr:blipFill>
      <xdr:spPr>
        <a:xfrm>
          <a:off x="9957841" y="3919055"/>
          <a:ext cx="2983708" cy="765407"/>
        </a:xfrm>
        <a:prstGeom prst="rect">
          <a:avLst/>
        </a:prstGeom>
        <a:ln w="57150">
          <a:solidFill>
            <a:schemeClr val="tx1"/>
          </a:solidFill>
        </a:ln>
        <a:effectLst>
          <a:softEdge rad="112500"/>
        </a:effectLst>
      </xdr:spPr>
    </xdr:pic>
    <xdr:clientData/>
  </xdr:twoCellAnchor>
  <xdr:twoCellAnchor editAs="oneCell">
    <xdr:from>
      <xdr:col>16</xdr:col>
      <xdr:colOff>548985</xdr:colOff>
      <xdr:row>33</xdr:row>
      <xdr:rowOff>66758</xdr:rowOff>
    </xdr:from>
    <xdr:to>
      <xdr:col>22</xdr:col>
      <xdr:colOff>333374</xdr:colOff>
      <xdr:row>36</xdr:row>
      <xdr:rowOff>82</xdr:rowOff>
    </xdr:to>
    <xdr:pic>
      <xdr:nvPicPr>
        <xdr:cNvPr id="4" name="Picture 3" descr="HSAG corporate image">
          <a:extLst>
            <a:ext uri="{FF2B5EF4-FFF2-40B4-BE49-F238E27FC236}">
              <a16:creationId xmlns:a16="http://schemas.microsoft.com/office/drawing/2014/main" id="{041A34D0-2078-BFCF-9265-199F218F10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59635" y="6334208"/>
          <a:ext cx="3441989" cy="504824"/>
        </a:xfrm>
        <a:prstGeom prst="rect">
          <a:avLst/>
        </a:prstGeom>
      </xdr:spPr>
    </xdr:pic>
    <xdr:clientData/>
  </xdr:twoCellAnchor>
  <xdr:twoCellAnchor editAs="oneCell">
    <xdr:from>
      <xdr:col>6</xdr:col>
      <xdr:colOff>459862</xdr:colOff>
      <xdr:row>13</xdr:row>
      <xdr:rowOff>78439</xdr:rowOff>
    </xdr:from>
    <xdr:to>
      <xdr:col>9</xdr:col>
      <xdr:colOff>200025</xdr:colOff>
      <xdr:row>17</xdr:row>
      <xdr:rowOff>80535</xdr:rowOff>
    </xdr:to>
    <xdr:pic>
      <xdr:nvPicPr>
        <xdr:cNvPr id="2" name="Picture 1" descr="Sample of facility name and year entry.">
          <a:extLst>
            <a:ext uri="{FF2B5EF4-FFF2-40B4-BE49-F238E27FC236}">
              <a16:creationId xmlns:a16="http://schemas.microsoft.com/office/drawing/2014/main" id="{863503B9-9078-194E-4BB8-15430DE12521}"/>
            </a:ext>
          </a:extLst>
        </xdr:cNvPr>
        <xdr:cNvPicPr>
          <a:picLocks noChangeAspect="1"/>
        </xdr:cNvPicPr>
      </xdr:nvPicPr>
      <xdr:blipFill rotWithShape="1">
        <a:blip xmlns:r="http://schemas.openxmlformats.org/officeDocument/2006/relationships" r:embed="rId3"/>
        <a:srcRect r="20406"/>
        <a:stretch>
          <a:fillRect/>
        </a:stretch>
      </xdr:blipFill>
      <xdr:spPr>
        <a:xfrm>
          <a:off x="3374512" y="2526364"/>
          <a:ext cx="1568963" cy="773621"/>
        </a:xfrm>
        <a:prstGeom prst="rect">
          <a:avLst/>
        </a:prstGeom>
      </xdr:spPr>
    </xdr:pic>
    <xdr:clientData/>
  </xdr:twoCellAnchor>
  <xdr:twoCellAnchor editAs="oneCell">
    <xdr:from>
      <xdr:col>9</xdr:col>
      <xdr:colOff>597306</xdr:colOff>
      <xdr:row>12</xdr:row>
      <xdr:rowOff>136711</xdr:rowOff>
    </xdr:from>
    <xdr:to>
      <xdr:col>12</xdr:col>
      <xdr:colOff>178012</xdr:colOff>
      <xdr:row>17</xdr:row>
      <xdr:rowOff>105085</xdr:rowOff>
    </xdr:to>
    <xdr:pic>
      <xdr:nvPicPr>
        <xdr:cNvPr id="6" name="Picture 5" descr="Sample of location and nurses station entry.">
          <a:extLst>
            <a:ext uri="{FF2B5EF4-FFF2-40B4-BE49-F238E27FC236}">
              <a16:creationId xmlns:a16="http://schemas.microsoft.com/office/drawing/2014/main" id="{5C2B0F98-79DC-BDBF-947D-BE8826CD8C95}"/>
            </a:ext>
          </a:extLst>
        </xdr:cNvPr>
        <xdr:cNvPicPr>
          <a:picLocks noChangeAspect="1"/>
        </xdr:cNvPicPr>
      </xdr:nvPicPr>
      <xdr:blipFill rotWithShape="1">
        <a:blip xmlns:r="http://schemas.openxmlformats.org/officeDocument/2006/relationships" r:embed="rId4"/>
        <a:srcRect l="4698" b="2098"/>
        <a:stretch>
          <a:fillRect/>
        </a:stretch>
      </xdr:blipFill>
      <xdr:spPr>
        <a:xfrm>
          <a:off x="5340756" y="2394136"/>
          <a:ext cx="1409506" cy="930399"/>
        </a:xfrm>
        <a:prstGeom prst="rect">
          <a:avLst/>
        </a:prstGeom>
      </xdr:spPr>
    </xdr:pic>
    <xdr:clientData/>
  </xdr:twoCellAnchor>
  <xdr:twoCellAnchor editAs="oneCell">
    <xdr:from>
      <xdr:col>12</xdr:col>
      <xdr:colOff>506457</xdr:colOff>
      <xdr:row>12</xdr:row>
      <xdr:rowOff>141333</xdr:rowOff>
    </xdr:from>
    <xdr:to>
      <xdr:col>15</xdr:col>
      <xdr:colOff>73805</xdr:colOff>
      <xdr:row>17</xdr:row>
      <xdr:rowOff>101032</xdr:rowOff>
    </xdr:to>
    <xdr:pic>
      <xdr:nvPicPr>
        <xdr:cNvPr id="7" name="Picture 6" descr="Sample of hour and shift entry.">
          <a:extLst>
            <a:ext uri="{FF2B5EF4-FFF2-40B4-BE49-F238E27FC236}">
              <a16:creationId xmlns:a16="http://schemas.microsoft.com/office/drawing/2014/main" id="{A3C728DF-E755-DE18-2FA7-5E6A2E0B6043}"/>
            </a:ext>
          </a:extLst>
        </xdr:cNvPr>
        <xdr:cNvPicPr>
          <a:picLocks noChangeAspect="1"/>
        </xdr:cNvPicPr>
      </xdr:nvPicPr>
      <xdr:blipFill rotWithShape="1">
        <a:blip xmlns:r="http://schemas.openxmlformats.org/officeDocument/2006/relationships" r:embed="rId5"/>
        <a:srcRect b="1849"/>
        <a:stretch>
          <a:fillRect/>
        </a:stretch>
      </xdr:blipFill>
      <xdr:spPr>
        <a:xfrm>
          <a:off x="7078707" y="2398758"/>
          <a:ext cx="1396148" cy="9217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159</xdr:colOff>
      <xdr:row>91</xdr:row>
      <xdr:rowOff>185727</xdr:rowOff>
    </xdr:from>
    <xdr:to>
      <xdr:col>20</xdr:col>
      <xdr:colOff>95249</xdr:colOff>
      <xdr:row>106</xdr:row>
      <xdr:rowOff>0</xdr:rowOff>
    </xdr:to>
    <xdr:graphicFrame macro="">
      <xdr:nvGraphicFramePr>
        <xdr:cNvPr id="2" name="Chart 1" descr="January location of falls graph.">
          <a:extLst>
            <a:ext uri="{FF2B5EF4-FFF2-40B4-BE49-F238E27FC236}">
              <a16:creationId xmlns:a16="http://schemas.microsoft.com/office/drawing/2014/main" id="{08012A9D-F829-4C71-BCD5-6494D59A3E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7228</xdr:colOff>
      <xdr:row>122</xdr:row>
      <xdr:rowOff>9542</xdr:rowOff>
    </xdr:from>
    <xdr:to>
      <xdr:col>14</xdr:col>
      <xdr:colOff>761156</xdr:colOff>
      <xdr:row>131</xdr:row>
      <xdr:rowOff>190830</xdr:rowOff>
    </xdr:to>
    <xdr:graphicFrame macro="">
      <xdr:nvGraphicFramePr>
        <xdr:cNvPr id="3" name="Chart 2" descr="January falls by day of the week graph.">
          <a:extLst>
            <a:ext uri="{FF2B5EF4-FFF2-40B4-BE49-F238E27FC236}">
              <a16:creationId xmlns:a16="http://schemas.microsoft.com/office/drawing/2014/main" id="{EF924412-C747-41C1-8F0E-600EE8CF04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106</xdr:row>
      <xdr:rowOff>198782</xdr:rowOff>
    </xdr:from>
    <xdr:to>
      <xdr:col>15</xdr:col>
      <xdr:colOff>731520</xdr:colOff>
      <xdr:row>120</xdr:row>
      <xdr:rowOff>190831</xdr:rowOff>
    </xdr:to>
    <xdr:graphicFrame macro="">
      <xdr:nvGraphicFramePr>
        <xdr:cNvPr id="4" name="Chart 3" descr="January falls by nursing station graph.">
          <a:extLst>
            <a:ext uri="{FF2B5EF4-FFF2-40B4-BE49-F238E27FC236}">
              <a16:creationId xmlns:a16="http://schemas.microsoft.com/office/drawing/2014/main" id="{B78B9D8B-B3F0-4F0E-B6CE-C552348D27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2910</xdr:colOff>
      <xdr:row>57</xdr:row>
      <xdr:rowOff>757</xdr:rowOff>
    </xdr:from>
    <xdr:to>
      <xdr:col>15</xdr:col>
      <xdr:colOff>1196809</xdr:colOff>
      <xdr:row>63</xdr:row>
      <xdr:rowOff>54433</xdr:rowOff>
    </xdr:to>
    <xdr:graphicFrame macro="">
      <xdr:nvGraphicFramePr>
        <xdr:cNvPr id="5" name="Chart 4" descr="January falls by BIMS score.">
          <a:extLst>
            <a:ext uri="{FF2B5EF4-FFF2-40B4-BE49-F238E27FC236}">
              <a16:creationId xmlns:a16="http://schemas.microsoft.com/office/drawing/2014/main" id="{62630B33-54D3-4CC5-AEFE-2EDFD52EAD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0</xdr:colOff>
      <xdr:row>132</xdr:row>
      <xdr:rowOff>197411</xdr:rowOff>
    </xdr:from>
    <xdr:to>
      <xdr:col>14</xdr:col>
      <xdr:colOff>2914</xdr:colOff>
      <xdr:row>140</xdr:row>
      <xdr:rowOff>194012</xdr:rowOff>
    </xdr:to>
    <xdr:graphicFrame macro="">
      <xdr:nvGraphicFramePr>
        <xdr:cNvPr id="6" name="Chart 5" descr="January falls by shift graph.">
          <a:extLst>
            <a:ext uri="{FF2B5EF4-FFF2-40B4-BE49-F238E27FC236}">
              <a16:creationId xmlns:a16="http://schemas.microsoft.com/office/drawing/2014/main" id="{04E7E462-2059-4A3B-A3EF-C66C5B7E8E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10967</xdr:colOff>
      <xdr:row>142</xdr:row>
      <xdr:rowOff>1</xdr:rowOff>
    </xdr:from>
    <xdr:to>
      <xdr:col>18</xdr:col>
      <xdr:colOff>3245</xdr:colOff>
      <xdr:row>168</xdr:row>
      <xdr:rowOff>186613</xdr:rowOff>
    </xdr:to>
    <xdr:graphicFrame macro="">
      <xdr:nvGraphicFramePr>
        <xdr:cNvPr id="7" name="Chart 6" descr="January falls by hour graph.">
          <a:extLst>
            <a:ext uri="{FF2B5EF4-FFF2-40B4-BE49-F238E27FC236}">
              <a16:creationId xmlns:a16="http://schemas.microsoft.com/office/drawing/2014/main" id="{CE8A2815-5A5D-486B-A484-936119FFE1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503041</xdr:colOff>
      <xdr:row>64</xdr:row>
      <xdr:rowOff>0</xdr:rowOff>
    </xdr:from>
    <xdr:to>
      <xdr:col>20</xdr:col>
      <xdr:colOff>73021</xdr:colOff>
      <xdr:row>91</xdr:row>
      <xdr:rowOff>0</xdr:rowOff>
    </xdr:to>
    <xdr:graphicFrame macro="">
      <xdr:nvGraphicFramePr>
        <xdr:cNvPr id="9" name="Chart 8" descr="January falls by activity.">
          <a:extLst>
            <a:ext uri="{FF2B5EF4-FFF2-40B4-BE49-F238E27FC236}">
              <a16:creationId xmlns:a16="http://schemas.microsoft.com/office/drawing/2014/main" id="{85A1DDFE-688B-4EC8-B3A5-48599587C0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5062</xdr:colOff>
      <xdr:row>55</xdr:row>
      <xdr:rowOff>87464</xdr:rowOff>
    </xdr:from>
    <xdr:to>
      <xdr:col>4</xdr:col>
      <xdr:colOff>0</xdr:colOff>
      <xdr:row>63</xdr:row>
      <xdr:rowOff>56879</xdr:rowOff>
    </xdr:to>
    <xdr:graphicFrame macro="">
      <xdr:nvGraphicFramePr>
        <xdr:cNvPr id="12" name="Chart 11" descr="January witnessed falls graph.">
          <a:extLst>
            <a:ext uri="{FF2B5EF4-FFF2-40B4-BE49-F238E27FC236}">
              <a16:creationId xmlns:a16="http://schemas.microsoft.com/office/drawing/2014/main" id="{C02CFE94-1BC1-45F4-8B5A-67FE185D89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8</xdr:col>
      <xdr:colOff>9511</xdr:colOff>
      <xdr:row>169</xdr:row>
      <xdr:rowOff>194729</xdr:rowOff>
    </xdr:from>
    <xdr:to>
      <xdr:col>20</xdr:col>
      <xdr:colOff>215596</xdr:colOff>
      <xdr:row>197</xdr:row>
      <xdr:rowOff>0</xdr:rowOff>
    </xdr:to>
    <xdr:graphicFrame macro="">
      <xdr:nvGraphicFramePr>
        <xdr:cNvPr id="15" name="Chart 14" descr="January contributing factors graph.">
          <a:extLst>
            <a:ext uri="{FF2B5EF4-FFF2-40B4-BE49-F238E27FC236}">
              <a16:creationId xmlns:a16="http://schemas.microsoft.com/office/drawing/2014/main" id="{41852FBF-F8AE-49DB-8391-0EC91C9440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xdr:col>
      <xdr:colOff>6666</xdr:colOff>
      <xdr:row>49</xdr:row>
      <xdr:rowOff>195113</xdr:rowOff>
    </xdr:from>
    <xdr:to>
      <xdr:col>15</xdr:col>
      <xdr:colOff>1222581</xdr:colOff>
      <xdr:row>56</xdr:row>
      <xdr:rowOff>2447</xdr:rowOff>
    </xdr:to>
    <xdr:graphicFrame macro="">
      <xdr:nvGraphicFramePr>
        <xdr:cNvPr id="17" name="Chart 16" descr="January fall circumstances graph.">
          <a:extLst>
            <a:ext uri="{FF2B5EF4-FFF2-40B4-BE49-F238E27FC236}">
              <a16:creationId xmlns:a16="http://schemas.microsoft.com/office/drawing/2014/main" id="{B4CE01CB-C4C1-4EA5-93DD-A670C80B82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5</xdr:col>
      <xdr:colOff>159</xdr:colOff>
      <xdr:row>91</xdr:row>
      <xdr:rowOff>185727</xdr:rowOff>
    </xdr:from>
    <xdr:to>
      <xdr:col>20</xdr:col>
      <xdr:colOff>85726</xdr:colOff>
      <xdr:row>106</xdr:row>
      <xdr:rowOff>0</xdr:rowOff>
    </xdr:to>
    <xdr:graphicFrame macro="">
      <xdr:nvGraphicFramePr>
        <xdr:cNvPr id="2" name="Chart 1" descr="February falls by location.">
          <a:extLst>
            <a:ext uri="{FF2B5EF4-FFF2-40B4-BE49-F238E27FC236}">
              <a16:creationId xmlns:a16="http://schemas.microsoft.com/office/drawing/2014/main" id="{22F3D654-8343-4E8F-9533-90876F3D4E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7228</xdr:colOff>
      <xdr:row>122</xdr:row>
      <xdr:rowOff>9542</xdr:rowOff>
    </xdr:from>
    <xdr:to>
      <xdr:col>14</xdr:col>
      <xdr:colOff>761156</xdr:colOff>
      <xdr:row>131</xdr:row>
      <xdr:rowOff>190830</xdr:rowOff>
    </xdr:to>
    <xdr:graphicFrame macro="">
      <xdr:nvGraphicFramePr>
        <xdr:cNvPr id="3" name="Chart 2" descr="February falls by day of the week.">
          <a:extLst>
            <a:ext uri="{FF2B5EF4-FFF2-40B4-BE49-F238E27FC236}">
              <a16:creationId xmlns:a16="http://schemas.microsoft.com/office/drawing/2014/main" id="{1E2C5460-F9EF-47C4-B9DC-E6722CA2AF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106</xdr:row>
      <xdr:rowOff>198782</xdr:rowOff>
    </xdr:from>
    <xdr:to>
      <xdr:col>15</xdr:col>
      <xdr:colOff>731520</xdr:colOff>
      <xdr:row>120</xdr:row>
      <xdr:rowOff>190831</xdr:rowOff>
    </xdr:to>
    <xdr:graphicFrame macro="">
      <xdr:nvGraphicFramePr>
        <xdr:cNvPr id="4" name="Chart 3" descr="February falls by nursing station.">
          <a:extLst>
            <a:ext uri="{FF2B5EF4-FFF2-40B4-BE49-F238E27FC236}">
              <a16:creationId xmlns:a16="http://schemas.microsoft.com/office/drawing/2014/main" id="{82771F06-5F26-460F-9546-3242443CD6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2910</xdr:colOff>
      <xdr:row>57</xdr:row>
      <xdr:rowOff>757</xdr:rowOff>
    </xdr:from>
    <xdr:to>
      <xdr:col>15</xdr:col>
      <xdr:colOff>1196809</xdr:colOff>
      <xdr:row>63</xdr:row>
      <xdr:rowOff>54433</xdr:rowOff>
    </xdr:to>
    <xdr:graphicFrame macro="">
      <xdr:nvGraphicFramePr>
        <xdr:cNvPr id="5" name="Chart 4" descr="February falls by BIMS score.">
          <a:extLst>
            <a:ext uri="{FF2B5EF4-FFF2-40B4-BE49-F238E27FC236}">
              <a16:creationId xmlns:a16="http://schemas.microsoft.com/office/drawing/2014/main" id="{D9EC0B76-EB9F-4E15-AB82-690442ABE4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10967</xdr:colOff>
      <xdr:row>142</xdr:row>
      <xdr:rowOff>1</xdr:rowOff>
    </xdr:from>
    <xdr:to>
      <xdr:col>18</xdr:col>
      <xdr:colOff>3245</xdr:colOff>
      <xdr:row>168</xdr:row>
      <xdr:rowOff>186613</xdr:rowOff>
    </xdr:to>
    <xdr:graphicFrame macro="">
      <xdr:nvGraphicFramePr>
        <xdr:cNvPr id="7" name="Chart 6" descr="February falls by hour.">
          <a:extLst>
            <a:ext uri="{FF2B5EF4-FFF2-40B4-BE49-F238E27FC236}">
              <a16:creationId xmlns:a16="http://schemas.microsoft.com/office/drawing/2014/main" id="{8577EDB4-0B18-4ABF-8D10-2BD8B68BDE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503041</xdr:colOff>
      <xdr:row>64</xdr:row>
      <xdr:rowOff>0</xdr:rowOff>
    </xdr:from>
    <xdr:to>
      <xdr:col>20</xdr:col>
      <xdr:colOff>73021</xdr:colOff>
      <xdr:row>91</xdr:row>
      <xdr:rowOff>0</xdr:rowOff>
    </xdr:to>
    <xdr:graphicFrame macro="">
      <xdr:nvGraphicFramePr>
        <xdr:cNvPr id="8" name="Chart 7" descr="February falls by activity.">
          <a:extLst>
            <a:ext uri="{FF2B5EF4-FFF2-40B4-BE49-F238E27FC236}">
              <a16:creationId xmlns:a16="http://schemas.microsoft.com/office/drawing/2014/main" id="{8C2841A0-E453-4004-B637-EF70EB3F0F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5062</xdr:colOff>
      <xdr:row>55</xdr:row>
      <xdr:rowOff>87464</xdr:rowOff>
    </xdr:from>
    <xdr:to>
      <xdr:col>4</xdr:col>
      <xdr:colOff>0</xdr:colOff>
      <xdr:row>63</xdr:row>
      <xdr:rowOff>56879</xdr:rowOff>
    </xdr:to>
    <xdr:graphicFrame macro="">
      <xdr:nvGraphicFramePr>
        <xdr:cNvPr id="9" name="Chart 8" descr="February witnessed falls.">
          <a:extLst>
            <a:ext uri="{FF2B5EF4-FFF2-40B4-BE49-F238E27FC236}">
              <a16:creationId xmlns:a16="http://schemas.microsoft.com/office/drawing/2014/main" id="{2E43C442-4D9C-4111-8C09-6995CA245C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9511</xdr:colOff>
      <xdr:row>169</xdr:row>
      <xdr:rowOff>194729</xdr:rowOff>
    </xdr:from>
    <xdr:to>
      <xdr:col>20</xdr:col>
      <xdr:colOff>215596</xdr:colOff>
      <xdr:row>197</xdr:row>
      <xdr:rowOff>0</xdr:rowOff>
    </xdr:to>
    <xdr:graphicFrame macro="">
      <xdr:nvGraphicFramePr>
        <xdr:cNvPr id="10" name="Chart 9" descr="February falls by contributing factors.">
          <a:extLst>
            <a:ext uri="{FF2B5EF4-FFF2-40B4-BE49-F238E27FC236}">
              <a16:creationId xmlns:a16="http://schemas.microsoft.com/office/drawing/2014/main" id="{241B7897-EDAD-4CB3-B097-3230F3A70B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6666</xdr:colOff>
      <xdr:row>49</xdr:row>
      <xdr:rowOff>195113</xdr:rowOff>
    </xdr:from>
    <xdr:to>
      <xdr:col>15</xdr:col>
      <xdr:colOff>1222581</xdr:colOff>
      <xdr:row>56</xdr:row>
      <xdr:rowOff>2447</xdr:rowOff>
    </xdr:to>
    <xdr:graphicFrame macro="">
      <xdr:nvGraphicFramePr>
        <xdr:cNvPr id="11" name="Chart 10" descr="February falls by circumstances.">
          <a:extLst>
            <a:ext uri="{FF2B5EF4-FFF2-40B4-BE49-F238E27FC236}">
              <a16:creationId xmlns:a16="http://schemas.microsoft.com/office/drawing/2014/main" id="{0751811A-814B-4E9E-8681-1116DD33A3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xdr:col>
      <xdr:colOff>0</xdr:colOff>
      <xdr:row>132</xdr:row>
      <xdr:rowOff>197411</xdr:rowOff>
    </xdr:from>
    <xdr:to>
      <xdr:col>14</xdr:col>
      <xdr:colOff>2914</xdr:colOff>
      <xdr:row>140</xdr:row>
      <xdr:rowOff>194012</xdr:rowOff>
    </xdr:to>
    <xdr:graphicFrame macro="">
      <xdr:nvGraphicFramePr>
        <xdr:cNvPr id="15" name="Chart 14" descr="February falls by shift.">
          <a:extLst>
            <a:ext uri="{FF2B5EF4-FFF2-40B4-BE49-F238E27FC236}">
              <a16:creationId xmlns:a16="http://schemas.microsoft.com/office/drawing/2014/main" id="{A5C0D3B5-A20E-4DE6-9483-CABA5CE453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5</xdr:col>
      <xdr:colOff>159</xdr:colOff>
      <xdr:row>91</xdr:row>
      <xdr:rowOff>185727</xdr:rowOff>
    </xdr:from>
    <xdr:to>
      <xdr:col>20</xdr:col>
      <xdr:colOff>76200</xdr:colOff>
      <xdr:row>106</xdr:row>
      <xdr:rowOff>0</xdr:rowOff>
    </xdr:to>
    <xdr:graphicFrame macro="">
      <xdr:nvGraphicFramePr>
        <xdr:cNvPr id="2" name="Chart 1" descr="March falls by location.">
          <a:extLst>
            <a:ext uri="{FF2B5EF4-FFF2-40B4-BE49-F238E27FC236}">
              <a16:creationId xmlns:a16="http://schemas.microsoft.com/office/drawing/2014/main" id="{0BC32314-4173-4701-B6B4-2C5FF5A152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7228</xdr:colOff>
      <xdr:row>122</xdr:row>
      <xdr:rowOff>9542</xdr:rowOff>
    </xdr:from>
    <xdr:to>
      <xdr:col>14</xdr:col>
      <xdr:colOff>761156</xdr:colOff>
      <xdr:row>131</xdr:row>
      <xdr:rowOff>190830</xdr:rowOff>
    </xdr:to>
    <xdr:graphicFrame macro="">
      <xdr:nvGraphicFramePr>
        <xdr:cNvPr id="3" name="Chart 2" descr="March falls by day of the week graph.">
          <a:extLst>
            <a:ext uri="{FF2B5EF4-FFF2-40B4-BE49-F238E27FC236}">
              <a16:creationId xmlns:a16="http://schemas.microsoft.com/office/drawing/2014/main" id="{0D8D424D-5150-4C7E-8357-5F5B81DA86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106</xdr:row>
      <xdr:rowOff>198782</xdr:rowOff>
    </xdr:from>
    <xdr:to>
      <xdr:col>15</xdr:col>
      <xdr:colOff>731520</xdr:colOff>
      <xdr:row>120</xdr:row>
      <xdr:rowOff>190831</xdr:rowOff>
    </xdr:to>
    <xdr:graphicFrame macro="">
      <xdr:nvGraphicFramePr>
        <xdr:cNvPr id="4" name="Chart 3" descr="March falls by nursing station.">
          <a:extLst>
            <a:ext uri="{FF2B5EF4-FFF2-40B4-BE49-F238E27FC236}">
              <a16:creationId xmlns:a16="http://schemas.microsoft.com/office/drawing/2014/main" id="{85445B3A-2EE3-44AA-AC20-4884928320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2910</xdr:colOff>
      <xdr:row>57</xdr:row>
      <xdr:rowOff>757</xdr:rowOff>
    </xdr:from>
    <xdr:to>
      <xdr:col>15</xdr:col>
      <xdr:colOff>1196809</xdr:colOff>
      <xdr:row>63</xdr:row>
      <xdr:rowOff>54433</xdr:rowOff>
    </xdr:to>
    <xdr:graphicFrame macro="">
      <xdr:nvGraphicFramePr>
        <xdr:cNvPr id="5" name="Chart 4" descr="March falls by falls by BIMS score">
          <a:extLst>
            <a:ext uri="{FF2B5EF4-FFF2-40B4-BE49-F238E27FC236}">
              <a16:creationId xmlns:a16="http://schemas.microsoft.com/office/drawing/2014/main" id="{F0BCA984-6225-4654-B9CA-1319C58882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10967</xdr:colOff>
      <xdr:row>142</xdr:row>
      <xdr:rowOff>1</xdr:rowOff>
    </xdr:from>
    <xdr:to>
      <xdr:col>18</xdr:col>
      <xdr:colOff>3245</xdr:colOff>
      <xdr:row>168</xdr:row>
      <xdr:rowOff>186613</xdr:rowOff>
    </xdr:to>
    <xdr:graphicFrame macro="">
      <xdr:nvGraphicFramePr>
        <xdr:cNvPr id="7" name="Chart 6" descr="March falls by hour.">
          <a:extLst>
            <a:ext uri="{FF2B5EF4-FFF2-40B4-BE49-F238E27FC236}">
              <a16:creationId xmlns:a16="http://schemas.microsoft.com/office/drawing/2014/main" id="{851214B8-6B40-4BA5-9E19-0AB423A985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503041</xdr:colOff>
      <xdr:row>64</xdr:row>
      <xdr:rowOff>0</xdr:rowOff>
    </xdr:from>
    <xdr:to>
      <xdr:col>20</xdr:col>
      <xdr:colOff>73021</xdr:colOff>
      <xdr:row>91</xdr:row>
      <xdr:rowOff>0</xdr:rowOff>
    </xdr:to>
    <xdr:graphicFrame macro="">
      <xdr:nvGraphicFramePr>
        <xdr:cNvPr id="8" name="Chart 7" descr="March falls by activity.">
          <a:extLst>
            <a:ext uri="{FF2B5EF4-FFF2-40B4-BE49-F238E27FC236}">
              <a16:creationId xmlns:a16="http://schemas.microsoft.com/office/drawing/2014/main" id="{4F13BCBD-EB19-43AB-8F46-40C4B5EE2D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5062</xdr:colOff>
      <xdr:row>55</xdr:row>
      <xdr:rowOff>87464</xdr:rowOff>
    </xdr:from>
    <xdr:to>
      <xdr:col>4</xdr:col>
      <xdr:colOff>0</xdr:colOff>
      <xdr:row>63</xdr:row>
      <xdr:rowOff>56879</xdr:rowOff>
    </xdr:to>
    <xdr:graphicFrame macro="">
      <xdr:nvGraphicFramePr>
        <xdr:cNvPr id="9" name="Chart 8" descr="March witnessed falls graph.">
          <a:extLst>
            <a:ext uri="{FF2B5EF4-FFF2-40B4-BE49-F238E27FC236}">
              <a16:creationId xmlns:a16="http://schemas.microsoft.com/office/drawing/2014/main" id="{C47ACBCC-0713-4386-915B-D9EC0192ED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9511</xdr:colOff>
      <xdr:row>169</xdr:row>
      <xdr:rowOff>194729</xdr:rowOff>
    </xdr:from>
    <xdr:to>
      <xdr:col>20</xdr:col>
      <xdr:colOff>215596</xdr:colOff>
      <xdr:row>197</xdr:row>
      <xdr:rowOff>0</xdr:rowOff>
    </xdr:to>
    <xdr:graphicFrame macro="">
      <xdr:nvGraphicFramePr>
        <xdr:cNvPr id="10" name="Chart 9" descr="March falls by contributing factors.">
          <a:extLst>
            <a:ext uri="{FF2B5EF4-FFF2-40B4-BE49-F238E27FC236}">
              <a16:creationId xmlns:a16="http://schemas.microsoft.com/office/drawing/2014/main" id="{8DFA9543-CC2D-4088-9E5B-5E9B12FBB6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6666</xdr:colOff>
      <xdr:row>49</xdr:row>
      <xdr:rowOff>195113</xdr:rowOff>
    </xdr:from>
    <xdr:to>
      <xdr:col>15</xdr:col>
      <xdr:colOff>1222581</xdr:colOff>
      <xdr:row>56</xdr:row>
      <xdr:rowOff>2447</xdr:rowOff>
    </xdr:to>
    <xdr:graphicFrame macro="">
      <xdr:nvGraphicFramePr>
        <xdr:cNvPr id="11" name="Chart 10" descr="March falls by circumstances.">
          <a:extLst>
            <a:ext uri="{FF2B5EF4-FFF2-40B4-BE49-F238E27FC236}">
              <a16:creationId xmlns:a16="http://schemas.microsoft.com/office/drawing/2014/main" id="{EE6DDA26-C603-4EC1-AE17-957E68AAAE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xdr:col>
      <xdr:colOff>0</xdr:colOff>
      <xdr:row>132</xdr:row>
      <xdr:rowOff>197411</xdr:rowOff>
    </xdr:from>
    <xdr:to>
      <xdr:col>14</xdr:col>
      <xdr:colOff>2914</xdr:colOff>
      <xdr:row>140</xdr:row>
      <xdr:rowOff>194012</xdr:rowOff>
    </xdr:to>
    <xdr:graphicFrame macro="">
      <xdr:nvGraphicFramePr>
        <xdr:cNvPr id="12" name="Chart 11" descr="March falls by shift graph.">
          <a:extLst>
            <a:ext uri="{FF2B5EF4-FFF2-40B4-BE49-F238E27FC236}">
              <a16:creationId xmlns:a16="http://schemas.microsoft.com/office/drawing/2014/main" id="{8E8ADD00-6EAC-43F4-96B8-2FC14C4E8F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5</xdr:col>
      <xdr:colOff>158</xdr:colOff>
      <xdr:row>91</xdr:row>
      <xdr:rowOff>185727</xdr:rowOff>
    </xdr:from>
    <xdr:to>
      <xdr:col>20</xdr:col>
      <xdr:colOff>85724</xdr:colOff>
      <xdr:row>106</xdr:row>
      <xdr:rowOff>0</xdr:rowOff>
    </xdr:to>
    <xdr:graphicFrame macro="">
      <xdr:nvGraphicFramePr>
        <xdr:cNvPr id="2" name="Chart 1" descr="April falls by location graph.">
          <a:extLst>
            <a:ext uri="{FF2B5EF4-FFF2-40B4-BE49-F238E27FC236}">
              <a16:creationId xmlns:a16="http://schemas.microsoft.com/office/drawing/2014/main" id="{A62126E7-4159-467C-9E8B-48C15863C5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7228</xdr:colOff>
      <xdr:row>122</xdr:row>
      <xdr:rowOff>9542</xdr:rowOff>
    </xdr:from>
    <xdr:to>
      <xdr:col>14</xdr:col>
      <xdr:colOff>761156</xdr:colOff>
      <xdr:row>131</xdr:row>
      <xdr:rowOff>190830</xdr:rowOff>
    </xdr:to>
    <xdr:graphicFrame macro="">
      <xdr:nvGraphicFramePr>
        <xdr:cNvPr id="3" name="Chart 2" descr="April falls by day of the week graph.">
          <a:extLst>
            <a:ext uri="{FF2B5EF4-FFF2-40B4-BE49-F238E27FC236}">
              <a16:creationId xmlns:a16="http://schemas.microsoft.com/office/drawing/2014/main" id="{2E43AF0B-1032-4B0C-93BF-90BC2DFCA8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106</xdr:row>
      <xdr:rowOff>198782</xdr:rowOff>
    </xdr:from>
    <xdr:to>
      <xdr:col>15</xdr:col>
      <xdr:colOff>731520</xdr:colOff>
      <xdr:row>120</xdr:row>
      <xdr:rowOff>190831</xdr:rowOff>
    </xdr:to>
    <xdr:graphicFrame macro="">
      <xdr:nvGraphicFramePr>
        <xdr:cNvPr id="4" name="Chart 3" descr="April falls by nursing station graph.">
          <a:extLst>
            <a:ext uri="{FF2B5EF4-FFF2-40B4-BE49-F238E27FC236}">
              <a16:creationId xmlns:a16="http://schemas.microsoft.com/office/drawing/2014/main" id="{BA92CBF9-86EC-4EE7-9C81-A6E3968F35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2910</xdr:colOff>
      <xdr:row>57</xdr:row>
      <xdr:rowOff>757</xdr:rowOff>
    </xdr:from>
    <xdr:to>
      <xdr:col>15</xdr:col>
      <xdr:colOff>1196809</xdr:colOff>
      <xdr:row>63</xdr:row>
      <xdr:rowOff>54433</xdr:rowOff>
    </xdr:to>
    <xdr:graphicFrame macro="">
      <xdr:nvGraphicFramePr>
        <xdr:cNvPr id="5" name="Chart 4" descr="April falls by BIMS score graph.">
          <a:extLst>
            <a:ext uri="{FF2B5EF4-FFF2-40B4-BE49-F238E27FC236}">
              <a16:creationId xmlns:a16="http://schemas.microsoft.com/office/drawing/2014/main" id="{C0E7A484-A879-47EC-B5AF-085AA30BA8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10967</xdr:colOff>
      <xdr:row>142</xdr:row>
      <xdr:rowOff>1</xdr:rowOff>
    </xdr:from>
    <xdr:to>
      <xdr:col>18</xdr:col>
      <xdr:colOff>3245</xdr:colOff>
      <xdr:row>168</xdr:row>
      <xdr:rowOff>186613</xdr:rowOff>
    </xdr:to>
    <xdr:graphicFrame macro="">
      <xdr:nvGraphicFramePr>
        <xdr:cNvPr id="7" name="Chart 6" descr="April falls by hour graph.">
          <a:extLst>
            <a:ext uri="{FF2B5EF4-FFF2-40B4-BE49-F238E27FC236}">
              <a16:creationId xmlns:a16="http://schemas.microsoft.com/office/drawing/2014/main" id="{D417EBBC-FA4A-442D-A81D-EAB7FC6426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503041</xdr:colOff>
      <xdr:row>64</xdr:row>
      <xdr:rowOff>0</xdr:rowOff>
    </xdr:from>
    <xdr:to>
      <xdr:col>20</xdr:col>
      <xdr:colOff>73021</xdr:colOff>
      <xdr:row>91</xdr:row>
      <xdr:rowOff>0</xdr:rowOff>
    </xdr:to>
    <xdr:graphicFrame macro="">
      <xdr:nvGraphicFramePr>
        <xdr:cNvPr id="8" name="Chart 7" descr="April falls by activity graph.">
          <a:extLst>
            <a:ext uri="{FF2B5EF4-FFF2-40B4-BE49-F238E27FC236}">
              <a16:creationId xmlns:a16="http://schemas.microsoft.com/office/drawing/2014/main" id="{2D840EF4-C1A1-4C4B-AD16-2675E410B6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5062</xdr:colOff>
      <xdr:row>55</xdr:row>
      <xdr:rowOff>87464</xdr:rowOff>
    </xdr:from>
    <xdr:to>
      <xdr:col>4</xdr:col>
      <xdr:colOff>0</xdr:colOff>
      <xdr:row>63</xdr:row>
      <xdr:rowOff>56879</xdr:rowOff>
    </xdr:to>
    <xdr:graphicFrame macro="">
      <xdr:nvGraphicFramePr>
        <xdr:cNvPr id="9" name="Chart 8" descr="April witnessed falls graph.">
          <a:extLst>
            <a:ext uri="{FF2B5EF4-FFF2-40B4-BE49-F238E27FC236}">
              <a16:creationId xmlns:a16="http://schemas.microsoft.com/office/drawing/2014/main" id="{0CBA8A77-C24B-4635-B758-A80F31C25D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9511</xdr:colOff>
      <xdr:row>169</xdr:row>
      <xdr:rowOff>194729</xdr:rowOff>
    </xdr:from>
    <xdr:to>
      <xdr:col>20</xdr:col>
      <xdr:colOff>215596</xdr:colOff>
      <xdr:row>197</xdr:row>
      <xdr:rowOff>0</xdr:rowOff>
    </xdr:to>
    <xdr:graphicFrame macro="">
      <xdr:nvGraphicFramePr>
        <xdr:cNvPr id="10" name="Chart 9" descr="April falls by contributing factors graph.">
          <a:extLst>
            <a:ext uri="{FF2B5EF4-FFF2-40B4-BE49-F238E27FC236}">
              <a16:creationId xmlns:a16="http://schemas.microsoft.com/office/drawing/2014/main" id="{E54EC5F8-3CCB-40E0-B51C-E48FA2C280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6666</xdr:colOff>
      <xdr:row>49</xdr:row>
      <xdr:rowOff>195113</xdr:rowOff>
    </xdr:from>
    <xdr:to>
      <xdr:col>15</xdr:col>
      <xdr:colOff>1222581</xdr:colOff>
      <xdr:row>56</xdr:row>
      <xdr:rowOff>2447</xdr:rowOff>
    </xdr:to>
    <xdr:graphicFrame macro="">
      <xdr:nvGraphicFramePr>
        <xdr:cNvPr id="11" name="Chart 10" descr="April falls by circumstances graph.">
          <a:extLst>
            <a:ext uri="{FF2B5EF4-FFF2-40B4-BE49-F238E27FC236}">
              <a16:creationId xmlns:a16="http://schemas.microsoft.com/office/drawing/2014/main" id="{AEF9DBAC-A017-49C9-B247-1B1545B60F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xdr:col>
      <xdr:colOff>0</xdr:colOff>
      <xdr:row>132</xdr:row>
      <xdr:rowOff>197411</xdr:rowOff>
    </xdr:from>
    <xdr:to>
      <xdr:col>14</xdr:col>
      <xdr:colOff>2914</xdr:colOff>
      <xdr:row>140</xdr:row>
      <xdr:rowOff>194012</xdr:rowOff>
    </xdr:to>
    <xdr:graphicFrame macro="">
      <xdr:nvGraphicFramePr>
        <xdr:cNvPr id="12" name="Chart 11" descr="April falls by shift graph.">
          <a:extLst>
            <a:ext uri="{FF2B5EF4-FFF2-40B4-BE49-F238E27FC236}">
              <a16:creationId xmlns:a16="http://schemas.microsoft.com/office/drawing/2014/main" id="{84CA6FE4-78BC-4FAE-BD74-87D4CF6762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5</xdr:col>
      <xdr:colOff>159</xdr:colOff>
      <xdr:row>91</xdr:row>
      <xdr:rowOff>185727</xdr:rowOff>
    </xdr:from>
    <xdr:to>
      <xdr:col>20</xdr:col>
      <xdr:colOff>76200</xdr:colOff>
      <xdr:row>106</xdr:row>
      <xdr:rowOff>0</xdr:rowOff>
    </xdr:to>
    <xdr:graphicFrame macro="">
      <xdr:nvGraphicFramePr>
        <xdr:cNvPr id="2" name="Chart 1" descr="May falls by location graph.">
          <a:extLst>
            <a:ext uri="{FF2B5EF4-FFF2-40B4-BE49-F238E27FC236}">
              <a16:creationId xmlns:a16="http://schemas.microsoft.com/office/drawing/2014/main" id="{D8BA666E-EA34-4DA0-A484-9F38D0453D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7228</xdr:colOff>
      <xdr:row>122</xdr:row>
      <xdr:rowOff>9542</xdr:rowOff>
    </xdr:from>
    <xdr:to>
      <xdr:col>14</xdr:col>
      <xdr:colOff>761156</xdr:colOff>
      <xdr:row>131</xdr:row>
      <xdr:rowOff>190830</xdr:rowOff>
    </xdr:to>
    <xdr:graphicFrame macro="">
      <xdr:nvGraphicFramePr>
        <xdr:cNvPr id="3" name="Chart 2" descr="May falls by day of the week graph.">
          <a:extLst>
            <a:ext uri="{FF2B5EF4-FFF2-40B4-BE49-F238E27FC236}">
              <a16:creationId xmlns:a16="http://schemas.microsoft.com/office/drawing/2014/main" id="{ED28B41B-0B93-4A4A-A372-922FE9F78B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106</xdr:row>
      <xdr:rowOff>198782</xdr:rowOff>
    </xdr:from>
    <xdr:to>
      <xdr:col>15</xdr:col>
      <xdr:colOff>731520</xdr:colOff>
      <xdr:row>120</xdr:row>
      <xdr:rowOff>190831</xdr:rowOff>
    </xdr:to>
    <xdr:graphicFrame macro="">
      <xdr:nvGraphicFramePr>
        <xdr:cNvPr id="4" name="Chart 3" descr="May falls by nursing station graph.">
          <a:extLst>
            <a:ext uri="{FF2B5EF4-FFF2-40B4-BE49-F238E27FC236}">
              <a16:creationId xmlns:a16="http://schemas.microsoft.com/office/drawing/2014/main" id="{5FF5AA7B-3251-4907-86BF-A124C5F5E2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2910</xdr:colOff>
      <xdr:row>57</xdr:row>
      <xdr:rowOff>757</xdr:rowOff>
    </xdr:from>
    <xdr:to>
      <xdr:col>15</xdr:col>
      <xdr:colOff>1196809</xdr:colOff>
      <xdr:row>63</xdr:row>
      <xdr:rowOff>54433</xdr:rowOff>
    </xdr:to>
    <xdr:graphicFrame macro="">
      <xdr:nvGraphicFramePr>
        <xdr:cNvPr id="5" name="Chart 4" descr="May falls by BIMS score graph.">
          <a:extLst>
            <a:ext uri="{FF2B5EF4-FFF2-40B4-BE49-F238E27FC236}">
              <a16:creationId xmlns:a16="http://schemas.microsoft.com/office/drawing/2014/main" id="{C551E149-9028-4887-904D-272DAB75E4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10967</xdr:colOff>
      <xdr:row>142</xdr:row>
      <xdr:rowOff>1</xdr:rowOff>
    </xdr:from>
    <xdr:to>
      <xdr:col>18</xdr:col>
      <xdr:colOff>3245</xdr:colOff>
      <xdr:row>168</xdr:row>
      <xdr:rowOff>186613</xdr:rowOff>
    </xdr:to>
    <xdr:graphicFrame macro="">
      <xdr:nvGraphicFramePr>
        <xdr:cNvPr id="7" name="Chart 6" descr="May falls by hour graph.">
          <a:extLst>
            <a:ext uri="{FF2B5EF4-FFF2-40B4-BE49-F238E27FC236}">
              <a16:creationId xmlns:a16="http://schemas.microsoft.com/office/drawing/2014/main" id="{7C43ED0D-200D-437F-9FC9-203398C018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503041</xdr:colOff>
      <xdr:row>64</xdr:row>
      <xdr:rowOff>0</xdr:rowOff>
    </xdr:from>
    <xdr:to>
      <xdr:col>20</xdr:col>
      <xdr:colOff>73021</xdr:colOff>
      <xdr:row>91</xdr:row>
      <xdr:rowOff>0</xdr:rowOff>
    </xdr:to>
    <xdr:graphicFrame macro="">
      <xdr:nvGraphicFramePr>
        <xdr:cNvPr id="8" name="Chart 7" descr="May falls by activity graph.">
          <a:extLst>
            <a:ext uri="{FF2B5EF4-FFF2-40B4-BE49-F238E27FC236}">
              <a16:creationId xmlns:a16="http://schemas.microsoft.com/office/drawing/2014/main" id="{6F91AA3C-88BA-44DD-BD32-96D9D21227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5062</xdr:colOff>
      <xdr:row>55</xdr:row>
      <xdr:rowOff>87464</xdr:rowOff>
    </xdr:from>
    <xdr:to>
      <xdr:col>4</xdr:col>
      <xdr:colOff>0</xdr:colOff>
      <xdr:row>63</xdr:row>
      <xdr:rowOff>56879</xdr:rowOff>
    </xdr:to>
    <xdr:graphicFrame macro="">
      <xdr:nvGraphicFramePr>
        <xdr:cNvPr id="9" name="Chart 8" descr="May witnessed falls graph.">
          <a:extLst>
            <a:ext uri="{FF2B5EF4-FFF2-40B4-BE49-F238E27FC236}">
              <a16:creationId xmlns:a16="http://schemas.microsoft.com/office/drawing/2014/main" id="{B43DAC19-51E3-450C-BBAC-48847F8B34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9511</xdr:colOff>
      <xdr:row>169</xdr:row>
      <xdr:rowOff>194729</xdr:rowOff>
    </xdr:from>
    <xdr:to>
      <xdr:col>20</xdr:col>
      <xdr:colOff>215596</xdr:colOff>
      <xdr:row>197</xdr:row>
      <xdr:rowOff>0</xdr:rowOff>
    </xdr:to>
    <xdr:graphicFrame macro="">
      <xdr:nvGraphicFramePr>
        <xdr:cNvPr id="10" name="Chart 9" descr="May falls by contributing factors graph.">
          <a:extLst>
            <a:ext uri="{FF2B5EF4-FFF2-40B4-BE49-F238E27FC236}">
              <a16:creationId xmlns:a16="http://schemas.microsoft.com/office/drawing/2014/main" id="{A264BDE0-C4CB-4E13-8E60-EF482A9903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6666</xdr:colOff>
      <xdr:row>49</xdr:row>
      <xdr:rowOff>195113</xdr:rowOff>
    </xdr:from>
    <xdr:to>
      <xdr:col>15</xdr:col>
      <xdr:colOff>1222581</xdr:colOff>
      <xdr:row>56</xdr:row>
      <xdr:rowOff>2447</xdr:rowOff>
    </xdr:to>
    <xdr:graphicFrame macro="">
      <xdr:nvGraphicFramePr>
        <xdr:cNvPr id="11" name="Chart 10" descr="May falls by circumstances graph.">
          <a:extLst>
            <a:ext uri="{FF2B5EF4-FFF2-40B4-BE49-F238E27FC236}">
              <a16:creationId xmlns:a16="http://schemas.microsoft.com/office/drawing/2014/main" id="{4C48D8A5-9096-4730-80B2-D3A2E4B975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xdr:col>
      <xdr:colOff>0</xdr:colOff>
      <xdr:row>132</xdr:row>
      <xdr:rowOff>197411</xdr:rowOff>
    </xdr:from>
    <xdr:to>
      <xdr:col>14</xdr:col>
      <xdr:colOff>2914</xdr:colOff>
      <xdr:row>140</xdr:row>
      <xdr:rowOff>194012</xdr:rowOff>
    </xdr:to>
    <xdr:graphicFrame macro="">
      <xdr:nvGraphicFramePr>
        <xdr:cNvPr id="12" name="Chart 11" descr="May falls by shift graph.">
          <a:extLst>
            <a:ext uri="{FF2B5EF4-FFF2-40B4-BE49-F238E27FC236}">
              <a16:creationId xmlns:a16="http://schemas.microsoft.com/office/drawing/2014/main" id="{99E87CB2-6189-4796-BB88-3211EC5879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5</xdr:col>
      <xdr:colOff>159</xdr:colOff>
      <xdr:row>91</xdr:row>
      <xdr:rowOff>185727</xdr:rowOff>
    </xdr:from>
    <xdr:to>
      <xdr:col>20</xdr:col>
      <xdr:colOff>66676</xdr:colOff>
      <xdr:row>106</xdr:row>
      <xdr:rowOff>0</xdr:rowOff>
    </xdr:to>
    <xdr:graphicFrame macro="">
      <xdr:nvGraphicFramePr>
        <xdr:cNvPr id="2" name="Chart 1" descr="June falls by location graph.">
          <a:extLst>
            <a:ext uri="{FF2B5EF4-FFF2-40B4-BE49-F238E27FC236}">
              <a16:creationId xmlns:a16="http://schemas.microsoft.com/office/drawing/2014/main" id="{6649A069-D95F-48F4-8BB5-3598826580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7228</xdr:colOff>
      <xdr:row>122</xdr:row>
      <xdr:rowOff>9542</xdr:rowOff>
    </xdr:from>
    <xdr:to>
      <xdr:col>14</xdr:col>
      <xdr:colOff>761156</xdr:colOff>
      <xdr:row>131</xdr:row>
      <xdr:rowOff>190830</xdr:rowOff>
    </xdr:to>
    <xdr:graphicFrame macro="">
      <xdr:nvGraphicFramePr>
        <xdr:cNvPr id="3" name="Chart 2" descr="June falls by day of the week graph.">
          <a:extLst>
            <a:ext uri="{FF2B5EF4-FFF2-40B4-BE49-F238E27FC236}">
              <a16:creationId xmlns:a16="http://schemas.microsoft.com/office/drawing/2014/main" id="{76EE0682-F53F-4C35-8E14-3A39AAF893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106</xdr:row>
      <xdr:rowOff>198782</xdr:rowOff>
    </xdr:from>
    <xdr:to>
      <xdr:col>15</xdr:col>
      <xdr:colOff>731520</xdr:colOff>
      <xdr:row>120</xdr:row>
      <xdr:rowOff>190831</xdr:rowOff>
    </xdr:to>
    <xdr:graphicFrame macro="">
      <xdr:nvGraphicFramePr>
        <xdr:cNvPr id="4" name="Chart 3" descr="June falls by nursing station graph.">
          <a:extLst>
            <a:ext uri="{FF2B5EF4-FFF2-40B4-BE49-F238E27FC236}">
              <a16:creationId xmlns:a16="http://schemas.microsoft.com/office/drawing/2014/main" id="{5761F247-9499-4025-8FB1-51CF57AC33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2910</xdr:colOff>
      <xdr:row>57</xdr:row>
      <xdr:rowOff>757</xdr:rowOff>
    </xdr:from>
    <xdr:to>
      <xdr:col>15</xdr:col>
      <xdr:colOff>1196809</xdr:colOff>
      <xdr:row>63</xdr:row>
      <xdr:rowOff>54433</xdr:rowOff>
    </xdr:to>
    <xdr:graphicFrame macro="">
      <xdr:nvGraphicFramePr>
        <xdr:cNvPr id="5" name="Chart 4" descr="June falls by BIMS score graph.">
          <a:extLst>
            <a:ext uri="{FF2B5EF4-FFF2-40B4-BE49-F238E27FC236}">
              <a16:creationId xmlns:a16="http://schemas.microsoft.com/office/drawing/2014/main" id="{F92D7146-1AEE-44E2-8AD7-B7966518AD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10967</xdr:colOff>
      <xdr:row>142</xdr:row>
      <xdr:rowOff>1</xdr:rowOff>
    </xdr:from>
    <xdr:to>
      <xdr:col>18</xdr:col>
      <xdr:colOff>3245</xdr:colOff>
      <xdr:row>168</xdr:row>
      <xdr:rowOff>186613</xdr:rowOff>
    </xdr:to>
    <xdr:graphicFrame macro="">
      <xdr:nvGraphicFramePr>
        <xdr:cNvPr id="7" name="Chart 6" descr="June falls by hour graph.">
          <a:extLst>
            <a:ext uri="{FF2B5EF4-FFF2-40B4-BE49-F238E27FC236}">
              <a16:creationId xmlns:a16="http://schemas.microsoft.com/office/drawing/2014/main" id="{2FC522ED-A696-4F76-9C28-DE8699C7F8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503041</xdr:colOff>
      <xdr:row>64</xdr:row>
      <xdr:rowOff>0</xdr:rowOff>
    </xdr:from>
    <xdr:to>
      <xdr:col>20</xdr:col>
      <xdr:colOff>73021</xdr:colOff>
      <xdr:row>91</xdr:row>
      <xdr:rowOff>0</xdr:rowOff>
    </xdr:to>
    <xdr:graphicFrame macro="">
      <xdr:nvGraphicFramePr>
        <xdr:cNvPr id="8" name="Chart 7" descr="June falls by activity graph.">
          <a:extLst>
            <a:ext uri="{FF2B5EF4-FFF2-40B4-BE49-F238E27FC236}">
              <a16:creationId xmlns:a16="http://schemas.microsoft.com/office/drawing/2014/main" id="{442DD5BF-A169-4593-BFD5-47602E410B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5062</xdr:colOff>
      <xdr:row>55</xdr:row>
      <xdr:rowOff>87464</xdr:rowOff>
    </xdr:from>
    <xdr:to>
      <xdr:col>4</xdr:col>
      <xdr:colOff>0</xdr:colOff>
      <xdr:row>63</xdr:row>
      <xdr:rowOff>56879</xdr:rowOff>
    </xdr:to>
    <xdr:graphicFrame macro="">
      <xdr:nvGraphicFramePr>
        <xdr:cNvPr id="9" name="Chart 8" descr="June fwitnessed falls graph.">
          <a:extLst>
            <a:ext uri="{FF2B5EF4-FFF2-40B4-BE49-F238E27FC236}">
              <a16:creationId xmlns:a16="http://schemas.microsoft.com/office/drawing/2014/main" id="{CA1FB493-3912-49FA-8CD7-968646309D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9511</xdr:colOff>
      <xdr:row>169</xdr:row>
      <xdr:rowOff>194729</xdr:rowOff>
    </xdr:from>
    <xdr:to>
      <xdr:col>20</xdr:col>
      <xdr:colOff>215596</xdr:colOff>
      <xdr:row>197</xdr:row>
      <xdr:rowOff>0</xdr:rowOff>
    </xdr:to>
    <xdr:graphicFrame macro="">
      <xdr:nvGraphicFramePr>
        <xdr:cNvPr id="10" name="Chart 9" descr="June falls by contributing factors graph.">
          <a:extLst>
            <a:ext uri="{FF2B5EF4-FFF2-40B4-BE49-F238E27FC236}">
              <a16:creationId xmlns:a16="http://schemas.microsoft.com/office/drawing/2014/main" id="{0B82AD19-5A62-40AC-9FF3-D712F86AE5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6666</xdr:colOff>
      <xdr:row>49</xdr:row>
      <xdr:rowOff>195113</xdr:rowOff>
    </xdr:from>
    <xdr:to>
      <xdr:col>15</xdr:col>
      <xdr:colOff>1222581</xdr:colOff>
      <xdr:row>56</xdr:row>
      <xdr:rowOff>2447</xdr:rowOff>
    </xdr:to>
    <xdr:graphicFrame macro="">
      <xdr:nvGraphicFramePr>
        <xdr:cNvPr id="11" name="Chart 10" descr="June falls by circumstances graph.">
          <a:extLst>
            <a:ext uri="{FF2B5EF4-FFF2-40B4-BE49-F238E27FC236}">
              <a16:creationId xmlns:a16="http://schemas.microsoft.com/office/drawing/2014/main" id="{C5678526-096F-4624-8204-BC4B33AD50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xdr:col>
      <xdr:colOff>0</xdr:colOff>
      <xdr:row>132</xdr:row>
      <xdr:rowOff>197411</xdr:rowOff>
    </xdr:from>
    <xdr:to>
      <xdr:col>14</xdr:col>
      <xdr:colOff>2914</xdr:colOff>
      <xdr:row>140</xdr:row>
      <xdr:rowOff>194012</xdr:rowOff>
    </xdr:to>
    <xdr:graphicFrame macro="">
      <xdr:nvGraphicFramePr>
        <xdr:cNvPr id="12" name="Chart 11" descr="June falls by shift graph.">
          <a:extLst>
            <a:ext uri="{FF2B5EF4-FFF2-40B4-BE49-F238E27FC236}">
              <a16:creationId xmlns:a16="http://schemas.microsoft.com/office/drawing/2014/main" id="{CBB061DF-3734-4C19-904F-1BFC9119A1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5</xdr:col>
      <xdr:colOff>158</xdr:colOff>
      <xdr:row>91</xdr:row>
      <xdr:rowOff>185727</xdr:rowOff>
    </xdr:from>
    <xdr:to>
      <xdr:col>20</xdr:col>
      <xdr:colOff>85724</xdr:colOff>
      <xdr:row>106</xdr:row>
      <xdr:rowOff>0</xdr:rowOff>
    </xdr:to>
    <xdr:graphicFrame macro="">
      <xdr:nvGraphicFramePr>
        <xdr:cNvPr id="2" name="Chart 1" descr="July falls by location graph.">
          <a:extLst>
            <a:ext uri="{FF2B5EF4-FFF2-40B4-BE49-F238E27FC236}">
              <a16:creationId xmlns:a16="http://schemas.microsoft.com/office/drawing/2014/main" id="{246CE41C-E36B-44C9-98F5-C42E23D309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7228</xdr:colOff>
      <xdr:row>122</xdr:row>
      <xdr:rowOff>9542</xdr:rowOff>
    </xdr:from>
    <xdr:to>
      <xdr:col>14</xdr:col>
      <xdr:colOff>761156</xdr:colOff>
      <xdr:row>131</xdr:row>
      <xdr:rowOff>190830</xdr:rowOff>
    </xdr:to>
    <xdr:graphicFrame macro="">
      <xdr:nvGraphicFramePr>
        <xdr:cNvPr id="3" name="Chart 2" descr="July falls by day of the week graph.">
          <a:extLst>
            <a:ext uri="{FF2B5EF4-FFF2-40B4-BE49-F238E27FC236}">
              <a16:creationId xmlns:a16="http://schemas.microsoft.com/office/drawing/2014/main" id="{023315C2-C7CD-436A-81CF-D410230B33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106</xdr:row>
      <xdr:rowOff>198782</xdr:rowOff>
    </xdr:from>
    <xdr:to>
      <xdr:col>15</xdr:col>
      <xdr:colOff>731520</xdr:colOff>
      <xdr:row>120</xdr:row>
      <xdr:rowOff>190831</xdr:rowOff>
    </xdr:to>
    <xdr:graphicFrame macro="">
      <xdr:nvGraphicFramePr>
        <xdr:cNvPr id="4" name="Chart 3" descr="July falls by nursing station graph.">
          <a:extLst>
            <a:ext uri="{FF2B5EF4-FFF2-40B4-BE49-F238E27FC236}">
              <a16:creationId xmlns:a16="http://schemas.microsoft.com/office/drawing/2014/main" id="{57AA3D04-1CC5-4EDA-9E49-224078372A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2910</xdr:colOff>
      <xdr:row>57</xdr:row>
      <xdr:rowOff>757</xdr:rowOff>
    </xdr:from>
    <xdr:to>
      <xdr:col>15</xdr:col>
      <xdr:colOff>1196809</xdr:colOff>
      <xdr:row>63</xdr:row>
      <xdr:rowOff>54433</xdr:rowOff>
    </xdr:to>
    <xdr:graphicFrame macro="">
      <xdr:nvGraphicFramePr>
        <xdr:cNvPr id="5" name="Chart 4" descr="July falls by BIMS score graph.">
          <a:extLst>
            <a:ext uri="{FF2B5EF4-FFF2-40B4-BE49-F238E27FC236}">
              <a16:creationId xmlns:a16="http://schemas.microsoft.com/office/drawing/2014/main" id="{A6E964DC-D393-41A4-854A-EC52B12AA9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10967</xdr:colOff>
      <xdr:row>142</xdr:row>
      <xdr:rowOff>1</xdr:rowOff>
    </xdr:from>
    <xdr:to>
      <xdr:col>18</xdr:col>
      <xdr:colOff>3245</xdr:colOff>
      <xdr:row>168</xdr:row>
      <xdr:rowOff>186613</xdr:rowOff>
    </xdr:to>
    <xdr:graphicFrame macro="">
      <xdr:nvGraphicFramePr>
        <xdr:cNvPr id="7" name="Chart 6" descr="July falls by hour graph.">
          <a:extLst>
            <a:ext uri="{FF2B5EF4-FFF2-40B4-BE49-F238E27FC236}">
              <a16:creationId xmlns:a16="http://schemas.microsoft.com/office/drawing/2014/main" id="{5B0866BC-5113-4DAE-B41F-BD58B13301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503041</xdr:colOff>
      <xdr:row>64</xdr:row>
      <xdr:rowOff>0</xdr:rowOff>
    </xdr:from>
    <xdr:to>
      <xdr:col>20</xdr:col>
      <xdr:colOff>73021</xdr:colOff>
      <xdr:row>91</xdr:row>
      <xdr:rowOff>0</xdr:rowOff>
    </xdr:to>
    <xdr:graphicFrame macro="">
      <xdr:nvGraphicFramePr>
        <xdr:cNvPr id="8" name="Chart 7" descr="July falls by Activity graph.">
          <a:extLst>
            <a:ext uri="{FF2B5EF4-FFF2-40B4-BE49-F238E27FC236}">
              <a16:creationId xmlns:a16="http://schemas.microsoft.com/office/drawing/2014/main" id="{5E6CB81D-2EC5-47BF-8B97-FE622528EC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5062</xdr:colOff>
      <xdr:row>55</xdr:row>
      <xdr:rowOff>87464</xdr:rowOff>
    </xdr:from>
    <xdr:to>
      <xdr:col>4</xdr:col>
      <xdr:colOff>0</xdr:colOff>
      <xdr:row>63</xdr:row>
      <xdr:rowOff>56879</xdr:rowOff>
    </xdr:to>
    <xdr:graphicFrame macro="">
      <xdr:nvGraphicFramePr>
        <xdr:cNvPr id="9" name="Chart 8" descr="July witnessed falls graph.">
          <a:extLst>
            <a:ext uri="{FF2B5EF4-FFF2-40B4-BE49-F238E27FC236}">
              <a16:creationId xmlns:a16="http://schemas.microsoft.com/office/drawing/2014/main" id="{52317329-79DF-41FC-AC8E-EA4092023C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9511</xdr:colOff>
      <xdr:row>169</xdr:row>
      <xdr:rowOff>194729</xdr:rowOff>
    </xdr:from>
    <xdr:to>
      <xdr:col>20</xdr:col>
      <xdr:colOff>215596</xdr:colOff>
      <xdr:row>197</xdr:row>
      <xdr:rowOff>0</xdr:rowOff>
    </xdr:to>
    <xdr:graphicFrame macro="">
      <xdr:nvGraphicFramePr>
        <xdr:cNvPr id="10" name="Chart 9" descr="July falls by contributing factors graph.">
          <a:extLst>
            <a:ext uri="{FF2B5EF4-FFF2-40B4-BE49-F238E27FC236}">
              <a16:creationId xmlns:a16="http://schemas.microsoft.com/office/drawing/2014/main" id="{A6A18EB6-C4B0-4845-9E3C-297300AADB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6666</xdr:colOff>
      <xdr:row>49</xdr:row>
      <xdr:rowOff>195113</xdr:rowOff>
    </xdr:from>
    <xdr:to>
      <xdr:col>15</xdr:col>
      <xdr:colOff>1222581</xdr:colOff>
      <xdr:row>56</xdr:row>
      <xdr:rowOff>2447</xdr:rowOff>
    </xdr:to>
    <xdr:graphicFrame macro="">
      <xdr:nvGraphicFramePr>
        <xdr:cNvPr id="11" name="Chart 10" descr="July falls by circumstances graph.">
          <a:extLst>
            <a:ext uri="{FF2B5EF4-FFF2-40B4-BE49-F238E27FC236}">
              <a16:creationId xmlns:a16="http://schemas.microsoft.com/office/drawing/2014/main" id="{B7C612C4-37E7-4714-BE8D-4B428BE089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xdr:col>
      <xdr:colOff>0</xdr:colOff>
      <xdr:row>132</xdr:row>
      <xdr:rowOff>197411</xdr:rowOff>
    </xdr:from>
    <xdr:to>
      <xdr:col>14</xdr:col>
      <xdr:colOff>2914</xdr:colOff>
      <xdr:row>140</xdr:row>
      <xdr:rowOff>194012</xdr:rowOff>
    </xdr:to>
    <xdr:graphicFrame macro="">
      <xdr:nvGraphicFramePr>
        <xdr:cNvPr id="12" name="Chart 11" descr="July falls by shift graph.">
          <a:extLst>
            <a:ext uri="{FF2B5EF4-FFF2-40B4-BE49-F238E27FC236}">
              <a16:creationId xmlns:a16="http://schemas.microsoft.com/office/drawing/2014/main" id="{EA9EE09F-8EE5-450F-A3A5-9FD1EDBB0C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5</xdr:col>
      <xdr:colOff>158</xdr:colOff>
      <xdr:row>91</xdr:row>
      <xdr:rowOff>185727</xdr:rowOff>
    </xdr:from>
    <xdr:to>
      <xdr:col>20</xdr:col>
      <xdr:colOff>85724</xdr:colOff>
      <xdr:row>106</xdr:row>
      <xdr:rowOff>0</xdr:rowOff>
    </xdr:to>
    <xdr:graphicFrame macro="">
      <xdr:nvGraphicFramePr>
        <xdr:cNvPr id="2" name="Chart 1" descr="August falls by location graph.">
          <a:extLst>
            <a:ext uri="{FF2B5EF4-FFF2-40B4-BE49-F238E27FC236}">
              <a16:creationId xmlns:a16="http://schemas.microsoft.com/office/drawing/2014/main" id="{D565A072-E291-42E8-B37F-E557F1E926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7228</xdr:colOff>
      <xdr:row>122</xdr:row>
      <xdr:rowOff>9542</xdr:rowOff>
    </xdr:from>
    <xdr:to>
      <xdr:col>14</xdr:col>
      <xdr:colOff>761156</xdr:colOff>
      <xdr:row>131</xdr:row>
      <xdr:rowOff>190830</xdr:rowOff>
    </xdr:to>
    <xdr:graphicFrame macro="">
      <xdr:nvGraphicFramePr>
        <xdr:cNvPr id="3" name="Chart 2" descr="August falls by day of the week graph.">
          <a:extLst>
            <a:ext uri="{FF2B5EF4-FFF2-40B4-BE49-F238E27FC236}">
              <a16:creationId xmlns:a16="http://schemas.microsoft.com/office/drawing/2014/main" id="{CA9B4AED-4318-432E-8B85-CBE4FEEEF5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106</xdr:row>
      <xdr:rowOff>198782</xdr:rowOff>
    </xdr:from>
    <xdr:to>
      <xdr:col>15</xdr:col>
      <xdr:colOff>731520</xdr:colOff>
      <xdr:row>120</xdr:row>
      <xdr:rowOff>190831</xdr:rowOff>
    </xdr:to>
    <xdr:graphicFrame macro="">
      <xdr:nvGraphicFramePr>
        <xdr:cNvPr id="4" name="Chart 3" descr="August falls by nursing station graph.">
          <a:extLst>
            <a:ext uri="{FF2B5EF4-FFF2-40B4-BE49-F238E27FC236}">
              <a16:creationId xmlns:a16="http://schemas.microsoft.com/office/drawing/2014/main" id="{99383F81-4959-4E37-883F-053F8E254C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2910</xdr:colOff>
      <xdr:row>57</xdr:row>
      <xdr:rowOff>757</xdr:rowOff>
    </xdr:from>
    <xdr:to>
      <xdr:col>15</xdr:col>
      <xdr:colOff>1196809</xdr:colOff>
      <xdr:row>63</xdr:row>
      <xdr:rowOff>54433</xdr:rowOff>
    </xdr:to>
    <xdr:graphicFrame macro="">
      <xdr:nvGraphicFramePr>
        <xdr:cNvPr id="5" name="Chart 4" descr="August falls by BIMS score graph.">
          <a:extLst>
            <a:ext uri="{FF2B5EF4-FFF2-40B4-BE49-F238E27FC236}">
              <a16:creationId xmlns:a16="http://schemas.microsoft.com/office/drawing/2014/main" id="{9928BAD0-3814-4C1E-91C4-7F22EB0B08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10967</xdr:colOff>
      <xdr:row>142</xdr:row>
      <xdr:rowOff>1</xdr:rowOff>
    </xdr:from>
    <xdr:to>
      <xdr:col>18</xdr:col>
      <xdr:colOff>3245</xdr:colOff>
      <xdr:row>168</xdr:row>
      <xdr:rowOff>186613</xdr:rowOff>
    </xdr:to>
    <xdr:graphicFrame macro="">
      <xdr:nvGraphicFramePr>
        <xdr:cNvPr id="7" name="Chart 6" descr="August falls by hour graph.">
          <a:extLst>
            <a:ext uri="{FF2B5EF4-FFF2-40B4-BE49-F238E27FC236}">
              <a16:creationId xmlns:a16="http://schemas.microsoft.com/office/drawing/2014/main" id="{4737ECF2-3F26-4B5A-AF69-E65ED9585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503041</xdr:colOff>
      <xdr:row>64</xdr:row>
      <xdr:rowOff>0</xdr:rowOff>
    </xdr:from>
    <xdr:to>
      <xdr:col>20</xdr:col>
      <xdr:colOff>73021</xdr:colOff>
      <xdr:row>91</xdr:row>
      <xdr:rowOff>0</xdr:rowOff>
    </xdr:to>
    <xdr:graphicFrame macro="">
      <xdr:nvGraphicFramePr>
        <xdr:cNvPr id="8" name="Chart 7" descr="August falls by activity graph.">
          <a:extLst>
            <a:ext uri="{FF2B5EF4-FFF2-40B4-BE49-F238E27FC236}">
              <a16:creationId xmlns:a16="http://schemas.microsoft.com/office/drawing/2014/main" id="{D45CCBF3-6923-4D44-A768-2475FBFF24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5062</xdr:colOff>
      <xdr:row>55</xdr:row>
      <xdr:rowOff>87464</xdr:rowOff>
    </xdr:from>
    <xdr:to>
      <xdr:col>4</xdr:col>
      <xdr:colOff>0</xdr:colOff>
      <xdr:row>63</xdr:row>
      <xdr:rowOff>56879</xdr:rowOff>
    </xdr:to>
    <xdr:graphicFrame macro="">
      <xdr:nvGraphicFramePr>
        <xdr:cNvPr id="9" name="Chart 8" descr="August witnessed falls graph.">
          <a:extLst>
            <a:ext uri="{FF2B5EF4-FFF2-40B4-BE49-F238E27FC236}">
              <a16:creationId xmlns:a16="http://schemas.microsoft.com/office/drawing/2014/main" id="{EAC196E8-9190-4631-AA4E-788FBB9E74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9511</xdr:colOff>
      <xdr:row>169</xdr:row>
      <xdr:rowOff>194729</xdr:rowOff>
    </xdr:from>
    <xdr:to>
      <xdr:col>20</xdr:col>
      <xdr:colOff>215596</xdr:colOff>
      <xdr:row>197</xdr:row>
      <xdr:rowOff>0</xdr:rowOff>
    </xdr:to>
    <xdr:graphicFrame macro="">
      <xdr:nvGraphicFramePr>
        <xdr:cNvPr id="10" name="Chart 9" descr="August falls by contributing factors graph.">
          <a:extLst>
            <a:ext uri="{FF2B5EF4-FFF2-40B4-BE49-F238E27FC236}">
              <a16:creationId xmlns:a16="http://schemas.microsoft.com/office/drawing/2014/main" id="{2BF10DAA-67BF-4E65-95E9-59EAA72025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6666</xdr:colOff>
      <xdr:row>49</xdr:row>
      <xdr:rowOff>195113</xdr:rowOff>
    </xdr:from>
    <xdr:to>
      <xdr:col>15</xdr:col>
      <xdr:colOff>1222581</xdr:colOff>
      <xdr:row>56</xdr:row>
      <xdr:rowOff>2447</xdr:rowOff>
    </xdr:to>
    <xdr:graphicFrame macro="">
      <xdr:nvGraphicFramePr>
        <xdr:cNvPr id="11" name="Chart 10" descr="August falls by circumstances graph.">
          <a:extLst>
            <a:ext uri="{FF2B5EF4-FFF2-40B4-BE49-F238E27FC236}">
              <a16:creationId xmlns:a16="http://schemas.microsoft.com/office/drawing/2014/main" id="{ECBE05B3-C043-4188-B4EC-4D37E022C8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xdr:col>
      <xdr:colOff>0</xdr:colOff>
      <xdr:row>132</xdr:row>
      <xdr:rowOff>197411</xdr:rowOff>
    </xdr:from>
    <xdr:to>
      <xdr:col>14</xdr:col>
      <xdr:colOff>2914</xdr:colOff>
      <xdr:row>140</xdr:row>
      <xdr:rowOff>194012</xdr:rowOff>
    </xdr:to>
    <xdr:graphicFrame macro="">
      <xdr:nvGraphicFramePr>
        <xdr:cNvPr id="12" name="Chart 11" descr="August falls by shift graph.">
          <a:extLst>
            <a:ext uri="{FF2B5EF4-FFF2-40B4-BE49-F238E27FC236}">
              <a16:creationId xmlns:a16="http://schemas.microsoft.com/office/drawing/2014/main" id="{73608CC6-C12B-45E3-9E66-475E74012F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5</xdr:col>
      <xdr:colOff>158</xdr:colOff>
      <xdr:row>91</xdr:row>
      <xdr:rowOff>185727</xdr:rowOff>
    </xdr:from>
    <xdr:to>
      <xdr:col>20</xdr:col>
      <xdr:colOff>85724</xdr:colOff>
      <xdr:row>106</xdr:row>
      <xdr:rowOff>0</xdr:rowOff>
    </xdr:to>
    <xdr:graphicFrame macro="">
      <xdr:nvGraphicFramePr>
        <xdr:cNvPr id="2" name="Chart 1" descr="September falls by location graph.">
          <a:extLst>
            <a:ext uri="{FF2B5EF4-FFF2-40B4-BE49-F238E27FC236}">
              <a16:creationId xmlns:a16="http://schemas.microsoft.com/office/drawing/2014/main" id="{824697A9-063D-4033-9EC1-D0A1FD9B8C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7228</xdr:colOff>
      <xdr:row>122</xdr:row>
      <xdr:rowOff>9542</xdr:rowOff>
    </xdr:from>
    <xdr:to>
      <xdr:col>14</xdr:col>
      <xdr:colOff>761156</xdr:colOff>
      <xdr:row>131</xdr:row>
      <xdr:rowOff>190830</xdr:rowOff>
    </xdr:to>
    <xdr:graphicFrame macro="">
      <xdr:nvGraphicFramePr>
        <xdr:cNvPr id="3" name="Chart 2" descr="September falls by day of the week graph.">
          <a:extLst>
            <a:ext uri="{FF2B5EF4-FFF2-40B4-BE49-F238E27FC236}">
              <a16:creationId xmlns:a16="http://schemas.microsoft.com/office/drawing/2014/main" id="{CA95E1F1-CC9B-47AA-A74F-B970E7B525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106</xdr:row>
      <xdr:rowOff>198782</xdr:rowOff>
    </xdr:from>
    <xdr:to>
      <xdr:col>15</xdr:col>
      <xdr:colOff>731520</xdr:colOff>
      <xdr:row>120</xdr:row>
      <xdr:rowOff>190831</xdr:rowOff>
    </xdr:to>
    <xdr:graphicFrame macro="">
      <xdr:nvGraphicFramePr>
        <xdr:cNvPr id="4" name="Chart 3" descr="September falls by nursing station graph.">
          <a:extLst>
            <a:ext uri="{FF2B5EF4-FFF2-40B4-BE49-F238E27FC236}">
              <a16:creationId xmlns:a16="http://schemas.microsoft.com/office/drawing/2014/main" id="{26B6ED91-D5EB-4E87-9C0B-B8DD3454F2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2910</xdr:colOff>
      <xdr:row>57</xdr:row>
      <xdr:rowOff>757</xdr:rowOff>
    </xdr:from>
    <xdr:to>
      <xdr:col>15</xdr:col>
      <xdr:colOff>1196809</xdr:colOff>
      <xdr:row>63</xdr:row>
      <xdr:rowOff>54433</xdr:rowOff>
    </xdr:to>
    <xdr:graphicFrame macro="">
      <xdr:nvGraphicFramePr>
        <xdr:cNvPr id="5" name="Chart 4" descr="September falls by BIMS score graph.">
          <a:extLst>
            <a:ext uri="{FF2B5EF4-FFF2-40B4-BE49-F238E27FC236}">
              <a16:creationId xmlns:a16="http://schemas.microsoft.com/office/drawing/2014/main" id="{710F56EC-C0BE-4B1C-B40E-E2D91F68E9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10967</xdr:colOff>
      <xdr:row>142</xdr:row>
      <xdr:rowOff>1</xdr:rowOff>
    </xdr:from>
    <xdr:to>
      <xdr:col>18</xdr:col>
      <xdr:colOff>3245</xdr:colOff>
      <xdr:row>168</xdr:row>
      <xdr:rowOff>186613</xdr:rowOff>
    </xdr:to>
    <xdr:graphicFrame macro="">
      <xdr:nvGraphicFramePr>
        <xdr:cNvPr id="7" name="Chart 6" descr="September falls by hour graph.">
          <a:extLst>
            <a:ext uri="{FF2B5EF4-FFF2-40B4-BE49-F238E27FC236}">
              <a16:creationId xmlns:a16="http://schemas.microsoft.com/office/drawing/2014/main" id="{64450EDC-9567-4F0F-8D46-DC39CEB380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503041</xdr:colOff>
      <xdr:row>64</xdr:row>
      <xdr:rowOff>0</xdr:rowOff>
    </xdr:from>
    <xdr:to>
      <xdr:col>20</xdr:col>
      <xdr:colOff>73021</xdr:colOff>
      <xdr:row>91</xdr:row>
      <xdr:rowOff>0</xdr:rowOff>
    </xdr:to>
    <xdr:graphicFrame macro="">
      <xdr:nvGraphicFramePr>
        <xdr:cNvPr id="8" name="Chart 7" descr="September falls by activity graph.">
          <a:extLst>
            <a:ext uri="{FF2B5EF4-FFF2-40B4-BE49-F238E27FC236}">
              <a16:creationId xmlns:a16="http://schemas.microsoft.com/office/drawing/2014/main" id="{1E454167-9767-40A1-B23F-987CF45BDB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5062</xdr:colOff>
      <xdr:row>55</xdr:row>
      <xdr:rowOff>87464</xdr:rowOff>
    </xdr:from>
    <xdr:to>
      <xdr:col>4</xdr:col>
      <xdr:colOff>0</xdr:colOff>
      <xdr:row>63</xdr:row>
      <xdr:rowOff>56879</xdr:rowOff>
    </xdr:to>
    <xdr:graphicFrame macro="">
      <xdr:nvGraphicFramePr>
        <xdr:cNvPr id="9" name="Chart 8" descr="September witnessed falls graph.">
          <a:extLst>
            <a:ext uri="{FF2B5EF4-FFF2-40B4-BE49-F238E27FC236}">
              <a16:creationId xmlns:a16="http://schemas.microsoft.com/office/drawing/2014/main" id="{A211361E-0BA0-40D1-9A67-ADE0C118A4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9511</xdr:colOff>
      <xdr:row>169</xdr:row>
      <xdr:rowOff>194729</xdr:rowOff>
    </xdr:from>
    <xdr:to>
      <xdr:col>20</xdr:col>
      <xdr:colOff>215596</xdr:colOff>
      <xdr:row>197</xdr:row>
      <xdr:rowOff>0</xdr:rowOff>
    </xdr:to>
    <xdr:graphicFrame macro="">
      <xdr:nvGraphicFramePr>
        <xdr:cNvPr id="10" name="Chart 9" descr="September falls by contributing factors graph.">
          <a:extLst>
            <a:ext uri="{FF2B5EF4-FFF2-40B4-BE49-F238E27FC236}">
              <a16:creationId xmlns:a16="http://schemas.microsoft.com/office/drawing/2014/main" id="{99864821-7F55-4B6F-B296-2EC05F9EDA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6666</xdr:colOff>
      <xdr:row>49</xdr:row>
      <xdr:rowOff>195113</xdr:rowOff>
    </xdr:from>
    <xdr:to>
      <xdr:col>15</xdr:col>
      <xdr:colOff>1222581</xdr:colOff>
      <xdr:row>56</xdr:row>
      <xdr:rowOff>2447</xdr:rowOff>
    </xdr:to>
    <xdr:graphicFrame macro="">
      <xdr:nvGraphicFramePr>
        <xdr:cNvPr id="11" name="Chart 10" descr="September falls by circumstances graph.">
          <a:extLst>
            <a:ext uri="{FF2B5EF4-FFF2-40B4-BE49-F238E27FC236}">
              <a16:creationId xmlns:a16="http://schemas.microsoft.com/office/drawing/2014/main" id="{9037CCB5-CB00-4854-9B77-86B3204F0D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xdr:col>
      <xdr:colOff>0</xdr:colOff>
      <xdr:row>132</xdr:row>
      <xdr:rowOff>197411</xdr:rowOff>
    </xdr:from>
    <xdr:to>
      <xdr:col>14</xdr:col>
      <xdr:colOff>2914</xdr:colOff>
      <xdr:row>140</xdr:row>
      <xdr:rowOff>194012</xdr:rowOff>
    </xdr:to>
    <xdr:graphicFrame macro="">
      <xdr:nvGraphicFramePr>
        <xdr:cNvPr id="12" name="Chart 11" descr="September falls by shift.">
          <a:extLst>
            <a:ext uri="{FF2B5EF4-FFF2-40B4-BE49-F238E27FC236}">
              <a16:creationId xmlns:a16="http://schemas.microsoft.com/office/drawing/2014/main" id="{4EC0577E-7553-4D17-9BC9-6E8866982F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5</xdr:col>
      <xdr:colOff>158</xdr:colOff>
      <xdr:row>91</xdr:row>
      <xdr:rowOff>185727</xdr:rowOff>
    </xdr:from>
    <xdr:to>
      <xdr:col>20</xdr:col>
      <xdr:colOff>85724</xdr:colOff>
      <xdr:row>106</xdr:row>
      <xdr:rowOff>0</xdr:rowOff>
    </xdr:to>
    <xdr:graphicFrame macro="">
      <xdr:nvGraphicFramePr>
        <xdr:cNvPr id="2" name="Chart 1" descr="October falls by location graph.">
          <a:extLst>
            <a:ext uri="{FF2B5EF4-FFF2-40B4-BE49-F238E27FC236}">
              <a16:creationId xmlns:a16="http://schemas.microsoft.com/office/drawing/2014/main" id="{EC317D8D-2EEF-450B-BF97-FAE6C2E998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7228</xdr:colOff>
      <xdr:row>122</xdr:row>
      <xdr:rowOff>9542</xdr:rowOff>
    </xdr:from>
    <xdr:to>
      <xdr:col>14</xdr:col>
      <xdr:colOff>761156</xdr:colOff>
      <xdr:row>131</xdr:row>
      <xdr:rowOff>190830</xdr:rowOff>
    </xdr:to>
    <xdr:graphicFrame macro="">
      <xdr:nvGraphicFramePr>
        <xdr:cNvPr id="3" name="Chart 2" descr="October falls by day of the week graph.">
          <a:extLst>
            <a:ext uri="{FF2B5EF4-FFF2-40B4-BE49-F238E27FC236}">
              <a16:creationId xmlns:a16="http://schemas.microsoft.com/office/drawing/2014/main" id="{4A9F7EAC-70E2-47B5-9D50-A8AC1B89D0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106</xdr:row>
      <xdr:rowOff>198782</xdr:rowOff>
    </xdr:from>
    <xdr:to>
      <xdr:col>15</xdr:col>
      <xdr:colOff>731520</xdr:colOff>
      <xdr:row>120</xdr:row>
      <xdr:rowOff>190831</xdr:rowOff>
    </xdr:to>
    <xdr:graphicFrame macro="">
      <xdr:nvGraphicFramePr>
        <xdr:cNvPr id="4" name="Chart 3" descr="October falls by nursing station graph.">
          <a:extLst>
            <a:ext uri="{FF2B5EF4-FFF2-40B4-BE49-F238E27FC236}">
              <a16:creationId xmlns:a16="http://schemas.microsoft.com/office/drawing/2014/main" id="{49283B2C-C3BE-49C4-AA10-5E3A74E25E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2910</xdr:colOff>
      <xdr:row>57</xdr:row>
      <xdr:rowOff>757</xdr:rowOff>
    </xdr:from>
    <xdr:to>
      <xdr:col>15</xdr:col>
      <xdr:colOff>1196809</xdr:colOff>
      <xdr:row>63</xdr:row>
      <xdr:rowOff>54433</xdr:rowOff>
    </xdr:to>
    <xdr:graphicFrame macro="">
      <xdr:nvGraphicFramePr>
        <xdr:cNvPr id="5" name="Chart 4" descr="October falls by BIMS score graph.">
          <a:extLst>
            <a:ext uri="{FF2B5EF4-FFF2-40B4-BE49-F238E27FC236}">
              <a16:creationId xmlns:a16="http://schemas.microsoft.com/office/drawing/2014/main" id="{028ABC97-413C-4B60-9ADF-B7EE8464D0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10967</xdr:colOff>
      <xdr:row>142</xdr:row>
      <xdr:rowOff>1</xdr:rowOff>
    </xdr:from>
    <xdr:to>
      <xdr:col>18</xdr:col>
      <xdr:colOff>3245</xdr:colOff>
      <xdr:row>168</xdr:row>
      <xdr:rowOff>186613</xdr:rowOff>
    </xdr:to>
    <xdr:graphicFrame macro="">
      <xdr:nvGraphicFramePr>
        <xdr:cNvPr id="7" name="Chart 6" descr="October falls by hour graph.">
          <a:extLst>
            <a:ext uri="{FF2B5EF4-FFF2-40B4-BE49-F238E27FC236}">
              <a16:creationId xmlns:a16="http://schemas.microsoft.com/office/drawing/2014/main" id="{EC27F18B-38AF-4459-B238-CF13FE477F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503041</xdr:colOff>
      <xdr:row>64</xdr:row>
      <xdr:rowOff>0</xdr:rowOff>
    </xdr:from>
    <xdr:to>
      <xdr:col>20</xdr:col>
      <xdr:colOff>73021</xdr:colOff>
      <xdr:row>91</xdr:row>
      <xdr:rowOff>0</xdr:rowOff>
    </xdr:to>
    <xdr:graphicFrame macro="">
      <xdr:nvGraphicFramePr>
        <xdr:cNvPr id="8" name="Chart 7" descr="October falls by activity graph.">
          <a:extLst>
            <a:ext uri="{FF2B5EF4-FFF2-40B4-BE49-F238E27FC236}">
              <a16:creationId xmlns:a16="http://schemas.microsoft.com/office/drawing/2014/main" id="{384CC47F-3204-45A4-80C9-78647A271C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5062</xdr:colOff>
      <xdr:row>55</xdr:row>
      <xdr:rowOff>87464</xdr:rowOff>
    </xdr:from>
    <xdr:to>
      <xdr:col>4</xdr:col>
      <xdr:colOff>0</xdr:colOff>
      <xdr:row>63</xdr:row>
      <xdr:rowOff>56879</xdr:rowOff>
    </xdr:to>
    <xdr:graphicFrame macro="">
      <xdr:nvGraphicFramePr>
        <xdr:cNvPr id="9" name="Chart 8" descr="October witnessed falls graph.">
          <a:extLst>
            <a:ext uri="{FF2B5EF4-FFF2-40B4-BE49-F238E27FC236}">
              <a16:creationId xmlns:a16="http://schemas.microsoft.com/office/drawing/2014/main" id="{40E62C23-0152-49A0-8E77-4A1F844E54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9511</xdr:colOff>
      <xdr:row>169</xdr:row>
      <xdr:rowOff>194729</xdr:rowOff>
    </xdr:from>
    <xdr:to>
      <xdr:col>20</xdr:col>
      <xdr:colOff>215596</xdr:colOff>
      <xdr:row>197</xdr:row>
      <xdr:rowOff>0</xdr:rowOff>
    </xdr:to>
    <xdr:graphicFrame macro="">
      <xdr:nvGraphicFramePr>
        <xdr:cNvPr id="10" name="Chart 9" descr="October falls by contributing factors graph.">
          <a:extLst>
            <a:ext uri="{FF2B5EF4-FFF2-40B4-BE49-F238E27FC236}">
              <a16:creationId xmlns:a16="http://schemas.microsoft.com/office/drawing/2014/main" id="{10A1BB0F-2C12-43A0-A014-46309C6ABF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6666</xdr:colOff>
      <xdr:row>49</xdr:row>
      <xdr:rowOff>195113</xdr:rowOff>
    </xdr:from>
    <xdr:to>
      <xdr:col>15</xdr:col>
      <xdr:colOff>1222581</xdr:colOff>
      <xdr:row>56</xdr:row>
      <xdr:rowOff>2447</xdr:rowOff>
    </xdr:to>
    <xdr:graphicFrame macro="">
      <xdr:nvGraphicFramePr>
        <xdr:cNvPr id="11" name="Chart 10" descr="October falls by circumstances graph.">
          <a:extLst>
            <a:ext uri="{FF2B5EF4-FFF2-40B4-BE49-F238E27FC236}">
              <a16:creationId xmlns:a16="http://schemas.microsoft.com/office/drawing/2014/main" id="{4D11F099-9BE2-4E59-A563-33B6D112C7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xdr:col>
      <xdr:colOff>0</xdr:colOff>
      <xdr:row>132</xdr:row>
      <xdr:rowOff>197411</xdr:rowOff>
    </xdr:from>
    <xdr:to>
      <xdr:col>14</xdr:col>
      <xdr:colOff>2914</xdr:colOff>
      <xdr:row>140</xdr:row>
      <xdr:rowOff>194012</xdr:rowOff>
    </xdr:to>
    <xdr:graphicFrame macro="">
      <xdr:nvGraphicFramePr>
        <xdr:cNvPr id="12" name="Chart 11" descr="October falls by shift graph.">
          <a:extLst>
            <a:ext uri="{FF2B5EF4-FFF2-40B4-BE49-F238E27FC236}">
              <a16:creationId xmlns:a16="http://schemas.microsoft.com/office/drawing/2014/main" id="{0B8C33A6-8963-4EDD-BD81-86C2015888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5</xdr:col>
      <xdr:colOff>158</xdr:colOff>
      <xdr:row>91</xdr:row>
      <xdr:rowOff>185727</xdr:rowOff>
    </xdr:from>
    <xdr:to>
      <xdr:col>20</xdr:col>
      <xdr:colOff>85724</xdr:colOff>
      <xdr:row>106</xdr:row>
      <xdr:rowOff>0</xdr:rowOff>
    </xdr:to>
    <xdr:graphicFrame macro="">
      <xdr:nvGraphicFramePr>
        <xdr:cNvPr id="2" name="Chart 1" descr="November falls by location graph.">
          <a:extLst>
            <a:ext uri="{FF2B5EF4-FFF2-40B4-BE49-F238E27FC236}">
              <a16:creationId xmlns:a16="http://schemas.microsoft.com/office/drawing/2014/main" id="{AC4872A2-29BB-4E5F-B44B-B42034FE96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7228</xdr:colOff>
      <xdr:row>122</xdr:row>
      <xdr:rowOff>9542</xdr:rowOff>
    </xdr:from>
    <xdr:to>
      <xdr:col>14</xdr:col>
      <xdr:colOff>761156</xdr:colOff>
      <xdr:row>131</xdr:row>
      <xdr:rowOff>190830</xdr:rowOff>
    </xdr:to>
    <xdr:graphicFrame macro="">
      <xdr:nvGraphicFramePr>
        <xdr:cNvPr id="3" name="Chart 2" descr="November falls by day of the week graph.">
          <a:extLst>
            <a:ext uri="{FF2B5EF4-FFF2-40B4-BE49-F238E27FC236}">
              <a16:creationId xmlns:a16="http://schemas.microsoft.com/office/drawing/2014/main" id="{B97CDF2C-3104-403B-9604-4761ACAB8D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106</xdr:row>
      <xdr:rowOff>198782</xdr:rowOff>
    </xdr:from>
    <xdr:to>
      <xdr:col>15</xdr:col>
      <xdr:colOff>731520</xdr:colOff>
      <xdr:row>120</xdr:row>
      <xdr:rowOff>190831</xdr:rowOff>
    </xdr:to>
    <xdr:graphicFrame macro="">
      <xdr:nvGraphicFramePr>
        <xdr:cNvPr id="4" name="Chart 3" descr="November falls by nursing station graph.">
          <a:extLst>
            <a:ext uri="{FF2B5EF4-FFF2-40B4-BE49-F238E27FC236}">
              <a16:creationId xmlns:a16="http://schemas.microsoft.com/office/drawing/2014/main" id="{7DE7B4BB-C039-4FC2-B1B9-C283881985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2910</xdr:colOff>
      <xdr:row>57</xdr:row>
      <xdr:rowOff>757</xdr:rowOff>
    </xdr:from>
    <xdr:to>
      <xdr:col>15</xdr:col>
      <xdr:colOff>1196809</xdr:colOff>
      <xdr:row>63</xdr:row>
      <xdr:rowOff>54433</xdr:rowOff>
    </xdr:to>
    <xdr:graphicFrame macro="">
      <xdr:nvGraphicFramePr>
        <xdr:cNvPr id="5" name="Chart 4" descr="November falls by BIMS score graph.">
          <a:extLst>
            <a:ext uri="{FF2B5EF4-FFF2-40B4-BE49-F238E27FC236}">
              <a16:creationId xmlns:a16="http://schemas.microsoft.com/office/drawing/2014/main" id="{F48B4A18-6D8D-4E7F-B7EB-2F8BA7C56E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10967</xdr:colOff>
      <xdr:row>142</xdr:row>
      <xdr:rowOff>1</xdr:rowOff>
    </xdr:from>
    <xdr:to>
      <xdr:col>18</xdr:col>
      <xdr:colOff>3245</xdr:colOff>
      <xdr:row>168</xdr:row>
      <xdr:rowOff>186613</xdr:rowOff>
    </xdr:to>
    <xdr:graphicFrame macro="">
      <xdr:nvGraphicFramePr>
        <xdr:cNvPr id="7" name="Chart 6" descr="November falls by hour graph.">
          <a:extLst>
            <a:ext uri="{FF2B5EF4-FFF2-40B4-BE49-F238E27FC236}">
              <a16:creationId xmlns:a16="http://schemas.microsoft.com/office/drawing/2014/main" id="{D56DC9DF-AB26-4120-8630-2F67467F5F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503041</xdr:colOff>
      <xdr:row>64</xdr:row>
      <xdr:rowOff>0</xdr:rowOff>
    </xdr:from>
    <xdr:to>
      <xdr:col>20</xdr:col>
      <xdr:colOff>73021</xdr:colOff>
      <xdr:row>91</xdr:row>
      <xdr:rowOff>0</xdr:rowOff>
    </xdr:to>
    <xdr:graphicFrame macro="">
      <xdr:nvGraphicFramePr>
        <xdr:cNvPr id="8" name="Chart 7" descr="November falls by activity graph.">
          <a:extLst>
            <a:ext uri="{FF2B5EF4-FFF2-40B4-BE49-F238E27FC236}">
              <a16:creationId xmlns:a16="http://schemas.microsoft.com/office/drawing/2014/main" id="{4EA8A492-8C70-4025-A50E-8A99676908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5062</xdr:colOff>
      <xdr:row>55</xdr:row>
      <xdr:rowOff>87464</xdr:rowOff>
    </xdr:from>
    <xdr:to>
      <xdr:col>4</xdr:col>
      <xdr:colOff>0</xdr:colOff>
      <xdr:row>63</xdr:row>
      <xdr:rowOff>56879</xdr:rowOff>
    </xdr:to>
    <xdr:graphicFrame macro="">
      <xdr:nvGraphicFramePr>
        <xdr:cNvPr id="9" name="Chart 8" descr="November witnessed falls graph.">
          <a:extLst>
            <a:ext uri="{FF2B5EF4-FFF2-40B4-BE49-F238E27FC236}">
              <a16:creationId xmlns:a16="http://schemas.microsoft.com/office/drawing/2014/main" id="{B1A18663-A12F-419D-A088-3D63C06E6B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9511</xdr:colOff>
      <xdr:row>169</xdr:row>
      <xdr:rowOff>194729</xdr:rowOff>
    </xdr:from>
    <xdr:to>
      <xdr:col>20</xdr:col>
      <xdr:colOff>215596</xdr:colOff>
      <xdr:row>197</xdr:row>
      <xdr:rowOff>0</xdr:rowOff>
    </xdr:to>
    <xdr:graphicFrame macro="">
      <xdr:nvGraphicFramePr>
        <xdr:cNvPr id="10" name="Chart 9" descr="November falls by contributing factors graph.">
          <a:extLst>
            <a:ext uri="{FF2B5EF4-FFF2-40B4-BE49-F238E27FC236}">
              <a16:creationId xmlns:a16="http://schemas.microsoft.com/office/drawing/2014/main" id="{6AAE3A00-6B66-4BFF-BD7F-F5DDE9E6EC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6666</xdr:colOff>
      <xdr:row>49</xdr:row>
      <xdr:rowOff>195113</xdr:rowOff>
    </xdr:from>
    <xdr:to>
      <xdr:col>15</xdr:col>
      <xdr:colOff>1222581</xdr:colOff>
      <xdr:row>56</xdr:row>
      <xdr:rowOff>2447</xdr:rowOff>
    </xdr:to>
    <xdr:graphicFrame macro="">
      <xdr:nvGraphicFramePr>
        <xdr:cNvPr id="11" name="Chart 10" descr="November falls by circumstances graph.">
          <a:extLst>
            <a:ext uri="{FF2B5EF4-FFF2-40B4-BE49-F238E27FC236}">
              <a16:creationId xmlns:a16="http://schemas.microsoft.com/office/drawing/2014/main" id="{8E063A43-77C9-41DA-831A-220B7FE9F1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xdr:col>
      <xdr:colOff>0</xdr:colOff>
      <xdr:row>132</xdr:row>
      <xdr:rowOff>197411</xdr:rowOff>
    </xdr:from>
    <xdr:to>
      <xdr:col>14</xdr:col>
      <xdr:colOff>2914</xdr:colOff>
      <xdr:row>140</xdr:row>
      <xdr:rowOff>194012</xdr:rowOff>
    </xdr:to>
    <xdr:graphicFrame macro="">
      <xdr:nvGraphicFramePr>
        <xdr:cNvPr id="12" name="Chart 11" descr="November falls by shift graph.">
          <a:extLst>
            <a:ext uri="{FF2B5EF4-FFF2-40B4-BE49-F238E27FC236}">
              <a16:creationId xmlns:a16="http://schemas.microsoft.com/office/drawing/2014/main" id="{7982A2BA-F267-427F-87A1-ABA56345D5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5</xdr:col>
      <xdr:colOff>159</xdr:colOff>
      <xdr:row>91</xdr:row>
      <xdr:rowOff>185727</xdr:rowOff>
    </xdr:from>
    <xdr:to>
      <xdr:col>20</xdr:col>
      <xdr:colOff>76200</xdr:colOff>
      <xdr:row>106</xdr:row>
      <xdr:rowOff>0</xdr:rowOff>
    </xdr:to>
    <xdr:graphicFrame macro="">
      <xdr:nvGraphicFramePr>
        <xdr:cNvPr id="2" name="Chart 1" descr="December falls by location graph.">
          <a:extLst>
            <a:ext uri="{FF2B5EF4-FFF2-40B4-BE49-F238E27FC236}">
              <a16:creationId xmlns:a16="http://schemas.microsoft.com/office/drawing/2014/main" id="{23B2839B-C1AC-4755-97A9-EC7EBDFC3C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7228</xdr:colOff>
      <xdr:row>122</xdr:row>
      <xdr:rowOff>9542</xdr:rowOff>
    </xdr:from>
    <xdr:to>
      <xdr:col>14</xdr:col>
      <xdr:colOff>761156</xdr:colOff>
      <xdr:row>131</xdr:row>
      <xdr:rowOff>190830</xdr:rowOff>
    </xdr:to>
    <xdr:graphicFrame macro="">
      <xdr:nvGraphicFramePr>
        <xdr:cNvPr id="3" name="Chart 2" descr="December falls by day of the week graph.">
          <a:extLst>
            <a:ext uri="{FF2B5EF4-FFF2-40B4-BE49-F238E27FC236}">
              <a16:creationId xmlns:a16="http://schemas.microsoft.com/office/drawing/2014/main" id="{E9EEC4A8-9052-4F6F-BF67-A6E28B3A84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106</xdr:row>
      <xdr:rowOff>198782</xdr:rowOff>
    </xdr:from>
    <xdr:to>
      <xdr:col>15</xdr:col>
      <xdr:colOff>731520</xdr:colOff>
      <xdr:row>120</xdr:row>
      <xdr:rowOff>190831</xdr:rowOff>
    </xdr:to>
    <xdr:graphicFrame macro="">
      <xdr:nvGraphicFramePr>
        <xdr:cNvPr id="4" name="Chart 3" descr="December falls by nursing station graph.">
          <a:extLst>
            <a:ext uri="{FF2B5EF4-FFF2-40B4-BE49-F238E27FC236}">
              <a16:creationId xmlns:a16="http://schemas.microsoft.com/office/drawing/2014/main" id="{F2D64064-6837-4E83-A308-6262354C6A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2910</xdr:colOff>
      <xdr:row>57</xdr:row>
      <xdr:rowOff>757</xdr:rowOff>
    </xdr:from>
    <xdr:to>
      <xdr:col>15</xdr:col>
      <xdr:colOff>1196809</xdr:colOff>
      <xdr:row>63</xdr:row>
      <xdr:rowOff>54433</xdr:rowOff>
    </xdr:to>
    <xdr:graphicFrame macro="">
      <xdr:nvGraphicFramePr>
        <xdr:cNvPr id="5" name="Chart 4" descr="December falls by BIMS score graph.">
          <a:extLst>
            <a:ext uri="{FF2B5EF4-FFF2-40B4-BE49-F238E27FC236}">
              <a16:creationId xmlns:a16="http://schemas.microsoft.com/office/drawing/2014/main" id="{5034C690-D219-4E03-BF36-326FBFBF4C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10967</xdr:colOff>
      <xdr:row>142</xdr:row>
      <xdr:rowOff>1</xdr:rowOff>
    </xdr:from>
    <xdr:to>
      <xdr:col>18</xdr:col>
      <xdr:colOff>3245</xdr:colOff>
      <xdr:row>168</xdr:row>
      <xdr:rowOff>186613</xdr:rowOff>
    </xdr:to>
    <xdr:graphicFrame macro="">
      <xdr:nvGraphicFramePr>
        <xdr:cNvPr id="7" name="Chart 6" descr="December falls by hour graph.">
          <a:extLst>
            <a:ext uri="{FF2B5EF4-FFF2-40B4-BE49-F238E27FC236}">
              <a16:creationId xmlns:a16="http://schemas.microsoft.com/office/drawing/2014/main" id="{665F9FB0-4564-4F41-B09C-FD9B5990F9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503041</xdr:colOff>
      <xdr:row>64</xdr:row>
      <xdr:rowOff>0</xdr:rowOff>
    </xdr:from>
    <xdr:to>
      <xdr:col>20</xdr:col>
      <xdr:colOff>73021</xdr:colOff>
      <xdr:row>91</xdr:row>
      <xdr:rowOff>0</xdr:rowOff>
    </xdr:to>
    <xdr:graphicFrame macro="">
      <xdr:nvGraphicFramePr>
        <xdr:cNvPr id="8" name="Chart 7" descr="December falls by activity graph.">
          <a:extLst>
            <a:ext uri="{FF2B5EF4-FFF2-40B4-BE49-F238E27FC236}">
              <a16:creationId xmlns:a16="http://schemas.microsoft.com/office/drawing/2014/main" id="{C9374D27-4F16-4443-B240-4098C8707F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5062</xdr:colOff>
      <xdr:row>55</xdr:row>
      <xdr:rowOff>87464</xdr:rowOff>
    </xdr:from>
    <xdr:to>
      <xdr:col>4</xdr:col>
      <xdr:colOff>0</xdr:colOff>
      <xdr:row>63</xdr:row>
      <xdr:rowOff>56879</xdr:rowOff>
    </xdr:to>
    <xdr:graphicFrame macro="">
      <xdr:nvGraphicFramePr>
        <xdr:cNvPr id="9" name="Chart 8" descr="December witnessed falls graph.">
          <a:extLst>
            <a:ext uri="{FF2B5EF4-FFF2-40B4-BE49-F238E27FC236}">
              <a16:creationId xmlns:a16="http://schemas.microsoft.com/office/drawing/2014/main" id="{8D373ED6-FCD2-497F-B44D-CCCF6560FC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9511</xdr:colOff>
      <xdr:row>169</xdr:row>
      <xdr:rowOff>194729</xdr:rowOff>
    </xdr:from>
    <xdr:to>
      <xdr:col>20</xdr:col>
      <xdr:colOff>215596</xdr:colOff>
      <xdr:row>197</xdr:row>
      <xdr:rowOff>0</xdr:rowOff>
    </xdr:to>
    <xdr:graphicFrame macro="">
      <xdr:nvGraphicFramePr>
        <xdr:cNvPr id="10" name="Chart 9" descr="December falls by contributing factors graph.">
          <a:extLst>
            <a:ext uri="{FF2B5EF4-FFF2-40B4-BE49-F238E27FC236}">
              <a16:creationId xmlns:a16="http://schemas.microsoft.com/office/drawing/2014/main" id="{994A9BD1-07F0-4A16-9D05-C5D448E9C3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6666</xdr:colOff>
      <xdr:row>49</xdr:row>
      <xdr:rowOff>195113</xdr:rowOff>
    </xdr:from>
    <xdr:to>
      <xdr:col>15</xdr:col>
      <xdr:colOff>1222581</xdr:colOff>
      <xdr:row>56</xdr:row>
      <xdr:rowOff>2447</xdr:rowOff>
    </xdr:to>
    <xdr:graphicFrame macro="">
      <xdr:nvGraphicFramePr>
        <xdr:cNvPr id="11" name="Chart 10" descr="December falls by circumstances graph.">
          <a:extLst>
            <a:ext uri="{FF2B5EF4-FFF2-40B4-BE49-F238E27FC236}">
              <a16:creationId xmlns:a16="http://schemas.microsoft.com/office/drawing/2014/main" id="{E0D65ED0-52A3-447A-A161-3F503D88C2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xdr:col>
      <xdr:colOff>0</xdr:colOff>
      <xdr:row>132</xdr:row>
      <xdr:rowOff>197411</xdr:rowOff>
    </xdr:from>
    <xdr:to>
      <xdr:col>14</xdr:col>
      <xdr:colOff>2914</xdr:colOff>
      <xdr:row>140</xdr:row>
      <xdr:rowOff>194012</xdr:rowOff>
    </xdr:to>
    <xdr:graphicFrame macro="">
      <xdr:nvGraphicFramePr>
        <xdr:cNvPr id="12" name="Chart 11" descr="December falls by shift graph.">
          <a:extLst>
            <a:ext uri="{FF2B5EF4-FFF2-40B4-BE49-F238E27FC236}">
              <a16:creationId xmlns:a16="http://schemas.microsoft.com/office/drawing/2014/main" id="{DCACC4E7-348A-4D2D-9D2F-E640A8E975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xdr:col>
      <xdr:colOff>8114</xdr:colOff>
      <xdr:row>8</xdr:row>
      <xdr:rowOff>88051</xdr:rowOff>
    </xdr:from>
    <xdr:to>
      <xdr:col>15</xdr:col>
      <xdr:colOff>16228</xdr:colOff>
      <xdr:row>19</xdr:row>
      <xdr:rowOff>61604</xdr:rowOff>
    </xdr:to>
    <xdr:graphicFrame macro="">
      <xdr:nvGraphicFramePr>
        <xdr:cNvPr id="2" name="Chart 1" descr="Total number of falls by month graph.">
          <a:extLst>
            <a:ext uri="{FF2B5EF4-FFF2-40B4-BE49-F238E27FC236}">
              <a16:creationId xmlns:a16="http://schemas.microsoft.com/office/drawing/2014/main" id="{3A4FCF47-140C-4365-AE2C-426ACF2471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150037</xdr:colOff>
      <xdr:row>35</xdr:row>
      <xdr:rowOff>63278</xdr:rowOff>
    </xdr:from>
    <xdr:to>
      <xdr:col>14</xdr:col>
      <xdr:colOff>571619</xdr:colOff>
      <xdr:row>43</xdr:row>
      <xdr:rowOff>31805</xdr:rowOff>
    </xdr:to>
    <xdr:graphicFrame macro="">
      <xdr:nvGraphicFramePr>
        <xdr:cNvPr id="10" name="Chart 9" descr="Fall rate by month graph.">
          <a:extLst>
            <a:ext uri="{FF2B5EF4-FFF2-40B4-BE49-F238E27FC236}">
              <a16:creationId xmlns:a16="http://schemas.microsoft.com/office/drawing/2014/main" id="{28618A7E-5AD7-46F9-BEEB-E31A51AB87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276567</xdr:colOff>
      <xdr:row>19</xdr:row>
      <xdr:rowOff>138283</xdr:rowOff>
    </xdr:from>
    <xdr:to>
      <xdr:col>15</xdr:col>
      <xdr:colOff>1200</xdr:colOff>
      <xdr:row>30</xdr:row>
      <xdr:rowOff>111836</xdr:rowOff>
    </xdr:to>
    <xdr:graphicFrame macro="">
      <xdr:nvGraphicFramePr>
        <xdr:cNvPr id="12" name="Chart 11" descr="Number of falls per month by category graph.">
          <a:extLst>
            <a:ext uri="{FF2B5EF4-FFF2-40B4-BE49-F238E27FC236}">
              <a16:creationId xmlns:a16="http://schemas.microsoft.com/office/drawing/2014/main" id="{BAE3EDC8-209C-4072-AA60-63F320B56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5</xdr:col>
      <xdr:colOff>13828</xdr:colOff>
      <xdr:row>7</xdr:row>
      <xdr:rowOff>48399</xdr:rowOff>
    </xdr:from>
    <xdr:to>
      <xdr:col>9</xdr:col>
      <xdr:colOff>297310</xdr:colOff>
      <xdr:row>14</xdr:row>
      <xdr:rowOff>110626</xdr:rowOff>
    </xdr:to>
    <xdr:graphicFrame macro="">
      <xdr:nvGraphicFramePr>
        <xdr:cNvPr id="8" name="Chart 7" descr="BIMS score graph.">
          <a:extLst>
            <a:ext uri="{FF2B5EF4-FFF2-40B4-BE49-F238E27FC236}">
              <a16:creationId xmlns:a16="http://schemas.microsoft.com/office/drawing/2014/main" id="{845FB257-FF7D-4784-89EB-B5C064C075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5059</xdr:colOff>
      <xdr:row>21</xdr:row>
      <xdr:rowOff>76054</xdr:rowOff>
    </xdr:from>
    <xdr:to>
      <xdr:col>9</xdr:col>
      <xdr:colOff>62228</xdr:colOff>
      <xdr:row>28</xdr:row>
      <xdr:rowOff>124453</xdr:rowOff>
    </xdr:to>
    <xdr:graphicFrame macro="">
      <xdr:nvGraphicFramePr>
        <xdr:cNvPr id="11" name="Chart 10" descr="Fall circumstances graph.">
          <a:extLst>
            <a:ext uri="{FF2B5EF4-FFF2-40B4-BE49-F238E27FC236}">
              <a16:creationId xmlns:a16="http://schemas.microsoft.com/office/drawing/2014/main" id="{365A9E61-0BD3-46DA-BB2E-F330EFEC20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606594</xdr:colOff>
      <xdr:row>34</xdr:row>
      <xdr:rowOff>76055</xdr:rowOff>
    </xdr:from>
    <xdr:to>
      <xdr:col>8</xdr:col>
      <xdr:colOff>629189</xdr:colOff>
      <xdr:row>41</xdr:row>
      <xdr:rowOff>117541</xdr:rowOff>
    </xdr:to>
    <xdr:graphicFrame macro="">
      <xdr:nvGraphicFramePr>
        <xdr:cNvPr id="12" name="Chart 11" descr="Witnessed falls graph.">
          <a:extLst>
            <a:ext uri="{FF2B5EF4-FFF2-40B4-BE49-F238E27FC236}">
              <a16:creationId xmlns:a16="http://schemas.microsoft.com/office/drawing/2014/main" id="{A38E8BAA-DCBA-4C52-85C0-84851AFCD3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198241</xdr:colOff>
      <xdr:row>69</xdr:row>
      <xdr:rowOff>162924</xdr:rowOff>
    </xdr:from>
    <xdr:to>
      <xdr:col>19</xdr:col>
      <xdr:colOff>26504</xdr:colOff>
      <xdr:row>96</xdr:row>
      <xdr:rowOff>172280</xdr:rowOff>
    </xdr:to>
    <xdr:graphicFrame macro="">
      <xdr:nvGraphicFramePr>
        <xdr:cNvPr id="14" name="Chart 13" descr="Falls by activity graph.">
          <a:extLst>
            <a:ext uri="{FF2B5EF4-FFF2-40B4-BE49-F238E27FC236}">
              <a16:creationId xmlns:a16="http://schemas.microsoft.com/office/drawing/2014/main" id="{11DC2061-1037-4DB9-A9B4-23AFB2368E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183260</xdr:colOff>
      <xdr:row>125</xdr:row>
      <xdr:rowOff>134230</xdr:rowOff>
    </xdr:from>
    <xdr:to>
      <xdr:col>19</xdr:col>
      <xdr:colOff>26504</xdr:colOff>
      <xdr:row>153</xdr:row>
      <xdr:rowOff>21203</xdr:rowOff>
    </xdr:to>
    <xdr:graphicFrame macro="">
      <xdr:nvGraphicFramePr>
        <xdr:cNvPr id="15" name="Chart 14" descr="Falls by contributing factors graphs.">
          <a:extLst>
            <a:ext uri="{FF2B5EF4-FFF2-40B4-BE49-F238E27FC236}">
              <a16:creationId xmlns:a16="http://schemas.microsoft.com/office/drawing/2014/main" id="{F10EDEE6-072F-4166-B0EA-BCBFD11DA5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3</xdr:col>
      <xdr:colOff>716888</xdr:colOff>
      <xdr:row>15</xdr:row>
      <xdr:rowOff>176735</xdr:rowOff>
    </xdr:from>
    <xdr:to>
      <xdr:col>13</xdr:col>
      <xdr:colOff>270994</xdr:colOff>
      <xdr:row>29</xdr:row>
      <xdr:rowOff>186610</xdr:rowOff>
    </xdr:to>
    <xdr:graphicFrame macro="">
      <xdr:nvGraphicFramePr>
        <xdr:cNvPr id="2" name="Chart 1" descr="Number of falls by nurses station graph.">
          <a:extLst>
            <a:ext uri="{FF2B5EF4-FFF2-40B4-BE49-F238E27FC236}">
              <a16:creationId xmlns:a16="http://schemas.microsoft.com/office/drawing/2014/main" id="{DA988FC2-B54D-40CA-8834-DAE33187A4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723566</xdr:colOff>
      <xdr:row>72</xdr:row>
      <xdr:rowOff>161595</xdr:rowOff>
    </xdr:from>
    <xdr:to>
      <xdr:col>14</xdr:col>
      <xdr:colOff>429370</xdr:colOff>
      <xdr:row>83</xdr:row>
      <xdr:rowOff>19797</xdr:rowOff>
    </xdr:to>
    <xdr:graphicFrame macro="">
      <xdr:nvGraphicFramePr>
        <xdr:cNvPr id="3" name="Chart 2" descr="Falls by day of the week graph.">
          <a:extLst>
            <a:ext uri="{FF2B5EF4-FFF2-40B4-BE49-F238E27FC236}">
              <a16:creationId xmlns:a16="http://schemas.microsoft.com/office/drawing/2014/main" id="{00747DEF-A1A6-4743-854B-DCE952AA74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10112</xdr:colOff>
      <xdr:row>92</xdr:row>
      <xdr:rowOff>134979</xdr:rowOff>
    </xdr:from>
    <xdr:to>
      <xdr:col>11</xdr:col>
      <xdr:colOff>257037</xdr:colOff>
      <xdr:row>101</xdr:row>
      <xdr:rowOff>23853</xdr:rowOff>
    </xdr:to>
    <xdr:graphicFrame macro="">
      <xdr:nvGraphicFramePr>
        <xdr:cNvPr id="4" name="Chart 3" descr="Cumulative number of falls by shift graph.">
          <a:extLst>
            <a:ext uri="{FF2B5EF4-FFF2-40B4-BE49-F238E27FC236}">
              <a16:creationId xmlns:a16="http://schemas.microsoft.com/office/drawing/2014/main" id="{AACB6290-336C-4EA3-BDE6-4B07705280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255825</xdr:colOff>
      <xdr:row>131</xdr:row>
      <xdr:rowOff>66260</xdr:rowOff>
    </xdr:from>
    <xdr:to>
      <xdr:col>13</xdr:col>
      <xdr:colOff>48682</xdr:colOff>
      <xdr:row>157</xdr:row>
      <xdr:rowOff>167949</xdr:rowOff>
    </xdr:to>
    <xdr:graphicFrame macro="">
      <xdr:nvGraphicFramePr>
        <xdr:cNvPr id="5" name="Chart 4" descr="Number of falls by hour graph.">
          <a:extLst>
            <a:ext uri="{FF2B5EF4-FFF2-40B4-BE49-F238E27FC236}">
              <a16:creationId xmlns:a16="http://schemas.microsoft.com/office/drawing/2014/main" id="{E3E8DB8D-B002-4CB5-A947-7FA210E5DA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708315</xdr:colOff>
      <xdr:row>47</xdr:row>
      <xdr:rowOff>3246</xdr:rowOff>
    </xdr:from>
    <xdr:to>
      <xdr:col>15</xdr:col>
      <xdr:colOff>7951</xdr:colOff>
      <xdr:row>61</xdr:row>
      <xdr:rowOff>7951</xdr:rowOff>
    </xdr:to>
    <xdr:graphicFrame macro="">
      <xdr:nvGraphicFramePr>
        <xdr:cNvPr id="6" name="Chart 5" descr="Location of falls by month graph.">
          <a:extLst>
            <a:ext uri="{FF2B5EF4-FFF2-40B4-BE49-F238E27FC236}">
              <a16:creationId xmlns:a16="http://schemas.microsoft.com/office/drawing/2014/main" id="{44943207-B8ED-47F2-B8BE-9FFC3AC367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17</xdr:col>
      <xdr:colOff>187548</xdr:colOff>
      <xdr:row>52</xdr:row>
      <xdr:rowOff>908</xdr:rowOff>
    </xdr:from>
    <xdr:to>
      <xdr:col>18</xdr:col>
      <xdr:colOff>231058</xdr:colOff>
      <xdr:row>56</xdr:row>
      <xdr:rowOff>105638</xdr:rowOff>
    </xdr:to>
    <xdr:sp macro="" textlink="">
      <xdr:nvSpPr>
        <xdr:cNvPr id="36" name="Right Brace 35">
          <a:extLst>
            <a:ext uri="{FF2B5EF4-FFF2-40B4-BE49-F238E27FC236}">
              <a16:creationId xmlns:a16="http://schemas.microsoft.com/office/drawing/2014/main" id="{AAA16B19-0C70-4E70-8125-1D7A597584EB}"/>
            </a:ext>
            <a:ext uri="{C183D7F6-B498-43B3-948B-1728B52AA6E4}">
              <adec:decorative xmlns:adec="http://schemas.microsoft.com/office/drawing/2017/decorative" val="1"/>
            </a:ext>
          </a:extLst>
        </xdr:cNvPr>
        <xdr:cNvSpPr/>
      </xdr:nvSpPr>
      <xdr:spPr>
        <a:xfrm>
          <a:off x="9029398" y="11665471"/>
          <a:ext cx="401319" cy="868056"/>
        </a:xfrm>
        <a:prstGeom prst="rightBrace">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editAs="oneCell">
    <xdr:from>
      <xdr:col>0</xdr:col>
      <xdr:colOff>84056</xdr:colOff>
      <xdr:row>52</xdr:row>
      <xdr:rowOff>176402</xdr:rowOff>
    </xdr:from>
    <xdr:to>
      <xdr:col>17</xdr:col>
      <xdr:colOff>197534</xdr:colOff>
      <xdr:row>57</xdr:row>
      <xdr:rowOff>24731</xdr:rowOff>
    </xdr:to>
    <xdr:pic>
      <xdr:nvPicPr>
        <xdr:cNvPr id="3" name="Picture 2" descr="Example of fall rate by month.">
          <a:extLst>
            <a:ext uri="{FF2B5EF4-FFF2-40B4-BE49-F238E27FC236}">
              <a16:creationId xmlns:a16="http://schemas.microsoft.com/office/drawing/2014/main" id="{1601E814-63AE-449C-8DC0-C7468C48E497}"/>
            </a:ext>
          </a:extLst>
        </xdr:cNvPr>
        <xdr:cNvPicPr>
          <a:picLocks noChangeAspect="1"/>
        </xdr:cNvPicPr>
      </xdr:nvPicPr>
      <xdr:blipFill rotWithShape="1">
        <a:blip xmlns:r="http://schemas.openxmlformats.org/officeDocument/2006/relationships" r:embed="rId1"/>
        <a:srcRect l="1489" t="9174" r="1421" b="7791"/>
        <a:stretch>
          <a:fillRect/>
        </a:stretch>
      </xdr:blipFill>
      <xdr:spPr>
        <a:xfrm>
          <a:off x="84056" y="11702007"/>
          <a:ext cx="8945743" cy="794911"/>
        </a:xfrm>
        <a:prstGeom prst="rect">
          <a:avLst/>
        </a:prstGeom>
        <a:effectLst/>
      </xdr:spPr>
    </xdr:pic>
    <xdr:clientData/>
  </xdr:twoCellAnchor>
  <xdr:twoCellAnchor editAs="oneCell">
    <xdr:from>
      <xdr:col>0</xdr:col>
      <xdr:colOff>91291</xdr:colOff>
      <xdr:row>45</xdr:row>
      <xdr:rowOff>6816</xdr:rowOff>
    </xdr:from>
    <xdr:to>
      <xdr:col>17</xdr:col>
      <xdr:colOff>192213</xdr:colOff>
      <xdr:row>52</xdr:row>
      <xdr:rowOff>82262</xdr:rowOff>
    </xdr:to>
    <xdr:pic>
      <xdr:nvPicPr>
        <xdr:cNvPr id="4" name="Picture 3" descr="Example of number of falls per month by category.">
          <a:extLst>
            <a:ext uri="{FF2B5EF4-FFF2-40B4-BE49-F238E27FC236}">
              <a16:creationId xmlns:a16="http://schemas.microsoft.com/office/drawing/2014/main" id="{37C94C37-4ACC-43F7-AC75-7987975825D8}"/>
            </a:ext>
          </a:extLst>
        </xdr:cNvPr>
        <xdr:cNvPicPr>
          <a:picLocks noChangeAspect="1"/>
        </xdr:cNvPicPr>
      </xdr:nvPicPr>
      <xdr:blipFill rotWithShape="1">
        <a:blip xmlns:r="http://schemas.openxmlformats.org/officeDocument/2006/relationships" r:embed="rId2"/>
        <a:srcRect l="1474" t="3699" r="1173" b="8055"/>
        <a:stretch>
          <a:fillRect/>
        </a:stretch>
      </xdr:blipFill>
      <xdr:spPr>
        <a:xfrm>
          <a:off x="91291" y="10328452"/>
          <a:ext cx="8344377" cy="1408946"/>
        </a:xfrm>
        <a:prstGeom prst="rect">
          <a:avLst/>
        </a:prstGeom>
        <a:effectLst/>
      </xdr:spPr>
    </xdr:pic>
    <xdr:clientData/>
  </xdr:twoCellAnchor>
  <xdr:twoCellAnchor>
    <xdr:from>
      <xdr:col>1</xdr:col>
      <xdr:colOff>4910</xdr:colOff>
      <xdr:row>11</xdr:row>
      <xdr:rowOff>7951</xdr:rowOff>
    </xdr:from>
    <xdr:to>
      <xdr:col>2</xdr:col>
      <xdr:colOff>28575</xdr:colOff>
      <xdr:row>22</xdr:row>
      <xdr:rowOff>15903</xdr:rowOff>
    </xdr:to>
    <xdr:sp macro="" textlink="">
      <xdr:nvSpPr>
        <xdr:cNvPr id="10" name="Rectangle 9">
          <a:extLst>
            <a:ext uri="{FF2B5EF4-FFF2-40B4-BE49-F238E27FC236}">
              <a16:creationId xmlns:a16="http://schemas.microsoft.com/office/drawing/2014/main" id="{58FF75EB-439D-4D38-B330-45F81B8C5A32}"/>
            </a:ext>
            <a:ext uri="{C183D7F6-B498-43B3-948B-1728B52AA6E4}">
              <adec:decorative xmlns:adec="http://schemas.microsoft.com/office/drawing/2017/decorative" val="1"/>
            </a:ext>
          </a:extLst>
        </xdr:cNvPr>
        <xdr:cNvSpPr/>
      </xdr:nvSpPr>
      <xdr:spPr>
        <a:xfrm>
          <a:off x="100160" y="2227276"/>
          <a:ext cx="899965" cy="3446477"/>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138304</xdr:colOff>
      <xdr:row>11</xdr:row>
      <xdr:rowOff>0</xdr:rowOff>
    </xdr:from>
    <xdr:to>
      <xdr:col>4</xdr:col>
      <xdr:colOff>23853</xdr:colOff>
      <xdr:row>22</xdr:row>
      <xdr:rowOff>0</xdr:rowOff>
    </xdr:to>
    <xdr:sp macro="" textlink="">
      <xdr:nvSpPr>
        <xdr:cNvPr id="11" name="Rectangle 10">
          <a:extLst>
            <a:ext uri="{FF2B5EF4-FFF2-40B4-BE49-F238E27FC236}">
              <a16:creationId xmlns:a16="http://schemas.microsoft.com/office/drawing/2014/main" id="{9C4714C5-16A7-4E63-B79F-991A491692A4}"/>
            </a:ext>
            <a:ext uri="{C183D7F6-B498-43B3-948B-1728B52AA6E4}">
              <adec:decorative xmlns:adec="http://schemas.microsoft.com/office/drawing/2017/decorative" val="1"/>
            </a:ext>
          </a:extLst>
        </xdr:cNvPr>
        <xdr:cNvSpPr/>
      </xdr:nvSpPr>
      <xdr:spPr>
        <a:xfrm>
          <a:off x="989094" y="2226365"/>
          <a:ext cx="720436" cy="2973788"/>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911</xdr:colOff>
      <xdr:row>10</xdr:row>
      <xdr:rowOff>363489</xdr:rowOff>
    </xdr:from>
    <xdr:to>
      <xdr:col>7</xdr:col>
      <xdr:colOff>15146</xdr:colOff>
      <xdr:row>22</xdr:row>
      <xdr:rowOff>1136</xdr:rowOff>
    </xdr:to>
    <xdr:sp macro="" textlink="">
      <xdr:nvSpPr>
        <xdr:cNvPr id="12" name="Rectangle 11">
          <a:extLst>
            <a:ext uri="{FF2B5EF4-FFF2-40B4-BE49-F238E27FC236}">
              <a16:creationId xmlns:a16="http://schemas.microsoft.com/office/drawing/2014/main" id="{5C180396-B547-4EC2-BA97-2CDED2C3B1D5}"/>
            </a:ext>
            <a:ext uri="{C183D7F6-B498-43B3-948B-1728B52AA6E4}">
              <adec:decorative xmlns:adec="http://schemas.microsoft.com/office/drawing/2017/decorative" val="1"/>
            </a:ext>
          </a:extLst>
        </xdr:cNvPr>
        <xdr:cNvSpPr/>
      </xdr:nvSpPr>
      <xdr:spPr>
        <a:xfrm>
          <a:off x="2081881" y="2212735"/>
          <a:ext cx="1804414" cy="271821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24337</xdr:colOff>
      <xdr:row>11</xdr:row>
      <xdr:rowOff>29125</xdr:rowOff>
    </xdr:from>
    <xdr:to>
      <xdr:col>16</xdr:col>
      <xdr:colOff>595212</xdr:colOff>
      <xdr:row>22</xdr:row>
      <xdr:rowOff>1135</xdr:rowOff>
    </xdr:to>
    <xdr:sp macro="" textlink="">
      <xdr:nvSpPr>
        <xdr:cNvPr id="14" name="Right Brace 13">
          <a:extLst>
            <a:ext uri="{FF2B5EF4-FFF2-40B4-BE49-F238E27FC236}">
              <a16:creationId xmlns:a16="http://schemas.microsoft.com/office/drawing/2014/main" id="{7B2AAF93-2A85-42B4-AD67-21D5C3831F56}"/>
            </a:ext>
            <a:ext uri="{C183D7F6-B498-43B3-948B-1728B52AA6E4}">
              <adec:decorative xmlns:adec="http://schemas.microsoft.com/office/drawing/2017/decorative" val="1"/>
            </a:ext>
          </a:extLst>
        </xdr:cNvPr>
        <xdr:cNvSpPr/>
      </xdr:nvSpPr>
      <xdr:spPr>
        <a:xfrm>
          <a:off x="7957467" y="2260034"/>
          <a:ext cx="570875" cy="2670910"/>
        </a:xfrm>
        <a:prstGeom prst="rightBrace">
          <a:avLst>
            <a:gd name="adj1" fmla="val 8333"/>
            <a:gd name="adj2" fmla="val 48723"/>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16</xdr:col>
      <xdr:colOff>585260</xdr:colOff>
      <xdr:row>12</xdr:row>
      <xdr:rowOff>241452</xdr:rowOff>
    </xdr:from>
    <xdr:to>
      <xdr:col>20</xdr:col>
      <xdr:colOff>448829</xdr:colOff>
      <xdr:row>19</xdr:row>
      <xdr:rowOff>209835</xdr:rowOff>
    </xdr:to>
    <xdr:sp macro="" textlink="">
      <xdr:nvSpPr>
        <xdr:cNvPr id="15" name="TextBox 17">
          <a:extLst>
            <a:ext uri="{FF2B5EF4-FFF2-40B4-BE49-F238E27FC236}">
              <a16:creationId xmlns:a16="http://schemas.microsoft.com/office/drawing/2014/main" id="{5F897F61-445E-47C5-92CD-978DA0EF0CDB}"/>
            </a:ext>
          </a:extLst>
        </xdr:cNvPr>
        <xdr:cNvSpPr txBox="1"/>
      </xdr:nvSpPr>
      <xdr:spPr>
        <a:xfrm>
          <a:off x="8518390" y="2717715"/>
          <a:ext cx="1512897" cy="1685865"/>
        </a:xfrm>
        <a:prstGeom prst="rect">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a:solidFill>
                <a:sysClr val="windowText" lastClr="000000"/>
              </a:solidFill>
            </a:rPr>
            <a:t>These</a:t>
          </a:r>
          <a:r>
            <a:rPr lang="en-US" sz="1100" baseline="0">
              <a:solidFill>
                <a:sysClr val="windowText" lastClr="000000"/>
              </a:solidFill>
            </a:rPr>
            <a:t> fields can be edited to make the tracker more useful for your facility. All entries here will become dropdowns in all months and integrated into graphs.</a:t>
          </a:r>
          <a:endParaRPr lang="en-US" sz="1100">
            <a:solidFill>
              <a:sysClr val="windowText" lastClr="000000"/>
            </a:solidFill>
          </a:endParaRPr>
        </a:p>
      </xdr:txBody>
    </xdr:sp>
    <xdr:clientData/>
  </xdr:twoCellAnchor>
  <xdr:twoCellAnchor>
    <xdr:from>
      <xdr:col>15</xdr:col>
      <xdr:colOff>14385</xdr:colOff>
      <xdr:row>10</xdr:row>
      <xdr:rowOff>371385</xdr:rowOff>
    </xdr:from>
    <xdr:to>
      <xdr:col>16</xdr:col>
      <xdr:colOff>23854</xdr:colOff>
      <xdr:row>22</xdr:row>
      <xdr:rowOff>0</xdr:rowOff>
    </xdr:to>
    <xdr:sp macro="" textlink="">
      <xdr:nvSpPr>
        <xdr:cNvPr id="16" name="Rectangle 15">
          <a:extLst>
            <a:ext uri="{FF2B5EF4-FFF2-40B4-BE49-F238E27FC236}">
              <a16:creationId xmlns:a16="http://schemas.microsoft.com/office/drawing/2014/main" id="{820F56F3-FAA7-4F15-8CFF-BF477B3004C7}"/>
            </a:ext>
            <a:ext uri="{C183D7F6-B498-43B3-948B-1728B52AA6E4}">
              <adec:decorative xmlns:adec="http://schemas.microsoft.com/office/drawing/2017/decorative" val="1"/>
            </a:ext>
          </a:extLst>
        </xdr:cNvPr>
        <xdr:cNvSpPr/>
      </xdr:nvSpPr>
      <xdr:spPr>
        <a:xfrm>
          <a:off x="6240256" y="2216088"/>
          <a:ext cx="399083" cy="298406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1439</xdr:colOff>
      <xdr:row>30</xdr:row>
      <xdr:rowOff>1613</xdr:rowOff>
    </xdr:from>
    <xdr:to>
      <xdr:col>6</xdr:col>
      <xdr:colOff>1090465</xdr:colOff>
      <xdr:row>32</xdr:row>
      <xdr:rowOff>242704</xdr:rowOff>
    </xdr:to>
    <xdr:sp macro="" textlink="">
      <xdr:nvSpPr>
        <xdr:cNvPr id="18" name="Rectangle 17">
          <a:extLst>
            <a:ext uri="{FF2B5EF4-FFF2-40B4-BE49-F238E27FC236}">
              <a16:creationId xmlns:a16="http://schemas.microsoft.com/office/drawing/2014/main" id="{DB7492BA-E945-476D-A0B3-BA8B17ECDAFD}"/>
            </a:ext>
            <a:ext uri="{C183D7F6-B498-43B3-948B-1728B52AA6E4}">
              <adec:decorative xmlns:adec="http://schemas.microsoft.com/office/drawing/2017/decorative" val="1"/>
            </a:ext>
          </a:extLst>
        </xdr:cNvPr>
        <xdr:cNvSpPr/>
      </xdr:nvSpPr>
      <xdr:spPr>
        <a:xfrm>
          <a:off x="2659446" y="6669350"/>
          <a:ext cx="1089026" cy="740887"/>
        </a:xfrm>
        <a:prstGeom prst="rect">
          <a:avLst/>
        </a:prstGeom>
        <a:noFill/>
        <a:ln w="28575">
          <a:solidFill>
            <a:srgbClr val="FF99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408521</xdr:colOff>
      <xdr:row>33</xdr:row>
      <xdr:rowOff>8562</xdr:rowOff>
    </xdr:from>
    <xdr:to>
      <xdr:col>15</xdr:col>
      <xdr:colOff>399837</xdr:colOff>
      <xdr:row>35</xdr:row>
      <xdr:rowOff>50047</xdr:rowOff>
    </xdr:to>
    <xdr:sp macro="" textlink="">
      <xdr:nvSpPr>
        <xdr:cNvPr id="19" name="Arrow: Curved Up 18">
          <a:extLst>
            <a:ext uri="{FF2B5EF4-FFF2-40B4-BE49-F238E27FC236}">
              <a16:creationId xmlns:a16="http://schemas.microsoft.com/office/drawing/2014/main" id="{34863205-1C61-4F0A-ADB3-0064D537AAFF}"/>
            </a:ext>
            <a:ext uri="{C183D7F6-B498-43B3-948B-1728B52AA6E4}">
              <adec:decorative xmlns:adec="http://schemas.microsoft.com/office/drawing/2017/decorative" val="1"/>
            </a:ext>
          </a:extLst>
        </xdr:cNvPr>
        <xdr:cNvSpPr/>
      </xdr:nvSpPr>
      <xdr:spPr>
        <a:xfrm>
          <a:off x="3275534" y="7328305"/>
          <a:ext cx="4643965" cy="423148"/>
        </a:xfrm>
        <a:prstGeom prst="curvedUpArrow">
          <a:avLst>
            <a:gd name="adj1" fmla="val 38093"/>
            <a:gd name="adj2" fmla="val 95859"/>
            <a:gd name="adj3" fmla="val 29694"/>
          </a:avLst>
        </a:prstGeom>
        <a:solidFill>
          <a:srgbClr val="FF99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17</xdr:col>
      <xdr:colOff>0</xdr:colOff>
      <xdr:row>30</xdr:row>
      <xdr:rowOff>12874</xdr:rowOff>
    </xdr:from>
    <xdr:to>
      <xdr:col>17</xdr:col>
      <xdr:colOff>2004</xdr:colOff>
      <xdr:row>33</xdr:row>
      <xdr:rowOff>0</xdr:rowOff>
    </xdr:to>
    <xdr:sp macro="" textlink="">
      <xdr:nvSpPr>
        <xdr:cNvPr id="20" name="Rectangle 19">
          <a:extLst>
            <a:ext uri="{FF2B5EF4-FFF2-40B4-BE49-F238E27FC236}">
              <a16:creationId xmlns:a16="http://schemas.microsoft.com/office/drawing/2014/main" id="{A39572D7-5E46-4309-B8CC-CAD8985EE9B2}"/>
            </a:ext>
            <a:ext uri="{C183D7F6-B498-43B3-948B-1728B52AA6E4}">
              <adec:decorative xmlns:adec="http://schemas.microsoft.com/office/drawing/2017/decorative" val="1"/>
            </a:ext>
          </a:extLst>
        </xdr:cNvPr>
        <xdr:cNvSpPr/>
      </xdr:nvSpPr>
      <xdr:spPr>
        <a:xfrm>
          <a:off x="7425562" y="6618904"/>
          <a:ext cx="581471" cy="728531"/>
        </a:xfrm>
        <a:prstGeom prst="rect">
          <a:avLst/>
        </a:prstGeom>
        <a:noFill/>
        <a:ln w="28575">
          <a:solidFill>
            <a:srgbClr val="FF99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8049</xdr:colOff>
      <xdr:row>30</xdr:row>
      <xdr:rowOff>12874</xdr:rowOff>
    </xdr:from>
    <xdr:to>
      <xdr:col>18</xdr:col>
      <xdr:colOff>16098</xdr:colOff>
      <xdr:row>32</xdr:row>
      <xdr:rowOff>246233</xdr:rowOff>
    </xdr:to>
    <xdr:sp macro="" textlink="">
      <xdr:nvSpPr>
        <xdr:cNvPr id="21" name="Rectangle 20">
          <a:extLst>
            <a:ext uri="{FF2B5EF4-FFF2-40B4-BE49-F238E27FC236}">
              <a16:creationId xmlns:a16="http://schemas.microsoft.com/office/drawing/2014/main" id="{9D77A8BC-9C10-4727-B877-CAC805E31D0E}"/>
            </a:ext>
            <a:ext uri="{C183D7F6-B498-43B3-948B-1728B52AA6E4}">
              <adec:decorative xmlns:adec="http://schemas.microsoft.com/office/drawing/2017/decorative" val="1"/>
            </a:ext>
          </a:extLst>
        </xdr:cNvPr>
        <xdr:cNvSpPr/>
      </xdr:nvSpPr>
      <xdr:spPr>
        <a:xfrm>
          <a:off x="8247845" y="7318951"/>
          <a:ext cx="340753" cy="727050"/>
        </a:xfrm>
        <a:prstGeom prst="rect">
          <a:avLst/>
        </a:prstGeom>
        <a:noFill/>
        <a:ln w="28575">
          <a:solidFill>
            <a:srgbClr val="FF99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258985</xdr:colOff>
      <xdr:row>33</xdr:row>
      <xdr:rowOff>10339</xdr:rowOff>
    </xdr:from>
    <xdr:to>
      <xdr:col>17</xdr:col>
      <xdr:colOff>313509</xdr:colOff>
      <xdr:row>35</xdr:row>
      <xdr:rowOff>50732</xdr:rowOff>
    </xdr:to>
    <xdr:sp macro="" textlink="">
      <xdr:nvSpPr>
        <xdr:cNvPr id="22" name="Arrow: Curved Up 21">
          <a:extLst>
            <a:ext uri="{FF2B5EF4-FFF2-40B4-BE49-F238E27FC236}">
              <a16:creationId xmlns:a16="http://schemas.microsoft.com/office/drawing/2014/main" id="{65413638-6832-4CBE-B280-2D2E4AA15BDE}"/>
            </a:ext>
            <a:ext uri="{C183D7F6-B498-43B3-948B-1728B52AA6E4}">
              <adec:decorative xmlns:adec="http://schemas.microsoft.com/office/drawing/2017/decorative" val="1"/>
            </a:ext>
          </a:extLst>
        </xdr:cNvPr>
        <xdr:cNvSpPr/>
      </xdr:nvSpPr>
      <xdr:spPr>
        <a:xfrm>
          <a:off x="8192115" y="7330082"/>
          <a:ext cx="658823" cy="422056"/>
        </a:xfrm>
        <a:prstGeom prst="curvedUpArrow">
          <a:avLst>
            <a:gd name="adj1" fmla="val 18649"/>
            <a:gd name="adj2" fmla="val 66408"/>
            <a:gd name="adj3" fmla="val 28598"/>
          </a:avLst>
        </a:prstGeom>
        <a:solidFill>
          <a:srgbClr val="FF99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19</xdr:col>
      <xdr:colOff>8659</xdr:colOff>
      <xdr:row>30</xdr:row>
      <xdr:rowOff>13416</xdr:rowOff>
    </xdr:from>
    <xdr:to>
      <xdr:col>20</xdr:col>
      <xdr:colOff>1</xdr:colOff>
      <xdr:row>32</xdr:row>
      <xdr:rowOff>246784</xdr:rowOff>
    </xdr:to>
    <xdr:sp macro="" textlink="">
      <xdr:nvSpPr>
        <xdr:cNvPr id="28" name="Rectangle 27">
          <a:extLst>
            <a:ext uri="{FF2B5EF4-FFF2-40B4-BE49-F238E27FC236}">
              <a16:creationId xmlns:a16="http://schemas.microsoft.com/office/drawing/2014/main" id="{A7DA2F6E-99D6-4ED8-9A8E-B1BA324115F1}"/>
            </a:ext>
            <a:ext uri="{C183D7F6-B498-43B3-948B-1728B52AA6E4}">
              <adec:decorative xmlns:adec="http://schemas.microsoft.com/office/drawing/2017/decorative" val="1"/>
            </a:ext>
          </a:extLst>
        </xdr:cNvPr>
        <xdr:cNvSpPr/>
      </xdr:nvSpPr>
      <xdr:spPr>
        <a:xfrm>
          <a:off x="8991673" y="7319493"/>
          <a:ext cx="705046" cy="727059"/>
        </a:xfrm>
        <a:prstGeom prst="rect">
          <a:avLst/>
        </a:prstGeom>
        <a:noFill/>
        <a:ln w="28575">
          <a:solidFill>
            <a:srgbClr val="FF99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140479</xdr:colOff>
      <xdr:row>33</xdr:row>
      <xdr:rowOff>146044</xdr:rowOff>
    </xdr:from>
    <xdr:to>
      <xdr:col>13</xdr:col>
      <xdr:colOff>272664</xdr:colOff>
      <xdr:row>36</xdr:row>
      <xdr:rowOff>71304</xdr:rowOff>
    </xdr:to>
    <xdr:sp macro="" textlink="">
      <xdr:nvSpPr>
        <xdr:cNvPr id="23" name="TextBox 43">
          <a:extLst>
            <a:ext uri="{FF2B5EF4-FFF2-40B4-BE49-F238E27FC236}">
              <a16:creationId xmlns:a16="http://schemas.microsoft.com/office/drawing/2014/main" id="{033274A5-64C9-4733-8C5E-78709117FEA1}"/>
            </a:ext>
          </a:extLst>
        </xdr:cNvPr>
        <xdr:cNvSpPr txBox="1"/>
      </xdr:nvSpPr>
      <xdr:spPr>
        <a:xfrm>
          <a:off x="4412498" y="7479315"/>
          <a:ext cx="1682689" cy="499923"/>
        </a:xfrm>
        <a:prstGeom prst="flowChartProcess">
          <a:avLst/>
        </a:prstGeom>
        <a:solidFill>
          <a:schemeClr val="lt1"/>
        </a:solidFill>
        <a:ln w="12700" cmpd="sng">
          <a:solidFill>
            <a:srgbClr val="FF99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900">
              <a:solidFill>
                <a:sysClr val="windowText" lastClr="000000"/>
              </a:solidFill>
            </a:rPr>
            <a:t>Incident date will auto populate day</a:t>
          </a:r>
          <a:r>
            <a:rPr lang="en-US" sz="900" baseline="0">
              <a:solidFill>
                <a:sysClr val="windowText" lastClr="000000"/>
              </a:solidFill>
            </a:rPr>
            <a:t> of the week.</a:t>
          </a:r>
          <a:endParaRPr lang="en-US" sz="900">
            <a:solidFill>
              <a:sysClr val="windowText" lastClr="000000"/>
            </a:solidFill>
          </a:endParaRPr>
        </a:p>
      </xdr:txBody>
    </xdr:sp>
    <xdr:clientData/>
  </xdr:twoCellAnchor>
  <xdr:twoCellAnchor>
    <xdr:from>
      <xdr:col>15</xdr:col>
      <xdr:colOff>399838</xdr:colOff>
      <xdr:row>35</xdr:row>
      <xdr:rowOff>37993</xdr:rowOff>
    </xdr:from>
    <xdr:to>
      <xdr:col>17</xdr:col>
      <xdr:colOff>354401</xdr:colOff>
      <xdr:row>38</xdr:row>
      <xdr:rowOff>103931</xdr:rowOff>
    </xdr:to>
    <xdr:sp macro="" textlink="">
      <xdr:nvSpPr>
        <xdr:cNvPr id="24" name="TextBox 45">
          <a:extLst>
            <a:ext uri="{FF2B5EF4-FFF2-40B4-BE49-F238E27FC236}">
              <a16:creationId xmlns:a16="http://schemas.microsoft.com/office/drawing/2014/main" id="{7D51EAC6-307A-4F8F-B739-B199AA0F30A2}"/>
            </a:ext>
          </a:extLst>
        </xdr:cNvPr>
        <xdr:cNvSpPr txBox="1"/>
      </xdr:nvSpPr>
      <xdr:spPr>
        <a:xfrm>
          <a:off x="7919500" y="7739399"/>
          <a:ext cx="972330" cy="638432"/>
        </a:xfrm>
        <a:prstGeom prst="flowChartProcess">
          <a:avLst/>
        </a:prstGeom>
        <a:solidFill>
          <a:schemeClr val="lt1"/>
        </a:solidFill>
        <a:ln w="12700" cmpd="sng">
          <a:solidFill>
            <a:srgbClr val="FF99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900">
              <a:solidFill>
                <a:sysClr val="windowText" lastClr="000000"/>
              </a:solidFill>
            </a:rPr>
            <a:t>Hour will</a:t>
          </a:r>
          <a:r>
            <a:rPr lang="en-US" sz="900" baseline="0">
              <a:solidFill>
                <a:sysClr val="windowText" lastClr="000000"/>
              </a:solidFill>
            </a:rPr>
            <a:t> auto populate shift.</a:t>
          </a:r>
          <a:endParaRPr lang="en-US" sz="900">
            <a:solidFill>
              <a:sysClr val="windowText" lastClr="000000"/>
            </a:solidFill>
          </a:endParaRPr>
        </a:p>
      </xdr:txBody>
    </xdr:sp>
    <xdr:clientData/>
  </xdr:twoCellAnchor>
  <xdr:twoCellAnchor>
    <xdr:from>
      <xdr:col>18</xdr:col>
      <xdr:colOff>115440</xdr:colOff>
      <xdr:row>33</xdr:row>
      <xdr:rowOff>9677</xdr:rowOff>
    </xdr:from>
    <xdr:to>
      <xdr:col>19</xdr:col>
      <xdr:colOff>554320</xdr:colOff>
      <xdr:row>35</xdr:row>
      <xdr:rowOff>45254</xdr:rowOff>
    </xdr:to>
    <xdr:sp macro="" textlink="">
      <xdr:nvSpPr>
        <xdr:cNvPr id="25" name="Arrow: Curved Up 24">
          <a:extLst>
            <a:ext uri="{FF2B5EF4-FFF2-40B4-BE49-F238E27FC236}">
              <a16:creationId xmlns:a16="http://schemas.microsoft.com/office/drawing/2014/main" id="{864ECA61-FD37-422F-8F4F-A02EB0022584}"/>
            </a:ext>
            <a:ext uri="{C183D7F6-B498-43B3-948B-1728B52AA6E4}">
              <adec:decorative xmlns:adec="http://schemas.microsoft.com/office/drawing/2017/decorative" val="1"/>
            </a:ext>
          </a:extLst>
        </xdr:cNvPr>
        <xdr:cNvSpPr/>
      </xdr:nvSpPr>
      <xdr:spPr>
        <a:xfrm>
          <a:off x="9011814" y="7329420"/>
          <a:ext cx="756932" cy="417240"/>
        </a:xfrm>
        <a:prstGeom prst="curvedUpArrow">
          <a:avLst>
            <a:gd name="adj1" fmla="val 18649"/>
            <a:gd name="adj2" fmla="val 66408"/>
            <a:gd name="adj3" fmla="val 28598"/>
          </a:avLst>
        </a:prstGeom>
        <a:solidFill>
          <a:srgbClr val="FF99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18</xdr:col>
      <xdr:colOff>65501</xdr:colOff>
      <xdr:row>35</xdr:row>
      <xdr:rowOff>32356</xdr:rowOff>
    </xdr:from>
    <xdr:to>
      <xdr:col>20</xdr:col>
      <xdr:colOff>140852</xdr:colOff>
      <xdr:row>38</xdr:row>
      <xdr:rowOff>99123</xdr:rowOff>
    </xdr:to>
    <xdr:sp macro="" textlink="">
      <xdr:nvSpPr>
        <xdr:cNvPr id="26" name="TextBox 49">
          <a:extLst>
            <a:ext uri="{FF2B5EF4-FFF2-40B4-BE49-F238E27FC236}">
              <a16:creationId xmlns:a16="http://schemas.microsoft.com/office/drawing/2014/main" id="{5C052B23-DD7D-4EF2-B16C-970FAF68A5F3}"/>
            </a:ext>
          </a:extLst>
        </xdr:cNvPr>
        <xdr:cNvSpPr txBox="1"/>
      </xdr:nvSpPr>
      <xdr:spPr>
        <a:xfrm>
          <a:off x="8961875" y="7733762"/>
          <a:ext cx="1156728" cy="639261"/>
        </a:xfrm>
        <a:prstGeom prst="flowChartProcess">
          <a:avLst/>
        </a:prstGeom>
        <a:solidFill>
          <a:schemeClr val="lt1"/>
        </a:solidFill>
        <a:ln w="12700" cmpd="sng">
          <a:solidFill>
            <a:srgbClr val="FF99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900">
              <a:solidFill>
                <a:sysClr val="windowText" lastClr="000000"/>
              </a:solidFill>
            </a:rPr>
            <a:t>BIMS Score will auto</a:t>
          </a:r>
          <a:r>
            <a:rPr lang="en-US" sz="900" baseline="0">
              <a:solidFill>
                <a:sysClr val="windowText" lastClr="000000"/>
              </a:solidFill>
            </a:rPr>
            <a:t> populate Cognitive Impairment.</a:t>
          </a:r>
          <a:endParaRPr lang="en-US" sz="900">
            <a:solidFill>
              <a:sysClr val="windowText" lastClr="000000"/>
            </a:solidFill>
          </a:endParaRPr>
        </a:p>
      </xdr:txBody>
    </xdr:sp>
    <xdr:clientData/>
  </xdr:twoCellAnchor>
  <xdr:twoCellAnchor>
    <xdr:from>
      <xdr:col>18</xdr:col>
      <xdr:colOff>13416</xdr:colOff>
      <xdr:row>30</xdr:row>
      <xdr:rowOff>12231</xdr:rowOff>
    </xdr:from>
    <xdr:to>
      <xdr:col>19</xdr:col>
      <xdr:colOff>2576</xdr:colOff>
      <xdr:row>32</xdr:row>
      <xdr:rowOff>245767</xdr:rowOff>
    </xdr:to>
    <xdr:sp macro="" textlink="">
      <xdr:nvSpPr>
        <xdr:cNvPr id="27" name="Rectangle 26">
          <a:extLst>
            <a:ext uri="{FF2B5EF4-FFF2-40B4-BE49-F238E27FC236}">
              <a16:creationId xmlns:a16="http://schemas.microsoft.com/office/drawing/2014/main" id="{5B76B123-43CC-49FE-96DA-AF8CE798B323}"/>
            </a:ext>
            <a:ext uri="{C183D7F6-B498-43B3-948B-1728B52AA6E4}">
              <adec:decorative xmlns:adec="http://schemas.microsoft.com/office/drawing/2017/decorative" val="1"/>
            </a:ext>
          </a:extLst>
        </xdr:cNvPr>
        <xdr:cNvSpPr/>
      </xdr:nvSpPr>
      <xdr:spPr>
        <a:xfrm>
          <a:off x="8585916" y="7318308"/>
          <a:ext cx="399674" cy="727227"/>
        </a:xfrm>
        <a:prstGeom prst="rect">
          <a:avLst/>
        </a:prstGeom>
        <a:noFill/>
        <a:ln w="28575">
          <a:solidFill>
            <a:srgbClr val="FF99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23</xdr:col>
      <xdr:colOff>1470990</xdr:colOff>
      <xdr:row>29</xdr:row>
      <xdr:rowOff>0</xdr:rowOff>
    </xdr:from>
    <xdr:to>
      <xdr:col>27</xdr:col>
      <xdr:colOff>7951</xdr:colOff>
      <xdr:row>30</xdr:row>
      <xdr:rowOff>7951</xdr:rowOff>
    </xdr:to>
    <xdr:sp macro="" textlink="">
      <xdr:nvSpPr>
        <xdr:cNvPr id="29" name="Rectangle 28">
          <a:extLst>
            <a:ext uri="{FF2B5EF4-FFF2-40B4-BE49-F238E27FC236}">
              <a16:creationId xmlns:a16="http://schemas.microsoft.com/office/drawing/2014/main" id="{DBC027E1-BB63-489B-BA56-485628DA0459}"/>
            </a:ext>
            <a:ext uri="{C183D7F6-B498-43B3-948B-1728B52AA6E4}">
              <adec:decorative xmlns:adec="http://schemas.microsoft.com/office/drawing/2017/decorative" val="1"/>
            </a:ext>
          </a:extLst>
        </xdr:cNvPr>
        <xdr:cNvSpPr/>
      </xdr:nvSpPr>
      <xdr:spPr>
        <a:xfrm>
          <a:off x="14352103" y="7116417"/>
          <a:ext cx="2337685" cy="318052"/>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21</xdr:col>
      <xdr:colOff>31197</xdr:colOff>
      <xdr:row>32</xdr:row>
      <xdr:rowOff>219887</xdr:rowOff>
    </xdr:from>
    <xdr:to>
      <xdr:col>21</xdr:col>
      <xdr:colOff>1336902</xdr:colOff>
      <xdr:row>34</xdr:row>
      <xdr:rowOff>178056</xdr:rowOff>
    </xdr:to>
    <xdr:sp macro="" textlink="">
      <xdr:nvSpPr>
        <xdr:cNvPr id="32" name="Right Brace 31">
          <a:extLst>
            <a:ext uri="{FF2B5EF4-FFF2-40B4-BE49-F238E27FC236}">
              <a16:creationId xmlns:a16="http://schemas.microsoft.com/office/drawing/2014/main" id="{B3FCE74B-B1AC-4974-A551-595FCEA76776}"/>
            </a:ext>
            <a:ext uri="{C183D7F6-B498-43B3-948B-1728B52AA6E4}">
              <adec:decorative xmlns:adec="http://schemas.microsoft.com/office/drawing/2017/decorative" val="1"/>
            </a:ext>
          </a:extLst>
        </xdr:cNvPr>
        <xdr:cNvSpPr/>
      </xdr:nvSpPr>
      <xdr:spPr>
        <a:xfrm rot="5400000">
          <a:off x="11563465" y="7566169"/>
          <a:ext cx="396319" cy="1305705"/>
        </a:xfrm>
        <a:prstGeom prst="rightBrace">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20</xdr:col>
      <xdr:colOff>1321192</xdr:colOff>
      <xdr:row>35</xdr:row>
      <xdr:rowOff>1648</xdr:rowOff>
    </xdr:from>
    <xdr:to>
      <xdr:col>22</xdr:col>
      <xdr:colOff>18906</xdr:colOff>
      <xdr:row>42</xdr:row>
      <xdr:rowOff>9525</xdr:rowOff>
    </xdr:to>
    <xdr:sp macro="" textlink="">
      <xdr:nvSpPr>
        <xdr:cNvPr id="33" name="TextBox 32">
          <a:extLst>
            <a:ext uri="{FF2B5EF4-FFF2-40B4-BE49-F238E27FC236}">
              <a16:creationId xmlns:a16="http://schemas.microsoft.com/office/drawing/2014/main" id="{990AAE7F-64B4-4794-A94D-A0AAE7D15C2F}"/>
            </a:ext>
          </a:extLst>
        </xdr:cNvPr>
        <xdr:cNvSpPr txBox="1"/>
      </xdr:nvSpPr>
      <xdr:spPr>
        <a:xfrm>
          <a:off x="11017642" y="8431273"/>
          <a:ext cx="1459964" cy="1341377"/>
        </a:xfrm>
        <a:prstGeom prst="rect">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solidFill>
                <a:sysClr val="windowText" lastClr="000000"/>
              </a:solidFill>
            </a:rPr>
            <a:t>This is free text for more</a:t>
          </a:r>
          <a:r>
            <a:rPr lang="en-US" sz="1100" baseline="0">
              <a:solidFill>
                <a:sysClr val="windowText" lastClr="000000"/>
              </a:solidFill>
            </a:rPr>
            <a:t> detailed information on resident fall.  This information is not integrated in graphs.</a:t>
          </a:r>
          <a:endParaRPr lang="en-US" sz="1100">
            <a:solidFill>
              <a:sysClr val="windowText" lastClr="000000"/>
            </a:solidFill>
          </a:endParaRPr>
        </a:p>
      </xdr:txBody>
    </xdr:sp>
    <xdr:clientData/>
  </xdr:twoCellAnchor>
  <xdr:twoCellAnchor>
    <xdr:from>
      <xdr:col>1</xdr:col>
      <xdr:colOff>790575</xdr:colOff>
      <xdr:row>55</xdr:row>
      <xdr:rowOff>171450</xdr:rowOff>
    </xdr:from>
    <xdr:to>
      <xdr:col>17</xdr:col>
      <xdr:colOff>180975</xdr:colOff>
      <xdr:row>56</xdr:row>
      <xdr:rowOff>161925</xdr:rowOff>
    </xdr:to>
    <xdr:sp macro="" textlink="">
      <xdr:nvSpPr>
        <xdr:cNvPr id="34" name="Rectangle 33">
          <a:extLst>
            <a:ext uri="{FF2B5EF4-FFF2-40B4-BE49-F238E27FC236}">
              <a16:creationId xmlns:a16="http://schemas.microsoft.com/office/drawing/2014/main" id="{8808630B-B28D-4653-B2D6-AD3D22BF1B4D}"/>
            </a:ext>
            <a:ext uri="{C183D7F6-B498-43B3-948B-1728B52AA6E4}">
              <adec:decorative xmlns:adec="http://schemas.microsoft.com/office/drawing/2017/decorative" val="1"/>
            </a:ext>
          </a:extLst>
        </xdr:cNvPr>
        <xdr:cNvSpPr/>
      </xdr:nvSpPr>
      <xdr:spPr>
        <a:xfrm>
          <a:off x="885825" y="12411075"/>
          <a:ext cx="7534275" cy="18097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809625</xdr:colOff>
      <xdr:row>51</xdr:row>
      <xdr:rowOff>94423</xdr:rowOff>
    </xdr:from>
    <xdr:to>
      <xdr:col>17</xdr:col>
      <xdr:colOff>164521</xdr:colOff>
      <xdr:row>52</xdr:row>
      <xdr:rowOff>82262</xdr:rowOff>
    </xdr:to>
    <xdr:sp macro="" textlink="">
      <xdr:nvSpPr>
        <xdr:cNvPr id="35" name="Rectangle 34">
          <a:extLst>
            <a:ext uri="{FF2B5EF4-FFF2-40B4-BE49-F238E27FC236}">
              <a16:creationId xmlns:a16="http://schemas.microsoft.com/office/drawing/2014/main" id="{FD140EFA-17BC-4D90-83D0-74473EB0BED9}"/>
            </a:ext>
            <a:ext uri="{C183D7F6-B498-43B3-948B-1728B52AA6E4}">
              <adec:decorative xmlns:adec="http://schemas.microsoft.com/office/drawing/2017/decorative" val="1"/>
            </a:ext>
          </a:extLst>
        </xdr:cNvPr>
        <xdr:cNvSpPr/>
      </xdr:nvSpPr>
      <xdr:spPr>
        <a:xfrm>
          <a:off x="904875" y="11559059"/>
          <a:ext cx="7503101" cy="178339"/>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239572</xdr:colOff>
      <xdr:row>51</xdr:row>
      <xdr:rowOff>158755</xdr:rowOff>
    </xdr:from>
    <xdr:to>
      <xdr:col>20</xdr:col>
      <xdr:colOff>659958</xdr:colOff>
      <xdr:row>56</xdr:row>
      <xdr:rowOff>111983</xdr:rowOff>
    </xdr:to>
    <xdr:sp macro="" textlink="">
      <xdr:nvSpPr>
        <xdr:cNvPr id="37" name="TextBox 36">
          <a:extLst>
            <a:ext uri="{FF2B5EF4-FFF2-40B4-BE49-F238E27FC236}">
              <a16:creationId xmlns:a16="http://schemas.microsoft.com/office/drawing/2014/main" id="{20F173B0-82FB-43EF-A045-F192470B28CE}"/>
            </a:ext>
          </a:extLst>
        </xdr:cNvPr>
        <xdr:cNvSpPr txBox="1"/>
      </xdr:nvSpPr>
      <xdr:spPr>
        <a:xfrm>
          <a:off x="9439231" y="11632487"/>
          <a:ext cx="1621033" cy="907385"/>
        </a:xfrm>
        <a:prstGeom prst="rect">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a:solidFill>
                <a:sysClr val="windowText" lastClr="000000"/>
              </a:solidFill>
            </a:rPr>
            <a:t>Facility Fall</a:t>
          </a:r>
          <a:r>
            <a:rPr lang="en-US" sz="1100" baseline="0">
              <a:solidFill>
                <a:sysClr val="windowText" lastClr="000000"/>
              </a:solidFill>
            </a:rPr>
            <a:t> goals can be entered here for each month and will populate graphs.</a:t>
          </a:r>
          <a:endParaRPr lang="en-US" sz="1100">
            <a:solidFill>
              <a:sysClr val="windowText" lastClr="000000"/>
            </a:solidFill>
          </a:endParaRPr>
        </a:p>
      </xdr:txBody>
    </xdr:sp>
    <xdr:clientData/>
  </xdr:twoCellAnchor>
  <xdr:twoCellAnchor>
    <xdr:from>
      <xdr:col>2</xdr:col>
      <xdr:colOff>13754</xdr:colOff>
      <xdr:row>61</xdr:row>
      <xdr:rowOff>194591</xdr:rowOff>
    </xdr:from>
    <xdr:to>
      <xdr:col>3</xdr:col>
      <xdr:colOff>891928</xdr:colOff>
      <xdr:row>89</xdr:row>
      <xdr:rowOff>195551</xdr:rowOff>
    </xdr:to>
    <xdr:sp macro="" textlink="">
      <xdr:nvSpPr>
        <xdr:cNvPr id="38" name="Rectangle 37">
          <a:extLst>
            <a:ext uri="{FF2B5EF4-FFF2-40B4-BE49-F238E27FC236}">
              <a16:creationId xmlns:a16="http://schemas.microsoft.com/office/drawing/2014/main" id="{920FF014-6DB2-4741-856B-B31825075D63}"/>
            </a:ext>
            <a:ext uri="{C183D7F6-B498-43B3-948B-1728B52AA6E4}">
              <adec:decorative xmlns:adec="http://schemas.microsoft.com/office/drawing/2017/decorative" val="1"/>
            </a:ext>
          </a:extLst>
        </xdr:cNvPr>
        <xdr:cNvSpPr/>
      </xdr:nvSpPr>
      <xdr:spPr>
        <a:xfrm>
          <a:off x="857284" y="13034219"/>
          <a:ext cx="1023372" cy="5428589"/>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12225</xdr:colOff>
      <xdr:row>92</xdr:row>
      <xdr:rowOff>20049</xdr:rowOff>
    </xdr:from>
    <xdr:to>
      <xdr:col>7</xdr:col>
      <xdr:colOff>16451</xdr:colOff>
      <xdr:row>92</xdr:row>
      <xdr:rowOff>180961</xdr:rowOff>
    </xdr:to>
    <xdr:sp macro="" textlink="">
      <xdr:nvSpPr>
        <xdr:cNvPr id="39" name="Rectangle 38">
          <a:extLst>
            <a:ext uri="{FF2B5EF4-FFF2-40B4-BE49-F238E27FC236}">
              <a16:creationId xmlns:a16="http://schemas.microsoft.com/office/drawing/2014/main" id="{1F744DE7-AAC6-4227-AA60-C753C3B4930D}"/>
            </a:ext>
            <a:ext uri="{C183D7F6-B498-43B3-948B-1728B52AA6E4}">
              <adec:decorative xmlns:adec="http://schemas.microsoft.com/office/drawing/2017/decorative" val="1"/>
            </a:ext>
          </a:extLst>
        </xdr:cNvPr>
        <xdr:cNvSpPr/>
      </xdr:nvSpPr>
      <xdr:spPr>
        <a:xfrm>
          <a:off x="2993964" y="18363708"/>
          <a:ext cx="640330" cy="160912"/>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30399</xdr:colOff>
      <xdr:row>85</xdr:row>
      <xdr:rowOff>147529</xdr:rowOff>
    </xdr:from>
    <xdr:to>
      <xdr:col>10</xdr:col>
      <xdr:colOff>331367</xdr:colOff>
      <xdr:row>89</xdr:row>
      <xdr:rowOff>168298</xdr:rowOff>
    </xdr:to>
    <xdr:sp macro="" textlink="">
      <xdr:nvSpPr>
        <xdr:cNvPr id="40" name="TextBox 39">
          <a:extLst>
            <a:ext uri="{FF2B5EF4-FFF2-40B4-BE49-F238E27FC236}">
              <a16:creationId xmlns:a16="http://schemas.microsoft.com/office/drawing/2014/main" id="{894AEC4C-6A22-4A26-8721-71D2CFAB51D2}"/>
            </a:ext>
          </a:extLst>
        </xdr:cNvPr>
        <xdr:cNvSpPr txBox="1"/>
      </xdr:nvSpPr>
      <xdr:spPr>
        <a:xfrm>
          <a:off x="3648242" y="17147418"/>
          <a:ext cx="2328551" cy="784094"/>
        </a:xfrm>
        <a:prstGeom prst="rect">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solidFill>
                <a:sysClr val="windowText" lastClr="000000"/>
              </a:solidFill>
            </a:rPr>
            <a:t>Census numbers can be entered per day</a:t>
          </a:r>
          <a:r>
            <a:rPr lang="en-US" sz="1100" baseline="0">
              <a:solidFill>
                <a:sysClr val="windowText" lastClr="000000"/>
              </a:solidFill>
            </a:rPr>
            <a:t> or consolidated.</a:t>
          </a:r>
          <a:endParaRPr lang="en-US" sz="1100">
            <a:solidFill>
              <a:sysClr val="windowText" lastClr="000000"/>
            </a:solidFill>
          </a:endParaRPr>
        </a:p>
      </xdr:txBody>
    </xdr:sp>
    <xdr:clientData/>
  </xdr:twoCellAnchor>
  <xdr:twoCellAnchor>
    <xdr:from>
      <xdr:col>6</xdr:col>
      <xdr:colOff>253235</xdr:colOff>
      <xdr:row>92</xdr:row>
      <xdr:rowOff>198567</xdr:rowOff>
    </xdr:from>
    <xdr:to>
      <xdr:col>9</xdr:col>
      <xdr:colOff>228170</xdr:colOff>
      <xdr:row>95</xdr:row>
      <xdr:rowOff>193597</xdr:rowOff>
    </xdr:to>
    <xdr:sp macro="" textlink="">
      <xdr:nvSpPr>
        <xdr:cNvPr id="43" name="Arrow: Curved Up 42">
          <a:extLst>
            <a:ext uri="{FF2B5EF4-FFF2-40B4-BE49-F238E27FC236}">
              <a16:creationId xmlns:a16="http://schemas.microsoft.com/office/drawing/2014/main" id="{E87FE489-0B62-4836-87EB-3101C2FC2568}"/>
            </a:ext>
            <a:ext uri="{C183D7F6-B498-43B3-948B-1728B52AA6E4}">
              <adec:decorative xmlns:adec="http://schemas.microsoft.com/office/drawing/2017/decorative" val="1"/>
            </a:ext>
          </a:extLst>
        </xdr:cNvPr>
        <xdr:cNvSpPr/>
      </xdr:nvSpPr>
      <xdr:spPr>
        <a:xfrm>
          <a:off x="3122618" y="19053530"/>
          <a:ext cx="1724222" cy="582735"/>
        </a:xfrm>
        <a:prstGeom prst="curvedUpArrow">
          <a:avLst>
            <a:gd name="adj1" fmla="val 31848"/>
            <a:gd name="adj2" fmla="val 50000"/>
            <a:gd name="adj3" fmla="val 0"/>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254702</xdr:colOff>
      <xdr:row>89</xdr:row>
      <xdr:rowOff>190487</xdr:rowOff>
    </xdr:from>
    <xdr:to>
      <xdr:col>9</xdr:col>
      <xdr:colOff>601534</xdr:colOff>
      <xdr:row>98</xdr:row>
      <xdr:rowOff>108078</xdr:rowOff>
    </xdr:to>
    <xdr:sp macro="" textlink="">
      <xdr:nvSpPr>
        <xdr:cNvPr id="44" name="Arrow: Curved Up 43">
          <a:extLst>
            <a:ext uri="{FF2B5EF4-FFF2-40B4-BE49-F238E27FC236}">
              <a16:creationId xmlns:a16="http://schemas.microsoft.com/office/drawing/2014/main" id="{8185003B-FE54-42F4-9155-F3922FE108AF}"/>
            </a:ext>
            <a:ext uri="{C183D7F6-B498-43B3-948B-1728B52AA6E4}">
              <adec:decorative xmlns:adec="http://schemas.microsoft.com/office/drawing/2017/decorative" val="1"/>
            </a:ext>
          </a:extLst>
        </xdr:cNvPr>
        <xdr:cNvSpPr/>
      </xdr:nvSpPr>
      <xdr:spPr>
        <a:xfrm>
          <a:off x="1243430" y="18457744"/>
          <a:ext cx="3976774" cy="1680707"/>
        </a:xfrm>
        <a:prstGeom prst="curvedUpArrow">
          <a:avLst>
            <a:gd name="adj1" fmla="val 15027"/>
            <a:gd name="adj2" fmla="val 43283"/>
            <a:gd name="adj3" fmla="val 23260"/>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83300</xdr:colOff>
      <xdr:row>4</xdr:row>
      <xdr:rowOff>138579</xdr:rowOff>
    </xdr:from>
    <xdr:to>
      <xdr:col>8</xdr:col>
      <xdr:colOff>480488</xdr:colOff>
      <xdr:row>6</xdr:row>
      <xdr:rowOff>60165</xdr:rowOff>
    </xdr:to>
    <xdr:sp macro="" textlink="">
      <xdr:nvSpPr>
        <xdr:cNvPr id="45" name="Arrow: Left 44" descr="Red arrow pointing left.">
          <a:extLst>
            <a:ext uri="{FF2B5EF4-FFF2-40B4-BE49-F238E27FC236}">
              <a16:creationId xmlns:a16="http://schemas.microsoft.com/office/drawing/2014/main" id="{250755B5-1121-4E74-8666-C8ABD200016F}"/>
            </a:ext>
          </a:extLst>
        </xdr:cNvPr>
        <xdr:cNvSpPr/>
      </xdr:nvSpPr>
      <xdr:spPr>
        <a:xfrm>
          <a:off x="3954449" y="674724"/>
          <a:ext cx="574389" cy="421382"/>
        </a:xfrm>
        <a:prstGeom prst="leftArrow">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779228</xdr:colOff>
      <xdr:row>26</xdr:row>
      <xdr:rowOff>7952</xdr:rowOff>
    </xdr:from>
    <xdr:to>
      <xdr:col>19</xdr:col>
      <xdr:colOff>1455088</xdr:colOff>
      <xdr:row>31</xdr:row>
      <xdr:rowOff>39758</xdr:rowOff>
    </xdr:to>
    <xdr:sp macro="" textlink="">
      <xdr:nvSpPr>
        <xdr:cNvPr id="17" name="Arrow: Curved Right 16">
          <a:extLst>
            <a:ext uri="{FF2B5EF4-FFF2-40B4-BE49-F238E27FC236}">
              <a16:creationId xmlns:a16="http://schemas.microsoft.com/office/drawing/2014/main" id="{3F137471-2F4F-4B59-A7B1-E0E9FCB87915}"/>
            </a:ext>
            <a:ext uri="{C183D7F6-B498-43B3-948B-1728B52AA6E4}">
              <adec:decorative xmlns:adec="http://schemas.microsoft.com/office/drawing/2017/decorative" val="1"/>
            </a:ext>
          </a:extLst>
        </xdr:cNvPr>
        <xdr:cNvSpPr/>
      </xdr:nvSpPr>
      <xdr:spPr>
        <a:xfrm>
          <a:off x="10050449" y="6543924"/>
          <a:ext cx="675860" cy="1168843"/>
        </a:xfrm>
        <a:prstGeom prst="curvedRightArrow">
          <a:avLst>
            <a:gd name="adj1" fmla="val 16151"/>
            <a:gd name="adj2" fmla="val 45617"/>
            <a:gd name="adj3" fmla="val 26087"/>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5186</xdr:colOff>
      <xdr:row>10</xdr:row>
      <xdr:rowOff>363489</xdr:rowOff>
    </xdr:from>
    <xdr:to>
      <xdr:col>12</xdr:col>
      <xdr:colOff>20743</xdr:colOff>
      <xdr:row>22</xdr:row>
      <xdr:rowOff>1136</xdr:rowOff>
    </xdr:to>
    <xdr:sp macro="" textlink="">
      <xdr:nvSpPr>
        <xdr:cNvPr id="46" name="Rectangle 45">
          <a:extLst>
            <a:ext uri="{FF2B5EF4-FFF2-40B4-BE49-F238E27FC236}">
              <a16:creationId xmlns:a16="http://schemas.microsoft.com/office/drawing/2014/main" id="{EEB829C2-1049-40B1-AC35-E647C5AE6C4D}"/>
            </a:ext>
            <a:ext uri="{C183D7F6-B498-43B3-948B-1728B52AA6E4}">
              <adec:decorative xmlns:adec="http://schemas.microsoft.com/office/drawing/2017/decorative" val="1"/>
            </a:ext>
          </a:extLst>
        </xdr:cNvPr>
        <xdr:cNvSpPr/>
      </xdr:nvSpPr>
      <xdr:spPr>
        <a:xfrm>
          <a:off x="4053536" y="2212735"/>
          <a:ext cx="2296445" cy="271821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92388</xdr:colOff>
      <xdr:row>6</xdr:row>
      <xdr:rowOff>113590</xdr:rowOff>
    </xdr:from>
    <xdr:to>
      <xdr:col>8</xdr:col>
      <xdr:colOff>489576</xdr:colOff>
      <xdr:row>8</xdr:row>
      <xdr:rowOff>103329</xdr:rowOff>
    </xdr:to>
    <xdr:sp macro="" textlink="">
      <xdr:nvSpPr>
        <xdr:cNvPr id="2" name="Arrow: Left 1" descr="Red arrow pointing left.">
          <a:extLst>
            <a:ext uri="{FF2B5EF4-FFF2-40B4-BE49-F238E27FC236}">
              <a16:creationId xmlns:a16="http://schemas.microsoft.com/office/drawing/2014/main" id="{25ECF716-D02C-46BB-9DCB-EBE07556F124}"/>
            </a:ext>
          </a:extLst>
        </xdr:cNvPr>
        <xdr:cNvSpPr/>
      </xdr:nvSpPr>
      <xdr:spPr>
        <a:xfrm>
          <a:off x="3963537" y="1149531"/>
          <a:ext cx="574389" cy="421381"/>
        </a:xfrm>
        <a:prstGeom prst="leftArrow">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752720</xdr:colOff>
      <xdr:row>24</xdr:row>
      <xdr:rowOff>154119</xdr:rowOff>
    </xdr:from>
    <xdr:to>
      <xdr:col>21</xdr:col>
      <xdr:colOff>151</xdr:colOff>
      <xdr:row>31</xdr:row>
      <xdr:rowOff>121592</xdr:rowOff>
    </xdr:to>
    <xdr:sp macro="" textlink="">
      <xdr:nvSpPr>
        <xdr:cNvPr id="5" name="Arrow: Curved Right 4">
          <a:extLst>
            <a:ext uri="{FF2B5EF4-FFF2-40B4-BE49-F238E27FC236}">
              <a16:creationId xmlns:a16="http://schemas.microsoft.com/office/drawing/2014/main" id="{E320F842-9FB2-40DB-8C9B-0C7645869966}"/>
            </a:ext>
            <a:ext uri="{C183D7F6-B498-43B3-948B-1728B52AA6E4}">
              <adec:decorative xmlns:adec="http://schemas.microsoft.com/office/drawing/2017/decorative" val="1"/>
            </a:ext>
          </a:extLst>
        </xdr:cNvPr>
        <xdr:cNvSpPr/>
      </xdr:nvSpPr>
      <xdr:spPr>
        <a:xfrm rot="21193833">
          <a:off x="10153895" y="6192969"/>
          <a:ext cx="628556" cy="1481948"/>
        </a:xfrm>
        <a:prstGeom prst="curvedRightArrow">
          <a:avLst>
            <a:gd name="adj1" fmla="val 17502"/>
            <a:gd name="adj2" fmla="val 53590"/>
            <a:gd name="adj3" fmla="val 27527"/>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20</xdr:col>
      <xdr:colOff>1170883</xdr:colOff>
      <xdr:row>21</xdr:row>
      <xdr:rowOff>159028</xdr:rowOff>
    </xdr:from>
    <xdr:to>
      <xdr:col>23</xdr:col>
      <xdr:colOff>266700</xdr:colOff>
      <xdr:row>28</xdr:row>
      <xdr:rowOff>95273</xdr:rowOff>
    </xdr:to>
    <xdr:sp macro="" textlink="">
      <xdr:nvSpPr>
        <xdr:cNvPr id="42" name="TextBox 41">
          <a:extLst>
            <a:ext uri="{FF2B5EF4-FFF2-40B4-BE49-F238E27FC236}">
              <a16:creationId xmlns:a16="http://schemas.microsoft.com/office/drawing/2014/main" id="{5E25CEDF-9952-4E85-A84E-798DAD718E47}"/>
            </a:ext>
          </a:extLst>
        </xdr:cNvPr>
        <xdr:cNvSpPr txBox="1"/>
      </xdr:nvSpPr>
      <xdr:spPr>
        <a:xfrm>
          <a:off x="10572058" y="5569228"/>
          <a:ext cx="2505767" cy="1326895"/>
        </a:xfrm>
        <a:prstGeom prst="ellipse">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solidFill>
                <a:sysClr val="windowText" lastClr="000000"/>
              </a:solidFill>
            </a:rPr>
            <a:t>Any fields left blank will turn red once</a:t>
          </a:r>
          <a:r>
            <a:rPr lang="en-US" sz="1100" baseline="0">
              <a:solidFill>
                <a:sysClr val="windowText" lastClr="000000"/>
              </a:solidFill>
            </a:rPr>
            <a:t> a resident name is entered into the "Resident Name" column.</a:t>
          </a:r>
          <a:endParaRPr lang="en-US" sz="1100">
            <a:solidFill>
              <a:sysClr val="windowText" lastClr="000000"/>
            </a:solidFill>
          </a:endParaRPr>
        </a:p>
      </xdr:txBody>
    </xdr:sp>
    <xdr:clientData/>
  </xdr:twoCellAnchor>
  <xdr:twoCellAnchor>
    <xdr:from>
      <xdr:col>5</xdr:col>
      <xdr:colOff>1439</xdr:colOff>
      <xdr:row>30</xdr:row>
      <xdr:rowOff>1613</xdr:rowOff>
    </xdr:from>
    <xdr:to>
      <xdr:col>5</xdr:col>
      <xdr:colOff>1090465</xdr:colOff>
      <xdr:row>32</xdr:row>
      <xdr:rowOff>242704</xdr:rowOff>
    </xdr:to>
    <xdr:sp macro="" textlink="">
      <xdr:nvSpPr>
        <xdr:cNvPr id="7" name="Rectangle 6">
          <a:extLst>
            <a:ext uri="{FF2B5EF4-FFF2-40B4-BE49-F238E27FC236}">
              <a16:creationId xmlns:a16="http://schemas.microsoft.com/office/drawing/2014/main" id="{C8A20764-74B9-4FA3-B3C5-885EF96DD55B}"/>
            </a:ext>
            <a:ext uri="{C183D7F6-B498-43B3-948B-1728B52AA6E4}">
              <adec:decorative xmlns:adec="http://schemas.microsoft.com/office/drawing/2017/decorative" val="1"/>
            </a:ext>
          </a:extLst>
        </xdr:cNvPr>
        <xdr:cNvSpPr/>
      </xdr:nvSpPr>
      <xdr:spPr>
        <a:xfrm>
          <a:off x="2863909" y="6669350"/>
          <a:ext cx="1089026" cy="740887"/>
        </a:xfrm>
        <a:prstGeom prst="rect">
          <a:avLst/>
        </a:prstGeom>
        <a:noFill/>
        <a:ln w="28575">
          <a:solidFill>
            <a:srgbClr val="FF99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13417</xdr:colOff>
      <xdr:row>30</xdr:row>
      <xdr:rowOff>12874</xdr:rowOff>
    </xdr:from>
    <xdr:to>
      <xdr:col>17</xdr:col>
      <xdr:colOff>8049</xdr:colOff>
      <xdr:row>33</xdr:row>
      <xdr:rowOff>0</xdr:rowOff>
    </xdr:to>
    <xdr:sp macro="" textlink="">
      <xdr:nvSpPr>
        <xdr:cNvPr id="47" name="Rectangle 46">
          <a:extLst>
            <a:ext uri="{FF2B5EF4-FFF2-40B4-BE49-F238E27FC236}">
              <a16:creationId xmlns:a16="http://schemas.microsoft.com/office/drawing/2014/main" id="{5D841D82-AEA0-45D8-9D1E-885BE49C8635}"/>
            </a:ext>
            <a:ext uri="{C183D7F6-B498-43B3-948B-1728B52AA6E4}">
              <adec:decorative xmlns:adec="http://schemas.microsoft.com/office/drawing/2017/decorative" val="1"/>
            </a:ext>
          </a:extLst>
        </xdr:cNvPr>
        <xdr:cNvSpPr/>
      </xdr:nvSpPr>
      <xdr:spPr>
        <a:xfrm>
          <a:off x="7692445" y="7318951"/>
          <a:ext cx="555400" cy="727662"/>
        </a:xfrm>
        <a:prstGeom prst="rect">
          <a:avLst/>
        </a:prstGeom>
        <a:noFill/>
        <a:ln w="28575">
          <a:solidFill>
            <a:srgbClr val="FF99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15069</xdr:colOff>
      <xdr:row>30</xdr:row>
      <xdr:rowOff>13415</xdr:rowOff>
    </xdr:from>
    <xdr:to>
      <xdr:col>16</xdr:col>
      <xdr:colOff>13416</xdr:colOff>
      <xdr:row>32</xdr:row>
      <xdr:rowOff>245353</xdr:rowOff>
    </xdr:to>
    <xdr:sp macro="" textlink="">
      <xdr:nvSpPr>
        <xdr:cNvPr id="48" name="Rectangle 47">
          <a:extLst>
            <a:ext uri="{FF2B5EF4-FFF2-40B4-BE49-F238E27FC236}">
              <a16:creationId xmlns:a16="http://schemas.microsoft.com/office/drawing/2014/main" id="{C24ECAFE-517C-4554-870C-387C3C613E7A}"/>
            </a:ext>
            <a:ext uri="{C183D7F6-B498-43B3-948B-1728B52AA6E4}">
              <adec:decorative xmlns:adec="http://schemas.microsoft.com/office/drawing/2017/decorative" val="1"/>
            </a:ext>
          </a:extLst>
        </xdr:cNvPr>
        <xdr:cNvSpPr/>
      </xdr:nvSpPr>
      <xdr:spPr>
        <a:xfrm>
          <a:off x="7313097" y="7319492"/>
          <a:ext cx="379347" cy="725629"/>
        </a:xfrm>
        <a:prstGeom prst="rect">
          <a:avLst/>
        </a:prstGeom>
        <a:noFill/>
        <a:ln w="28575">
          <a:solidFill>
            <a:srgbClr val="FF99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23</xdr:col>
      <xdr:colOff>802045</xdr:colOff>
      <xdr:row>25</xdr:row>
      <xdr:rowOff>124454</xdr:rowOff>
    </xdr:from>
    <xdr:to>
      <xdr:col>23</xdr:col>
      <xdr:colOff>1430601</xdr:colOff>
      <xdr:row>30</xdr:row>
      <xdr:rowOff>15871</xdr:rowOff>
    </xdr:to>
    <xdr:sp macro="" textlink="">
      <xdr:nvSpPr>
        <xdr:cNvPr id="50" name="Arrow: Curved Right 49">
          <a:extLst>
            <a:ext uri="{FF2B5EF4-FFF2-40B4-BE49-F238E27FC236}">
              <a16:creationId xmlns:a16="http://schemas.microsoft.com/office/drawing/2014/main" id="{D0A36760-21F4-4E62-B976-57EE8D8F13D1}"/>
            </a:ext>
            <a:ext uri="{C183D7F6-B498-43B3-948B-1728B52AA6E4}">
              <adec:decorative xmlns:adec="http://schemas.microsoft.com/office/drawing/2017/decorative" val="1"/>
            </a:ext>
          </a:extLst>
        </xdr:cNvPr>
        <xdr:cNvSpPr/>
      </xdr:nvSpPr>
      <xdr:spPr>
        <a:xfrm>
          <a:off x="14429889" y="5690367"/>
          <a:ext cx="628556" cy="983857"/>
        </a:xfrm>
        <a:prstGeom prst="curvedRightArrow">
          <a:avLst>
            <a:gd name="adj1" fmla="val 17502"/>
            <a:gd name="adj2" fmla="val 53590"/>
            <a:gd name="adj3" fmla="val 27527"/>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23</xdr:col>
      <xdr:colOff>1403275</xdr:colOff>
      <xdr:row>23</xdr:row>
      <xdr:rowOff>87687</xdr:rowOff>
    </xdr:from>
    <xdr:to>
      <xdr:col>26</xdr:col>
      <xdr:colOff>172855</xdr:colOff>
      <xdr:row>28</xdr:row>
      <xdr:rowOff>41423</xdr:rowOff>
    </xdr:to>
    <xdr:sp macro="" textlink="">
      <xdr:nvSpPr>
        <xdr:cNvPr id="31" name="TextBox 55">
          <a:extLst>
            <a:ext uri="{FF2B5EF4-FFF2-40B4-BE49-F238E27FC236}">
              <a16:creationId xmlns:a16="http://schemas.microsoft.com/office/drawing/2014/main" id="{B01846EA-E034-4E65-A749-9B4DDE23AEC0}"/>
            </a:ext>
          </a:extLst>
        </xdr:cNvPr>
        <xdr:cNvSpPr txBox="1"/>
      </xdr:nvSpPr>
      <xdr:spPr>
        <a:xfrm>
          <a:off x="15031119" y="5266406"/>
          <a:ext cx="1804904" cy="921721"/>
        </a:xfrm>
        <a:prstGeom prst="ellipse">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solidFill>
                <a:sysClr val="windowText" lastClr="000000"/>
              </a:solidFill>
            </a:rPr>
            <a:t>These</a:t>
          </a:r>
          <a:r>
            <a:rPr lang="en-US" sz="1100" baseline="0">
              <a:solidFill>
                <a:sysClr val="windowText" lastClr="000000"/>
              </a:solidFill>
            </a:rPr>
            <a:t> are the only column headers can be edited.</a:t>
          </a:r>
          <a:endParaRPr lang="en-US" sz="1100">
            <a:solidFill>
              <a:sysClr val="windowText" lastClr="000000"/>
            </a:solidFill>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00000000}" name="Location" displayName="Location" ref="E2:E13" totalsRowShown="0" headerRowDxfId="996" dataDxfId="994" headerRowBorderDxfId="995" tableBorderDxfId="993" totalsRowBorderDxfId="992">
  <tableColumns count="1">
    <tableColumn id="1" xr3:uid="{00000000-0010-0000-0000-000001000000}" name="Location" dataDxfId="991"/>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01000000}" name="NS" displayName="NS" ref="G2:G13" totalsRowShown="0" headerRowDxfId="990" dataDxfId="988" headerRowBorderDxfId="989" tableBorderDxfId="987" totalsRowBorderDxfId="986">
  <tableColumns count="1">
    <tableColumn id="1" xr3:uid="{00000000-0010-0000-0100-000001000000}" name="Nurses Stations" dataDxfId="985"/>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02000000}" name="PriortoFall" displayName="PriortoFall" ref="I2:I26" totalsRowShown="0" headerRowDxfId="984" dataDxfId="982" headerRowBorderDxfId="983" tableBorderDxfId="981" totalsRowBorderDxfId="980">
  <autoFilter ref="I2:I26" xr:uid="{00000000-0009-0000-0100-000024000000}"/>
  <sortState xmlns:xlrd2="http://schemas.microsoft.com/office/spreadsheetml/2017/richdata2" ref="I3:I26">
    <sortCondition ref="I2:I26"/>
  </sortState>
  <tableColumns count="1">
    <tableColumn id="1" xr3:uid="{00000000-0010-0000-0200-000001000000}" name="What was the resident doing prior to fall?" dataDxfId="979"/>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03000000}" name="Shifts" displayName="Shifts" ref="M2:N26" totalsRowShown="0" headerRowDxfId="978" dataDxfId="976" headerRowBorderDxfId="977" tableBorderDxfId="975" totalsRowBorderDxfId="974">
  <tableColumns count="2">
    <tableColumn id="1" xr3:uid="{00000000-0010-0000-0300-000001000000}" name="Hour" dataDxfId="973"/>
    <tableColumn id="2" xr3:uid="{00000000-0010-0000-0300-000002000000}" name="Shift" dataDxfId="97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04000000}" name="BIMS" displayName="BIMS" ref="R2:S17" totalsRowShown="0" headerRowDxfId="971" dataDxfId="969" headerRowBorderDxfId="970" tableBorderDxfId="968" totalsRowBorderDxfId="967">
  <tableColumns count="2">
    <tableColumn id="1" xr3:uid="{00000000-0010-0000-0400-000001000000}" name="BIMS Score" dataDxfId="966"/>
    <tableColumn id="2" xr3:uid="{00000000-0010-0000-0400-000002000000}" name="Cognitive Impairment" dataDxfId="965"/>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05000000}" name="Witness" displayName="Witness" ref="U2:U4" totalsRowShown="0" headerRowDxfId="964" dataDxfId="962" headerRowBorderDxfId="963" tableBorderDxfId="961" totalsRowBorderDxfId="960">
  <tableColumns count="1">
    <tableColumn id="1" xr3:uid="{00000000-0010-0000-0500-000001000000}" name="Witnessed" dataDxfId="959"/>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6000000}" name="RCA" displayName="RCA" ref="Y2:Y4" totalsRowShown="0" headerRowDxfId="958" dataDxfId="957" tableBorderDxfId="956">
  <tableColumns count="1">
    <tableColumn id="1" xr3:uid="{00000000-0010-0000-0600-000001000000}" name="RCA Completed" dataDxfId="955"/>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7000000}" name="FC" displayName="FC" ref="AA2:AA5" totalsRowShown="0" headerRowDxfId="954" dataDxfId="953" tableBorderDxfId="952">
  <tableColumns count="1">
    <tableColumn id="1" xr3:uid="{00000000-0010-0000-0700-000001000000}" name="Fall Circumstances" dataDxfId="951"/>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8000000}" name="CF" displayName="CF" ref="K2:K26" totalsRowShown="0" headerRowDxfId="950" dataDxfId="949" tableBorderDxfId="948">
  <autoFilter ref="K2:K26" xr:uid="{00000000-0009-0000-0100-000006000000}"/>
  <sortState xmlns:xlrd2="http://schemas.microsoft.com/office/spreadsheetml/2017/richdata2" ref="K3:K26">
    <sortCondition ref="K2:K26"/>
  </sortState>
  <tableColumns count="1">
    <tableColumn id="1" xr3:uid="{00000000-0010-0000-0800-000001000000}" name="Contributing Factors" dataDxfId="947"/>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09000000}" name="FallType" displayName="FallType" ref="W2:W5" totalsRowShown="0" headerRowDxfId="946" dataDxfId="945" tableBorderDxfId="944">
  <tableColumns count="1">
    <tableColumn id="1" xr3:uid="{00000000-0010-0000-0900-000001000000}" name="Fall Type" dataDxfId="943"/>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A000000}" name="Jan" displayName="Jan" ref="B3:V40" headerRowDxfId="942" dataDxfId="941" totalsRowDxfId="940">
  <tableColumns count="21">
    <tableColumn id="1" xr3:uid="{00000000-0010-0000-0A00-000001000000}" name="Room" dataDxfId="939" totalsRowDxfId="938"/>
    <tableColumn id="2" xr3:uid="{00000000-0010-0000-0A00-000002000000}" name="Resident Name" dataDxfId="937" totalsRowDxfId="936"/>
    <tableColumn id="17" xr3:uid="{00000000-0010-0000-0A00-000011000000}" name="Date of Incident" dataDxfId="935" totalsRowDxfId="934"/>
    <tableColumn id="9" xr3:uid="{00000000-0010-0000-0A00-000009000000}" name=" Date of Post Fall Evaluation" dataDxfId="933" totalsRowDxfId="932"/>
    <tableColumn id="5" xr3:uid="{00000000-0010-0000-0A00-000005000000}" name="Witnessed_x000a_Fall?" dataDxfId="931" totalsRowDxfId="930"/>
    <tableColumn id="10" xr3:uid="{00000000-0010-0000-0A00-00000A000000}" name="Fall Circumstances" dataDxfId="929" totalsRowDxfId="928"/>
    <tableColumn id="4" xr3:uid="{00000000-0010-0000-0A00-000004000000}" name="Injury Type" dataDxfId="927" totalsRowDxfId="926"/>
    <tableColumn id="6" xr3:uid="{00000000-0010-0000-0A00-000006000000}" name="Location" dataDxfId="925" totalsRowDxfId="924"/>
    <tableColumn id="7" xr3:uid="{00000000-0010-0000-0A00-000007000000}" name="Station" dataDxfId="923" totalsRowDxfId="922"/>
    <tableColumn id="12" xr3:uid="{00000000-0010-0000-0A00-00000C000000}" name="Day" dataDxfId="921" totalsRowDxfId="920">
      <calculatedColumnFormula>IF(Jan[[#This Row],[Date of Incident]]="","",TEXT(Jan[[#This Row],[Date of Incident]],"ddd"))</calculatedColumnFormula>
    </tableColumn>
    <tableColumn id="19" xr3:uid="{00000000-0010-0000-0A00-000013000000}" name="Hour" dataDxfId="919" totalsRowDxfId="918"/>
    <tableColumn id="23" xr3:uid="{00000000-0010-0000-0A00-000017000000}" name="Shift" dataDxfId="917" totalsRowDxfId="916">
      <calculatedColumnFormula>IFERROR(VLOOKUP(Jan[[#This Row],[Hour]],Shifts[],2,FALSE),"")</calculatedColumnFormula>
    </tableColumn>
    <tableColumn id="44" xr3:uid="{00000000-0010-0000-0A00-00002C000000}" name="BIMS Score" dataDxfId="915" totalsRowDxfId="914"/>
    <tableColumn id="45" xr3:uid="{00000000-0010-0000-0A00-00002D000000}" name="Cognitive Impairment" dataDxfId="913" totalsRowDxfId="912">
      <calculatedColumnFormula>IFERROR(VLOOKUP(Jan[[#This Row],[BIMS Score]],BIMS[],2,FALSE),"")</calculatedColumnFormula>
    </tableColumn>
    <tableColumn id="8" xr3:uid="{00000000-0010-0000-0A00-000008000000}" name="What was resident doing prior to fall?" dataDxfId="911" totalsRowDxfId="910"/>
    <tableColumn id="15" xr3:uid="{00000000-0010-0000-0A00-00000F000000}" name="Notes on resident activity prior to fall." dataDxfId="909" totalsRowDxfId="908"/>
    <tableColumn id="3" xr3:uid="{00000000-0010-0000-0A00-000003000000}" name="RCA_x000a_Completed?" dataDxfId="907" totalsRowDxfId="906"/>
    <tableColumn id="31" xr3:uid="{00000000-0010-0000-0A00-00001F000000}" name="Contributing Factors" dataDxfId="905" totalsRowDxfId="904"/>
    <tableColumn id="41" xr3:uid="{00000000-0010-0000-0A00-000029000000}" name="Nurse" dataDxfId="903" totalsRowDxfId="902"/>
    <tableColumn id="42" xr3:uid="{00000000-0010-0000-0A00-00002A000000}" name="Certified Nurse Assistance" dataDxfId="901" totalsRowDxfId="900"/>
    <tableColumn id="43" xr3:uid="{00000000-0010-0000-0A00-00002B000000}" name="Witness Name" dataDxfId="89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B000000}" name="Feb" displayName="Feb" ref="B3:V40" headerRowDxfId="898" dataDxfId="897" totalsRowDxfId="896">
  <tableColumns count="21">
    <tableColumn id="1" xr3:uid="{00000000-0010-0000-0B00-000001000000}" name="Room" dataDxfId="895" totalsRowDxfId="894"/>
    <tableColumn id="2" xr3:uid="{00000000-0010-0000-0B00-000002000000}" name="Resident Name" dataDxfId="893" totalsRowDxfId="892"/>
    <tableColumn id="17" xr3:uid="{00000000-0010-0000-0B00-000011000000}" name="Date of Incident" dataDxfId="891" totalsRowDxfId="890"/>
    <tableColumn id="9" xr3:uid="{00000000-0010-0000-0B00-000009000000}" name=" Date of Post Fall Evaluation" dataDxfId="889" totalsRowDxfId="888"/>
    <tableColumn id="5" xr3:uid="{00000000-0010-0000-0B00-000005000000}" name="Witnessed_x000a_Fall?" dataDxfId="887" totalsRowDxfId="886"/>
    <tableColumn id="10" xr3:uid="{00000000-0010-0000-0B00-00000A000000}" name="Fall Circumstances" dataDxfId="885" totalsRowDxfId="884"/>
    <tableColumn id="4" xr3:uid="{00000000-0010-0000-0B00-000004000000}" name="Injury Type" dataDxfId="883" totalsRowDxfId="882"/>
    <tableColumn id="6" xr3:uid="{00000000-0010-0000-0B00-000006000000}" name="Location" dataDxfId="881" totalsRowDxfId="880"/>
    <tableColumn id="7" xr3:uid="{00000000-0010-0000-0B00-000007000000}" name="Station" dataDxfId="879" totalsRowDxfId="878"/>
    <tableColumn id="12" xr3:uid="{00000000-0010-0000-0B00-00000C000000}" name="Day" dataDxfId="877" totalsRowDxfId="876">
      <calculatedColumnFormula>IF(Feb[[#This Row],[Date of Incident]]="","",TEXT(Feb[[#This Row],[Date of Incident]],"ddd"))</calculatedColumnFormula>
    </tableColumn>
    <tableColumn id="19" xr3:uid="{00000000-0010-0000-0B00-000013000000}" name="Hour" dataDxfId="875" totalsRowDxfId="874"/>
    <tableColumn id="23" xr3:uid="{00000000-0010-0000-0B00-000017000000}" name="Shift" dataDxfId="873" totalsRowDxfId="872">
      <calculatedColumnFormula>IFERROR(VLOOKUP(Feb[[#This Row],[Hour]],Shifts[],2,FALSE),"")</calculatedColumnFormula>
    </tableColumn>
    <tableColumn id="44" xr3:uid="{00000000-0010-0000-0B00-00002C000000}" name="BIMS Score" dataDxfId="871" totalsRowDxfId="870"/>
    <tableColumn id="45" xr3:uid="{00000000-0010-0000-0B00-00002D000000}" name="Cognitive Impairment" dataDxfId="869" totalsRowDxfId="868">
      <calculatedColumnFormula>IFERROR(VLOOKUP(Feb[[#This Row],[BIMS Score]],BIMS[],2,FALSE),"")</calculatedColumnFormula>
    </tableColumn>
    <tableColumn id="8" xr3:uid="{00000000-0010-0000-0B00-000008000000}" name="What was resident doing prior to fall?" dataDxfId="867" totalsRowDxfId="866"/>
    <tableColumn id="15" xr3:uid="{00000000-0010-0000-0B00-00000F000000}" name="Notes on resident activity prior to fall." dataDxfId="865" totalsRowDxfId="864"/>
    <tableColumn id="3" xr3:uid="{00000000-0010-0000-0B00-000003000000}" name="RCA_x000a_Completed?" dataDxfId="863" totalsRowDxfId="862"/>
    <tableColumn id="31" xr3:uid="{00000000-0010-0000-0B00-00001F000000}" name="Contributing Factors" dataDxfId="861" totalsRowDxfId="860"/>
    <tableColumn id="41" xr3:uid="{00000000-0010-0000-0B00-000029000000}" name="Nurse" dataDxfId="859" totalsRowDxfId="858"/>
    <tableColumn id="42" xr3:uid="{00000000-0010-0000-0B00-00002A000000}" name="Certified Nurse Assistance" dataDxfId="857" totalsRowDxfId="856"/>
    <tableColumn id="43" xr3:uid="{00000000-0010-0000-0B00-00002B000000}" name="Witness Name" dataDxfId="855" totalsRowDxfId="85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C000000}" name="Mar" displayName="Mar" ref="B3:V40" headerRowDxfId="853" dataDxfId="852" totalsRowDxfId="851">
  <tableColumns count="21">
    <tableColumn id="1" xr3:uid="{00000000-0010-0000-0C00-000001000000}" name="Room" dataDxfId="850" totalsRowDxfId="849"/>
    <tableColumn id="2" xr3:uid="{00000000-0010-0000-0C00-000002000000}" name="Resident Name" dataDxfId="848" totalsRowDxfId="847"/>
    <tableColumn id="17" xr3:uid="{00000000-0010-0000-0C00-000011000000}" name="Date of Incident" dataDxfId="846" totalsRowDxfId="845"/>
    <tableColumn id="9" xr3:uid="{00000000-0010-0000-0C00-000009000000}" name=" Date of Post Fall Evaluation" dataDxfId="844" totalsRowDxfId="843"/>
    <tableColumn id="5" xr3:uid="{00000000-0010-0000-0C00-000005000000}" name="Witnessed_x000a_Fall?" dataDxfId="842" totalsRowDxfId="841"/>
    <tableColumn id="10" xr3:uid="{00000000-0010-0000-0C00-00000A000000}" name="Fall Circumstances" dataDxfId="840" totalsRowDxfId="839"/>
    <tableColumn id="4" xr3:uid="{00000000-0010-0000-0C00-000004000000}" name="Injury Type" dataDxfId="838" totalsRowDxfId="837"/>
    <tableColumn id="6" xr3:uid="{00000000-0010-0000-0C00-000006000000}" name="Location" dataDxfId="836" totalsRowDxfId="835"/>
    <tableColumn id="7" xr3:uid="{00000000-0010-0000-0C00-000007000000}" name="Station" dataDxfId="834" totalsRowDxfId="833"/>
    <tableColumn id="12" xr3:uid="{00000000-0010-0000-0C00-00000C000000}" name="Day" dataDxfId="832" totalsRowDxfId="831">
      <calculatedColumnFormula>IF(Mar[[#This Row],[Date of Incident]]="","",TEXT(Mar[[#This Row],[Date of Incident]],"ddd"))</calculatedColumnFormula>
    </tableColumn>
    <tableColumn id="19" xr3:uid="{00000000-0010-0000-0C00-000013000000}" name="Hour" dataDxfId="830" totalsRowDxfId="829"/>
    <tableColumn id="23" xr3:uid="{00000000-0010-0000-0C00-000017000000}" name="Shift" dataDxfId="828" totalsRowDxfId="827">
      <calculatedColumnFormula>IFERROR(VLOOKUP(Mar[[#This Row],[Hour]],Shifts[],2,FALSE),"")</calculatedColumnFormula>
    </tableColumn>
    <tableColumn id="44" xr3:uid="{00000000-0010-0000-0C00-00002C000000}" name="BIMS Score" dataDxfId="826" totalsRowDxfId="825"/>
    <tableColumn id="45" xr3:uid="{00000000-0010-0000-0C00-00002D000000}" name="Cognitive Impairment" dataDxfId="824" totalsRowDxfId="823">
      <calculatedColumnFormula>IFERROR(VLOOKUP(Mar[[#This Row],[BIMS Score]],BIMS[],2,FALSE),"")</calculatedColumnFormula>
    </tableColumn>
    <tableColumn id="8" xr3:uid="{00000000-0010-0000-0C00-000008000000}" name="What was resident doing prior to fall?" dataDxfId="822" totalsRowDxfId="821"/>
    <tableColumn id="15" xr3:uid="{00000000-0010-0000-0C00-00000F000000}" name="Notes on resident activity prior to fall." dataDxfId="820" totalsRowDxfId="819"/>
    <tableColumn id="3" xr3:uid="{00000000-0010-0000-0C00-000003000000}" name="RCA_x000a_Completed?" dataDxfId="818" totalsRowDxfId="817"/>
    <tableColumn id="31" xr3:uid="{00000000-0010-0000-0C00-00001F000000}" name="Contributing Factors" dataDxfId="816" totalsRowDxfId="815"/>
    <tableColumn id="41" xr3:uid="{00000000-0010-0000-0C00-000029000000}" name="Nurse" dataDxfId="814" totalsRowDxfId="813"/>
    <tableColumn id="42" xr3:uid="{00000000-0010-0000-0C00-00002A000000}" name="Certified Nurse Assistance" dataDxfId="812" totalsRowDxfId="811"/>
    <tableColumn id="43" xr3:uid="{00000000-0010-0000-0C00-00002B000000}" name="Witness Name" dataDxfId="81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D000000}" name="Apr" displayName="Apr" ref="B3:V40" headerRowDxfId="809" dataDxfId="808" totalsRowDxfId="807">
  <tableColumns count="21">
    <tableColumn id="1" xr3:uid="{00000000-0010-0000-0D00-000001000000}" name="Room" dataDxfId="806" totalsRowDxfId="805"/>
    <tableColumn id="2" xr3:uid="{00000000-0010-0000-0D00-000002000000}" name="Resident Name" dataDxfId="804" totalsRowDxfId="803"/>
    <tableColumn id="17" xr3:uid="{00000000-0010-0000-0D00-000011000000}" name="Date of Incident" dataDxfId="802" totalsRowDxfId="801"/>
    <tableColumn id="9" xr3:uid="{00000000-0010-0000-0D00-000009000000}" name=" Date of Post Fall Evaluation" dataDxfId="800" totalsRowDxfId="799"/>
    <tableColumn id="5" xr3:uid="{00000000-0010-0000-0D00-000005000000}" name="Witnessed_x000a_Fall?" dataDxfId="798" totalsRowDxfId="797"/>
    <tableColumn id="10" xr3:uid="{00000000-0010-0000-0D00-00000A000000}" name="Fall Circumstances" dataDxfId="796" totalsRowDxfId="795"/>
    <tableColumn id="4" xr3:uid="{00000000-0010-0000-0D00-000004000000}" name="Injury Type" dataDxfId="794" totalsRowDxfId="793"/>
    <tableColumn id="6" xr3:uid="{00000000-0010-0000-0D00-000006000000}" name="Location" dataDxfId="792" totalsRowDxfId="791"/>
    <tableColumn id="7" xr3:uid="{00000000-0010-0000-0D00-000007000000}" name="Station" dataDxfId="790" totalsRowDxfId="789"/>
    <tableColumn id="12" xr3:uid="{00000000-0010-0000-0D00-00000C000000}" name="Day" dataDxfId="788" totalsRowDxfId="787">
      <calculatedColumnFormula>IF(Apr[[#This Row],[Date of Incident]]="","",TEXT(Apr[[#This Row],[Date of Incident]],"ddd"))</calculatedColumnFormula>
    </tableColumn>
    <tableColumn id="19" xr3:uid="{00000000-0010-0000-0D00-000013000000}" name="Hour" dataDxfId="786" totalsRowDxfId="785"/>
    <tableColumn id="23" xr3:uid="{00000000-0010-0000-0D00-000017000000}" name="Shift" dataDxfId="784" totalsRowDxfId="783">
      <calculatedColumnFormula>IFERROR(VLOOKUP(Apr[[#This Row],[Hour]],Shifts[],2,FALSE),"")</calculatedColumnFormula>
    </tableColumn>
    <tableColumn id="44" xr3:uid="{00000000-0010-0000-0D00-00002C000000}" name="BIMS Score" dataDxfId="782" totalsRowDxfId="781"/>
    <tableColumn id="45" xr3:uid="{00000000-0010-0000-0D00-00002D000000}" name="Cognitive Impairment" dataDxfId="780" totalsRowDxfId="779">
      <calculatedColumnFormula>IFERROR(VLOOKUP(Apr[[#This Row],[BIMS Score]],BIMS[],2,FALSE),"")</calculatedColumnFormula>
    </tableColumn>
    <tableColumn id="8" xr3:uid="{00000000-0010-0000-0D00-000008000000}" name="What was resident doing prior to fall?" dataDxfId="778" totalsRowDxfId="777"/>
    <tableColumn id="15" xr3:uid="{00000000-0010-0000-0D00-00000F000000}" name="Notes on resident activity prior to fall." dataDxfId="776" totalsRowDxfId="775"/>
    <tableColumn id="3" xr3:uid="{00000000-0010-0000-0D00-000003000000}" name="RCA_x000a_Completed?" dataDxfId="774" totalsRowDxfId="773"/>
    <tableColumn id="31" xr3:uid="{00000000-0010-0000-0D00-00001F000000}" name="Contributing Factors" dataDxfId="772" totalsRowDxfId="771"/>
    <tableColumn id="41" xr3:uid="{00000000-0010-0000-0D00-000029000000}" name="Nurse" dataDxfId="770" totalsRowDxfId="769"/>
    <tableColumn id="42" xr3:uid="{00000000-0010-0000-0D00-00002A000000}" name="Certified Nurse Assistance" dataDxfId="768" totalsRowDxfId="767"/>
    <tableColumn id="43" xr3:uid="{00000000-0010-0000-0D00-00002B000000}" name="Witness Name" dataDxfId="766" totalsRowDxfId="765"/>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E000000}" name="May" displayName="May" ref="B3:V40" headerRowDxfId="764" dataDxfId="763" totalsRowDxfId="762">
  <tableColumns count="21">
    <tableColumn id="1" xr3:uid="{00000000-0010-0000-0E00-000001000000}" name="Room" dataDxfId="761" totalsRowDxfId="760"/>
    <tableColumn id="2" xr3:uid="{00000000-0010-0000-0E00-000002000000}" name="Resident Name" dataDxfId="759" totalsRowDxfId="758"/>
    <tableColumn id="17" xr3:uid="{00000000-0010-0000-0E00-000011000000}" name="Date of Incident" dataDxfId="757" totalsRowDxfId="756"/>
    <tableColumn id="9" xr3:uid="{00000000-0010-0000-0E00-000009000000}" name=" Date of Post Fall Evaluation" dataDxfId="755" totalsRowDxfId="754"/>
    <tableColumn id="5" xr3:uid="{00000000-0010-0000-0E00-000005000000}" name="Witnessed_x000a_Fall?" dataDxfId="753" totalsRowDxfId="752"/>
    <tableColumn id="10" xr3:uid="{00000000-0010-0000-0E00-00000A000000}" name="Fall Circumstances" dataDxfId="751" totalsRowDxfId="750"/>
    <tableColumn id="4" xr3:uid="{00000000-0010-0000-0E00-000004000000}" name="Injury Type" dataDxfId="749" totalsRowDxfId="748"/>
    <tableColumn id="6" xr3:uid="{00000000-0010-0000-0E00-000006000000}" name="Location" dataDxfId="747" totalsRowDxfId="746"/>
    <tableColumn id="7" xr3:uid="{00000000-0010-0000-0E00-000007000000}" name="Station" dataDxfId="745" totalsRowDxfId="744"/>
    <tableColumn id="12" xr3:uid="{00000000-0010-0000-0E00-00000C000000}" name="Day" dataDxfId="743" totalsRowDxfId="742">
      <calculatedColumnFormula>IF(May[[#This Row],[Date of Incident]]="","",TEXT(May[[#This Row],[Date of Incident]],"ddd"))</calculatedColumnFormula>
    </tableColumn>
    <tableColumn id="19" xr3:uid="{00000000-0010-0000-0E00-000013000000}" name="Hour" dataDxfId="741" totalsRowDxfId="740"/>
    <tableColumn id="23" xr3:uid="{00000000-0010-0000-0E00-000017000000}" name="Shift" dataDxfId="739" totalsRowDxfId="738">
      <calculatedColumnFormula>IFERROR(VLOOKUP(May[[#This Row],[Hour]],Shifts[],2,FALSE),"")</calculatedColumnFormula>
    </tableColumn>
    <tableColumn id="44" xr3:uid="{00000000-0010-0000-0E00-00002C000000}" name="BIMS Score" dataDxfId="737" totalsRowDxfId="736"/>
    <tableColumn id="45" xr3:uid="{00000000-0010-0000-0E00-00002D000000}" name="Cognitive Impairment" dataDxfId="735" totalsRowDxfId="734">
      <calculatedColumnFormula>IFERROR(VLOOKUP(May[[#This Row],[BIMS Score]],BIMS[],2,FALSE),"")</calculatedColumnFormula>
    </tableColumn>
    <tableColumn id="8" xr3:uid="{00000000-0010-0000-0E00-000008000000}" name="What was resident doing prior to fall?" dataDxfId="733" totalsRowDxfId="732"/>
    <tableColumn id="15" xr3:uid="{00000000-0010-0000-0E00-00000F000000}" name="Notes on resident activity prior to fall." dataDxfId="731" totalsRowDxfId="730"/>
    <tableColumn id="3" xr3:uid="{00000000-0010-0000-0E00-000003000000}" name="RCA_x000a_Completed?" dataDxfId="729" totalsRowDxfId="728"/>
    <tableColumn id="31" xr3:uid="{00000000-0010-0000-0E00-00001F000000}" name="Contributing Factors" dataDxfId="727" totalsRowDxfId="726"/>
    <tableColumn id="41" xr3:uid="{00000000-0010-0000-0E00-000029000000}" name="Nurse" dataDxfId="725" totalsRowDxfId="724"/>
    <tableColumn id="42" xr3:uid="{00000000-0010-0000-0E00-00002A000000}" name="Certified Nurse Assistance" dataDxfId="723" totalsRowDxfId="722"/>
    <tableColumn id="43" xr3:uid="{00000000-0010-0000-0E00-00002B000000}" name="Witness Name" dataDxfId="721" totalsRowDxfId="720"/>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F000000}" name="June" displayName="June" ref="B3:V40" headerRowDxfId="719" dataDxfId="718" totalsRowDxfId="717">
  <tableColumns count="21">
    <tableColumn id="1" xr3:uid="{00000000-0010-0000-0F00-000001000000}" name="Room" dataDxfId="716" totalsRowDxfId="715"/>
    <tableColumn id="2" xr3:uid="{00000000-0010-0000-0F00-000002000000}" name="Resident Name" dataDxfId="714" totalsRowDxfId="713"/>
    <tableColumn id="17" xr3:uid="{00000000-0010-0000-0F00-000011000000}" name="Date of Incident" dataDxfId="712" totalsRowDxfId="711"/>
    <tableColumn id="9" xr3:uid="{00000000-0010-0000-0F00-000009000000}" name=" Date of Post Fall Evaluation" dataDxfId="710" totalsRowDxfId="709"/>
    <tableColumn id="5" xr3:uid="{00000000-0010-0000-0F00-000005000000}" name="Witnessed_x000a_Fall?" dataDxfId="708" totalsRowDxfId="707"/>
    <tableColumn id="10" xr3:uid="{00000000-0010-0000-0F00-00000A000000}" name="Fall Circumstances" dataDxfId="706" totalsRowDxfId="705"/>
    <tableColumn id="4" xr3:uid="{00000000-0010-0000-0F00-000004000000}" name="Injury Type" dataDxfId="704" totalsRowDxfId="703"/>
    <tableColumn id="6" xr3:uid="{00000000-0010-0000-0F00-000006000000}" name="Location" dataDxfId="702" totalsRowDxfId="701"/>
    <tableColumn id="7" xr3:uid="{00000000-0010-0000-0F00-000007000000}" name="Station" dataDxfId="700" totalsRowDxfId="699"/>
    <tableColumn id="12" xr3:uid="{00000000-0010-0000-0F00-00000C000000}" name="Day" dataDxfId="698" totalsRowDxfId="697">
      <calculatedColumnFormula>IF(June[[#This Row],[Date of Incident]]="","",TEXT(June[[#This Row],[Date of Incident]],"ddd"))</calculatedColumnFormula>
    </tableColumn>
    <tableColumn id="19" xr3:uid="{00000000-0010-0000-0F00-000013000000}" name="Hour" dataDxfId="696" totalsRowDxfId="695"/>
    <tableColumn id="23" xr3:uid="{00000000-0010-0000-0F00-000017000000}" name="Shift" dataDxfId="694" totalsRowDxfId="693">
      <calculatedColumnFormula>IFERROR(VLOOKUP(June[[#This Row],[Hour]],Shifts[],2,FALSE),"")</calculatedColumnFormula>
    </tableColumn>
    <tableColumn id="44" xr3:uid="{00000000-0010-0000-0F00-00002C000000}" name="BIMS Score" dataDxfId="692" totalsRowDxfId="691"/>
    <tableColumn id="45" xr3:uid="{00000000-0010-0000-0F00-00002D000000}" name="Cognitive Impairment" dataDxfId="690" totalsRowDxfId="689">
      <calculatedColumnFormula>IFERROR(VLOOKUP(June[[#This Row],[BIMS Score]],BIMS[],2,FALSE),"")</calculatedColumnFormula>
    </tableColumn>
    <tableColumn id="8" xr3:uid="{00000000-0010-0000-0F00-000008000000}" name="What was resident doing prior to fall?" dataDxfId="688" totalsRowDxfId="687"/>
    <tableColumn id="15" xr3:uid="{00000000-0010-0000-0F00-00000F000000}" name="Notes on resident activity prior to fall." dataDxfId="686" totalsRowDxfId="685"/>
    <tableColumn id="3" xr3:uid="{00000000-0010-0000-0F00-000003000000}" name="RCA_x000a_Completed?" dataDxfId="684" totalsRowDxfId="683"/>
    <tableColumn id="31" xr3:uid="{00000000-0010-0000-0F00-00001F000000}" name="Contributing Factors" dataDxfId="682" totalsRowDxfId="681"/>
    <tableColumn id="41" xr3:uid="{00000000-0010-0000-0F00-000029000000}" name="Nurse" dataDxfId="680" totalsRowDxfId="679"/>
    <tableColumn id="42" xr3:uid="{00000000-0010-0000-0F00-00002A000000}" name="Certified Nurse Assistance" dataDxfId="678" totalsRowDxfId="677"/>
    <tableColumn id="43" xr3:uid="{00000000-0010-0000-0F00-00002B000000}" name="Witness Name" dataDxfId="676"/>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10000000}" name="July" displayName="July" ref="B3:V40" headerRowDxfId="675" dataDxfId="674" totalsRowDxfId="673">
  <tableColumns count="21">
    <tableColumn id="1" xr3:uid="{00000000-0010-0000-1000-000001000000}" name="Room" dataDxfId="672" totalsRowDxfId="671"/>
    <tableColumn id="2" xr3:uid="{00000000-0010-0000-1000-000002000000}" name="Resident Name" dataDxfId="670" totalsRowDxfId="669"/>
    <tableColumn id="17" xr3:uid="{00000000-0010-0000-1000-000011000000}" name="Date of Incident" dataDxfId="668" totalsRowDxfId="667"/>
    <tableColumn id="9" xr3:uid="{00000000-0010-0000-1000-000009000000}" name=" Date of Post Fall Evaluation" dataDxfId="666" totalsRowDxfId="665"/>
    <tableColumn id="5" xr3:uid="{00000000-0010-0000-1000-000005000000}" name="Witnessed_x000a_Fall?" dataDxfId="664" totalsRowDxfId="663"/>
    <tableColumn id="10" xr3:uid="{00000000-0010-0000-1000-00000A000000}" name="Fall Circumstances" dataDxfId="662" totalsRowDxfId="661"/>
    <tableColumn id="4" xr3:uid="{00000000-0010-0000-1000-000004000000}" name="Injury Type" dataDxfId="660" totalsRowDxfId="659"/>
    <tableColumn id="6" xr3:uid="{00000000-0010-0000-1000-000006000000}" name="Location" dataDxfId="658" totalsRowDxfId="657"/>
    <tableColumn id="7" xr3:uid="{00000000-0010-0000-1000-000007000000}" name="Station" dataDxfId="656" totalsRowDxfId="655"/>
    <tableColumn id="12" xr3:uid="{00000000-0010-0000-1000-00000C000000}" name="Day" dataDxfId="654" totalsRowDxfId="653">
      <calculatedColumnFormula>IF(July[[#This Row],[Date of Incident]]="","",TEXT(July[[#This Row],[Date of Incident]],"ddd"))</calculatedColumnFormula>
    </tableColumn>
    <tableColumn id="19" xr3:uid="{00000000-0010-0000-1000-000013000000}" name="Hour" dataDxfId="652" totalsRowDxfId="651"/>
    <tableColumn id="23" xr3:uid="{00000000-0010-0000-1000-000017000000}" name="Shift" dataDxfId="650" totalsRowDxfId="649">
      <calculatedColumnFormula>IFERROR(VLOOKUP(July[[#This Row],[Hour]],Shifts[],2,FALSE),"")</calculatedColumnFormula>
    </tableColumn>
    <tableColumn id="44" xr3:uid="{00000000-0010-0000-1000-00002C000000}" name="BIMS Score" dataDxfId="648" totalsRowDxfId="647"/>
    <tableColumn id="45" xr3:uid="{00000000-0010-0000-1000-00002D000000}" name="Cognitive Impairment" dataDxfId="646" totalsRowDxfId="645">
      <calculatedColumnFormula>IFERROR(VLOOKUP(July[[#This Row],[BIMS Score]],BIMS[],2,FALSE),"")</calculatedColumnFormula>
    </tableColumn>
    <tableColumn id="8" xr3:uid="{00000000-0010-0000-1000-000008000000}" name="What was resident doing prior to fall?" dataDxfId="644" totalsRowDxfId="643"/>
    <tableColumn id="15" xr3:uid="{00000000-0010-0000-1000-00000F000000}" name="Notes on resident activity prior to fall." dataDxfId="642" totalsRowDxfId="641"/>
    <tableColumn id="3" xr3:uid="{00000000-0010-0000-1000-000003000000}" name="RCA_x000a_Completed?" dataDxfId="640" totalsRowDxfId="639"/>
    <tableColumn id="31" xr3:uid="{00000000-0010-0000-1000-00001F000000}" name="Contributing Factors" dataDxfId="638" totalsRowDxfId="637"/>
    <tableColumn id="41" xr3:uid="{00000000-0010-0000-1000-000029000000}" name="Nurse" dataDxfId="636" totalsRowDxfId="635"/>
    <tableColumn id="42" xr3:uid="{00000000-0010-0000-1000-00002A000000}" name="Certified Nurse Assistance" dataDxfId="634" totalsRowDxfId="633"/>
    <tableColumn id="43" xr3:uid="{00000000-0010-0000-1000-00002B000000}" name="Witness Name" dataDxfId="632" totalsRowDxfId="631"/>
  </tableColumns>
  <tableStyleInfo name="Table Style 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11000000}" name="Aug" displayName="Aug" ref="B3:V40" headerRowDxfId="630" dataDxfId="629" totalsRowDxfId="628">
  <tableColumns count="21">
    <tableColumn id="1" xr3:uid="{00000000-0010-0000-1100-000001000000}" name="Room" dataDxfId="627" totalsRowDxfId="626"/>
    <tableColumn id="2" xr3:uid="{00000000-0010-0000-1100-000002000000}" name="Resident Name" dataDxfId="625" totalsRowDxfId="624"/>
    <tableColumn id="17" xr3:uid="{00000000-0010-0000-1100-000011000000}" name="Date of Incident" dataDxfId="623" totalsRowDxfId="622"/>
    <tableColumn id="9" xr3:uid="{00000000-0010-0000-1100-000009000000}" name=" Date of Post Fall Evaluation" dataDxfId="621" totalsRowDxfId="620"/>
    <tableColumn id="5" xr3:uid="{00000000-0010-0000-1100-000005000000}" name="Witnessed_x000a_Fall?" dataDxfId="619" totalsRowDxfId="618"/>
    <tableColumn id="10" xr3:uid="{00000000-0010-0000-1100-00000A000000}" name="Fall Circumstances" dataDxfId="617" totalsRowDxfId="616"/>
    <tableColumn id="4" xr3:uid="{00000000-0010-0000-1100-000004000000}" name="Injury Type" dataDxfId="615" totalsRowDxfId="614"/>
    <tableColumn id="6" xr3:uid="{00000000-0010-0000-1100-000006000000}" name="Location" dataDxfId="613" totalsRowDxfId="612"/>
    <tableColumn id="7" xr3:uid="{00000000-0010-0000-1100-000007000000}" name="Station" dataDxfId="611" totalsRowDxfId="610"/>
    <tableColumn id="12" xr3:uid="{00000000-0010-0000-1100-00000C000000}" name="Day" dataDxfId="609" totalsRowDxfId="608">
      <calculatedColumnFormula>IF(Aug[[#This Row],[Date of Incident]]="","",TEXT(Aug[[#This Row],[Date of Incident]],"ddd"))</calculatedColumnFormula>
    </tableColumn>
    <tableColumn id="19" xr3:uid="{00000000-0010-0000-1100-000013000000}" name="Hour" dataDxfId="607" totalsRowDxfId="606"/>
    <tableColumn id="23" xr3:uid="{00000000-0010-0000-1100-000017000000}" name="Shift" dataDxfId="605" totalsRowDxfId="604">
      <calculatedColumnFormula>IFERROR(VLOOKUP(Aug[[#This Row],[Hour]],Shifts[],2,FALSE),"")</calculatedColumnFormula>
    </tableColumn>
    <tableColumn id="44" xr3:uid="{00000000-0010-0000-1100-00002C000000}" name="BIMS Score" dataDxfId="603" totalsRowDxfId="602"/>
    <tableColumn id="45" xr3:uid="{00000000-0010-0000-1100-00002D000000}" name="Cognitive Impairment" dataDxfId="601" totalsRowDxfId="600">
      <calculatedColumnFormula>IFERROR(VLOOKUP(Aug[[#This Row],[BIMS Score]],BIMS[],2,FALSE),"")</calculatedColumnFormula>
    </tableColumn>
    <tableColumn id="8" xr3:uid="{00000000-0010-0000-1100-000008000000}" name="What was resident doing prior to fall?" dataDxfId="599" totalsRowDxfId="598"/>
    <tableColumn id="15" xr3:uid="{00000000-0010-0000-1100-00000F000000}" name="Notes on resident activity prior to fall." dataDxfId="597" totalsRowDxfId="596"/>
    <tableColumn id="3" xr3:uid="{00000000-0010-0000-1100-000003000000}" name="RCA_x000a_Completed?" dataDxfId="595" totalsRowDxfId="594"/>
    <tableColumn id="31" xr3:uid="{00000000-0010-0000-1100-00001F000000}" name="Contributing Factors" dataDxfId="593" totalsRowDxfId="592"/>
    <tableColumn id="41" xr3:uid="{00000000-0010-0000-1100-000029000000}" name="Nurse" dataDxfId="591" totalsRowDxfId="590"/>
    <tableColumn id="42" xr3:uid="{00000000-0010-0000-1100-00002A000000}" name="Certified Nurse Assistance" dataDxfId="589" totalsRowDxfId="588"/>
    <tableColumn id="43" xr3:uid="{00000000-0010-0000-1100-00002B000000}" name="Witness Name" dataDxfId="587"/>
  </tableColumns>
  <tableStyleInfo name="Table Style 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12000000}" name="Sept" displayName="Sept" ref="B3:V40" headerRowDxfId="586" dataDxfId="585" totalsRowDxfId="584">
  <tableColumns count="21">
    <tableColumn id="1" xr3:uid="{00000000-0010-0000-1200-000001000000}" name="Room" dataDxfId="583" totalsRowDxfId="582"/>
    <tableColumn id="2" xr3:uid="{00000000-0010-0000-1200-000002000000}" name="Resident Name" dataDxfId="581" totalsRowDxfId="580"/>
    <tableColumn id="17" xr3:uid="{00000000-0010-0000-1200-000011000000}" name="Date of Incident" dataDxfId="579" totalsRowDxfId="578"/>
    <tableColumn id="9" xr3:uid="{00000000-0010-0000-1200-000009000000}" name=" Date of Post Fall Evaluation" dataDxfId="577" totalsRowDxfId="576"/>
    <tableColumn id="5" xr3:uid="{00000000-0010-0000-1200-000005000000}" name="Witnessed_x000a_Fall?" dataDxfId="575" totalsRowDxfId="574"/>
    <tableColumn id="10" xr3:uid="{00000000-0010-0000-1200-00000A000000}" name="Fall Circumstances" dataDxfId="573" totalsRowDxfId="572"/>
    <tableColumn id="4" xr3:uid="{00000000-0010-0000-1200-000004000000}" name="Injury Type" dataDxfId="571" totalsRowDxfId="570"/>
    <tableColumn id="6" xr3:uid="{00000000-0010-0000-1200-000006000000}" name="Location" dataDxfId="569" totalsRowDxfId="568"/>
    <tableColumn id="7" xr3:uid="{00000000-0010-0000-1200-000007000000}" name="Station" dataDxfId="567" totalsRowDxfId="566"/>
    <tableColumn id="12" xr3:uid="{00000000-0010-0000-1200-00000C000000}" name="Day" dataDxfId="565" totalsRowDxfId="564">
      <calculatedColumnFormula>IF(Sept[[#This Row],[Date of Incident]]="","",TEXT(Sept[[#This Row],[Date of Incident]],"ddd"))</calculatedColumnFormula>
    </tableColumn>
    <tableColumn id="19" xr3:uid="{00000000-0010-0000-1200-000013000000}" name="Hour" dataDxfId="563" totalsRowDxfId="562"/>
    <tableColumn id="23" xr3:uid="{00000000-0010-0000-1200-000017000000}" name="Shift" dataDxfId="561" totalsRowDxfId="560">
      <calculatedColumnFormula>IFERROR(VLOOKUP(Sept[[#This Row],[Hour]],Shifts[],2,FALSE),"")</calculatedColumnFormula>
    </tableColumn>
    <tableColumn id="44" xr3:uid="{00000000-0010-0000-1200-00002C000000}" name="BIMS Score" dataDxfId="559" totalsRowDxfId="558"/>
    <tableColumn id="45" xr3:uid="{00000000-0010-0000-1200-00002D000000}" name="Cognitive Impairment" dataDxfId="557" totalsRowDxfId="556">
      <calculatedColumnFormula>IFERROR(VLOOKUP(Sept[[#This Row],[BIMS Score]],BIMS[],2,FALSE),"")</calculatedColumnFormula>
    </tableColumn>
    <tableColumn id="8" xr3:uid="{00000000-0010-0000-1200-000008000000}" name="What was resident doing prior to fall?" dataDxfId="555" totalsRowDxfId="554"/>
    <tableColumn id="15" xr3:uid="{00000000-0010-0000-1200-00000F000000}" name="Notes on resident activity prior to fall." dataDxfId="553" totalsRowDxfId="552"/>
    <tableColumn id="3" xr3:uid="{00000000-0010-0000-1200-000003000000}" name="RCA_x000a_Completed?" dataDxfId="551" totalsRowDxfId="550"/>
    <tableColumn id="31" xr3:uid="{00000000-0010-0000-1200-00001F000000}" name="Contributing Factors" dataDxfId="549" totalsRowDxfId="548"/>
    <tableColumn id="41" xr3:uid="{00000000-0010-0000-1200-000029000000}" name="Nurse" dataDxfId="547" totalsRowDxfId="546"/>
    <tableColumn id="42" xr3:uid="{00000000-0010-0000-1200-00002A000000}" name="Certified Nurse Assistance" dataDxfId="545" totalsRowDxfId="544"/>
    <tableColumn id="43" xr3:uid="{00000000-0010-0000-1200-00002B000000}" name="Witness Name" dataDxfId="543" totalsRowDxfId="542"/>
  </tableColumns>
  <tableStyleInfo name="Table Style 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13000000}" name="Oct" displayName="Oct" ref="B3:V40" headerRowDxfId="541" dataDxfId="540" totalsRowDxfId="539">
  <tableColumns count="21">
    <tableColumn id="1" xr3:uid="{00000000-0010-0000-1300-000001000000}" name="Room" dataDxfId="538" totalsRowDxfId="537"/>
    <tableColumn id="2" xr3:uid="{00000000-0010-0000-1300-000002000000}" name="Resident Name" dataDxfId="536" totalsRowDxfId="535"/>
    <tableColumn id="17" xr3:uid="{00000000-0010-0000-1300-000011000000}" name="Date of Incident" dataDxfId="534" totalsRowDxfId="533"/>
    <tableColumn id="9" xr3:uid="{00000000-0010-0000-1300-000009000000}" name=" Date of Post Fall Evaluation" dataDxfId="532" totalsRowDxfId="531"/>
    <tableColumn id="5" xr3:uid="{00000000-0010-0000-1300-000005000000}" name="Witnessed_x000a_Fall?" dataDxfId="530" totalsRowDxfId="529"/>
    <tableColumn id="10" xr3:uid="{00000000-0010-0000-1300-00000A000000}" name="Fall Circumstances" dataDxfId="528" totalsRowDxfId="527"/>
    <tableColumn id="4" xr3:uid="{00000000-0010-0000-1300-000004000000}" name="Injury Type" dataDxfId="526" totalsRowDxfId="525"/>
    <tableColumn id="6" xr3:uid="{00000000-0010-0000-1300-000006000000}" name="Location" dataDxfId="524" totalsRowDxfId="523"/>
    <tableColumn id="7" xr3:uid="{00000000-0010-0000-1300-000007000000}" name="Station" dataDxfId="522" totalsRowDxfId="521"/>
    <tableColumn id="12" xr3:uid="{00000000-0010-0000-1300-00000C000000}" name="Day" dataDxfId="520" totalsRowDxfId="519">
      <calculatedColumnFormula>IF(Oct[[#This Row],[Date of Incident]]="","",TEXT(Oct[[#This Row],[Date of Incident]],"ddd"))</calculatedColumnFormula>
    </tableColumn>
    <tableColumn id="19" xr3:uid="{00000000-0010-0000-1300-000013000000}" name="Hour" dataDxfId="518" totalsRowDxfId="517"/>
    <tableColumn id="23" xr3:uid="{00000000-0010-0000-1300-000017000000}" name="Shift" dataDxfId="516" totalsRowDxfId="515">
      <calculatedColumnFormula>IFERROR(VLOOKUP(Oct[[#This Row],[Hour]],Shifts[],2,FALSE),"")</calculatedColumnFormula>
    </tableColumn>
    <tableColumn id="44" xr3:uid="{00000000-0010-0000-1300-00002C000000}" name="BIMS Score" dataDxfId="514" totalsRowDxfId="513"/>
    <tableColumn id="45" xr3:uid="{00000000-0010-0000-1300-00002D000000}" name="Cognitive Impairment" dataDxfId="512" totalsRowDxfId="511">
      <calculatedColumnFormula>IFERROR(VLOOKUP(Oct[[#This Row],[BIMS Score]],BIMS[],2,FALSE),"")</calculatedColumnFormula>
    </tableColumn>
    <tableColumn id="8" xr3:uid="{00000000-0010-0000-1300-000008000000}" name="What was resident doing prior to fall?" dataDxfId="510" totalsRowDxfId="509"/>
    <tableColumn id="15" xr3:uid="{00000000-0010-0000-1300-00000F000000}" name="Notes on resident activity prior to fall." dataDxfId="508" totalsRowDxfId="507"/>
    <tableColumn id="3" xr3:uid="{00000000-0010-0000-1300-000003000000}" name="RCA_x000a_Completed?" dataDxfId="506" totalsRowDxfId="505"/>
    <tableColumn id="31" xr3:uid="{00000000-0010-0000-1300-00001F000000}" name="Contributing Factors" dataDxfId="504" totalsRowDxfId="503"/>
    <tableColumn id="41" xr3:uid="{00000000-0010-0000-1300-000029000000}" name="Nurse" dataDxfId="502" totalsRowDxfId="501"/>
    <tableColumn id="42" xr3:uid="{00000000-0010-0000-1300-00002A000000}" name="Certified Nurse Assistance" dataDxfId="500" totalsRowDxfId="499"/>
    <tableColumn id="43" xr3:uid="{00000000-0010-0000-1300-00002B000000}" name="Witness Name" dataDxfId="498" totalsRowDxfId="497"/>
  </tableColumns>
  <tableStyleInfo name="Table Style 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4000000}" name="Nov" displayName="Nov" ref="B3:V40" headerRowDxfId="496" dataDxfId="495" totalsRowDxfId="494">
  <tableColumns count="21">
    <tableColumn id="1" xr3:uid="{00000000-0010-0000-1400-000001000000}" name="Room" dataDxfId="493" totalsRowDxfId="492"/>
    <tableColumn id="2" xr3:uid="{00000000-0010-0000-1400-000002000000}" name="Resident Name" dataDxfId="491" totalsRowDxfId="490"/>
    <tableColumn id="17" xr3:uid="{00000000-0010-0000-1400-000011000000}" name="Date of Incident" dataDxfId="489" totalsRowDxfId="488"/>
    <tableColumn id="9" xr3:uid="{00000000-0010-0000-1400-000009000000}" name=" Date of Post Fall Evaluation" dataDxfId="487" totalsRowDxfId="486"/>
    <tableColumn id="5" xr3:uid="{00000000-0010-0000-1400-000005000000}" name="Witnessed_x000a_Fall?" dataDxfId="485" totalsRowDxfId="484"/>
    <tableColumn id="10" xr3:uid="{00000000-0010-0000-1400-00000A000000}" name="Fall Circumstances" dataDxfId="483" totalsRowDxfId="482"/>
    <tableColumn id="4" xr3:uid="{00000000-0010-0000-1400-000004000000}" name="Injury Type" dataDxfId="481" totalsRowDxfId="480"/>
    <tableColumn id="6" xr3:uid="{00000000-0010-0000-1400-000006000000}" name="Location" dataDxfId="479" totalsRowDxfId="478"/>
    <tableColumn id="7" xr3:uid="{00000000-0010-0000-1400-000007000000}" name="Station" dataDxfId="477" totalsRowDxfId="476"/>
    <tableColumn id="12" xr3:uid="{00000000-0010-0000-1400-00000C000000}" name="Day" dataDxfId="475" totalsRowDxfId="474">
      <calculatedColumnFormula>IF(Nov[[#This Row],[Date of Incident]]="","",TEXT(Nov[[#This Row],[Date of Incident]],"ddd"))</calculatedColumnFormula>
    </tableColumn>
    <tableColumn id="19" xr3:uid="{00000000-0010-0000-1400-000013000000}" name="Hour" dataDxfId="473" totalsRowDxfId="472"/>
    <tableColumn id="23" xr3:uid="{00000000-0010-0000-1400-000017000000}" name="Shift" dataDxfId="471" totalsRowDxfId="470">
      <calculatedColumnFormula>IFERROR(VLOOKUP(Nov[[#This Row],[Hour]],Shifts[],2,FALSE),"")</calculatedColumnFormula>
    </tableColumn>
    <tableColumn id="44" xr3:uid="{00000000-0010-0000-1400-00002C000000}" name="BIMS Score" dataDxfId="469" totalsRowDxfId="468"/>
    <tableColumn id="45" xr3:uid="{00000000-0010-0000-1400-00002D000000}" name="Cognitive Impairment" dataDxfId="467" totalsRowDxfId="466">
      <calculatedColumnFormula>IFERROR(VLOOKUP(Nov[[#This Row],[BIMS Score]],BIMS[],2,FALSE),"")</calculatedColumnFormula>
    </tableColumn>
    <tableColumn id="8" xr3:uid="{00000000-0010-0000-1400-000008000000}" name="What was resident doing prior to fall?" dataDxfId="465" totalsRowDxfId="464"/>
    <tableColumn id="15" xr3:uid="{00000000-0010-0000-1400-00000F000000}" name="Notes on resident activity prior to fall." dataDxfId="463" totalsRowDxfId="462"/>
    <tableColumn id="3" xr3:uid="{00000000-0010-0000-1400-000003000000}" name="RCA_x000a_Completed?" dataDxfId="461" totalsRowDxfId="460"/>
    <tableColumn id="31" xr3:uid="{00000000-0010-0000-1400-00001F000000}" name="Contributing Factors" dataDxfId="459" totalsRowDxfId="458"/>
    <tableColumn id="41" xr3:uid="{00000000-0010-0000-1400-000029000000}" name="Nurse" dataDxfId="457" totalsRowDxfId="456"/>
    <tableColumn id="42" xr3:uid="{00000000-0010-0000-1400-00002A000000}" name="Certified Nurse Assistance" dataDxfId="455" totalsRowDxfId="454"/>
    <tableColumn id="43" xr3:uid="{00000000-0010-0000-1400-00002B000000}" name="Witness Name" dataDxfId="453" totalsRowDxfId="452"/>
  </tableColumns>
  <tableStyleInfo name="Table Style 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15000000}" name="Dec" displayName="Dec" ref="B3:V40" headerRowDxfId="451" dataDxfId="450" totalsRowDxfId="449">
  <tableColumns count="21">
    <tableColumn id="1" xr3:uid="{00000000-0010-0000-1500-000001000000}" name="Room" dataDxfId="448" totalsRowDxfId="447"/>
    <tableColumn id="2" xr3:uid="{00000000-0010-0000-1500-000002000000}" name="Resident Name" dataDxfId="446" totalsRowDxfId="445"/>
    <tableColumn id="17" xr3:uid="{00000000-0010-0000-1500-000011000000}" name="Date of Incident" dataDxfId="444" totalsRowDxfId="443"/>
    <tableColumn id="9" xr3:uid="{00000000-0010-0000-1500-000009000000}" name=" Date of Post Fall Evaluation" dataDxfId="442" totalsRowDxfId="441"/>
    <tableColumn id="5" xr3:uid="{00000000-0010-0000-1500-000005000000}" name="Witnessed_x000a_Fall?" dataDxfId="440" totalsRowDxfId="439"/>
    <tableColumn id="10" xr3:uid="{00000000-0010-0000-1500-00000A000000}" name="Fall Circumstances" dataDxfId="438" totalsRowDxfId="437"/>
    <tableColumn id="4" xr3:uid="{00000000-0010-0000-1500-000004000000}" name="Injury Type" dataDxfId="436" totalsRowDxfId="435"/>
    <tableColumn id="6" xr3:uid="{00000000-0010-0000-1500-000006000000}" name="Location" dataDxfId="434" totalsRowDxfId="433"/>
    <tableColumn id="7" xr3:uid="{00000000-0010-0000-1500-000007000000}" name="Station" dataDxfId="432" totalsRowDxfId="431"/>
    <tableColumn id="12" xr3:uid="{00000000-0010-0000-1500-00000C000000}" name="Day" dataDxfId="430" totalsRowDxfId="429">
      <calculatedColumnFormula>IF(Dec[[#This Row],[Date of Incident]]="","",TEXT(Dec[[#This Row],[Date of Incident]],"ddd"))</calculatedColumnFormula>
    </tableColumn>
    <tableColumn id="19" xr3:uid="{00000000-0010-0000-1500-000013000000}" name="Hour" dataDxfId="428" totalsRowDxfId="427"/>
    <tableColumn id="23" xr3:uid="{00000000-0010-0000-1500-000017000000}" name="Shift" dataDxfId="426" totalsRowDxfId="425">
      <calculatedColumnFormula>IFERROR(VLOOKUP(Dec[[#This Row],[Hour]],Shifts[],2,FALSE),"")</calculatedColumnFormula>
    </tableColumn>
    <tableColumn id="44" xr3:uid="{00000000-0010-0000-1500-00002C000000}" name="BIMS Score" dataDxfId="424" totalsRowDxfId="423"/>
    <tableColumn id="45" xr3:uid="{00000000-0010-0000-1500-00002D000000}" name="Cognitive Impairment" dataDxfId="422" totalsRowDxfId="421">
      <calculatedColumnFormula>IFERROR(VLOOKUP(Dec[[#This Row],[BIMS Score]],BIMS[],2,FALSE),"")</calculatedColumnFormula>
    </tableColumn>
    <tableColumn id="8" xr3:uid="{00000000-0010-0000-1500-000008000000}" name="What was resident doing prior to fall?" dataDxfId="420" totalsRowDxfId="419"/>
    <tableColumn id="15" xr3:uid="{00000000-0010-0000-1500-00000F000000}" name="Notes on resident activity prior to fall." dataDxfId="418" totalsRowDxfId="417"/>
    <tableColumn id="3" xr3:uid="{00000000-0010-0000-1500-000003000000}" name="RCA_x000a_Completed?" dataDxfId="416" totalsRowDxfId="415"/>
    <tableColumn id="31" xr3:uid="{00000000-0010-0000-1500-00001F000000}" name="Contributing Factors" dataDxfId="414" totalsRowDxfId="413"/>
    <tableColumn id="41" xr3:uid="{00000000-0010-0000-1500-000029000000}" name="Nurse" dataDxfId="412" totalsRowDxfId="411"/>
    <tableColumn id="42" xr3:uid="{00000000-0010-0000-1500-00002A000000}" name="Certified Nurse Assistance" dataDxfId="410" totalsRowDxfId="409"/>
    <tableColumn id="43" xr3:uid="{00000000-0010-0000-1500-00002B000000}" name="Witness Name" dataDxfId="408"/>
  </tableColumns>
  <tableStyleInfo name="Table Style 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16000000}" name="FRJAN" displayName="FRJAN" ref="A2:B36" totalsRowShown="0" headerRowDxfId="407" dataDxfId="406">
  <tableColumns count="2">
    <tableColumn id="1" xr3:uid="{00000000-0010-0000-1600-000001000000}" name="January" dataDxfId="405"/>
    <tableColumn id="2" xr3:uid="{00000000-0010-0000-1600-000002000000}" name="Census #" dataDxfId="404"/>
  </tableColumns>
  <tableStyleInfo name="Table Style 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7000000}" name="FRFEB" displayName="FRFEB" ref="D2:E33" totalsRowShown="0" headerRowDxfId="403" dataDxfId="402">
  <tableColumns count="2">
    <tableColumn id="1" xr3:uid="{00000000-0010-0000-1700-000001000000}" name="February" dataDxfId="401"/>
    <tableColumn id="2" xr3:uid="{00000000-0010-0000-1700-000002000000}" name="Census #" dataDxfId="400"/>
  </tableColumns>
  <tableStyleInfo name="Table Style 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8000000}" name="FRMAR" displayName="FRMAR" ref="G2:H36" totalsRowShown="0" headerRowDxfId="399" dataDxfId="398">
  <tableColumns count="2">
    <tableColumn id="1" xr3:uid="{00000000-0010-0000-1800-000001000000}" name="March" dataDxfId="397"/>
    <tableColumn id="2" xr3:uid="{00000000-0010-0000-1800-000002000000}" name="Census #" dataDxfId="396"/>
  </tableColumns>
  <tableStyleInfo name="Table Style 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9000000}" name="FRAPR" displayName="FRAPR" ref="J2:K35" totalsRowShown="0" headerRowDxfId="395" dataDxfId="394">
  <tableColumns count="2">
    <tableColumn id="1" xr3:uid="{00000000-0010-0000-1900-000001000000}" name="April" dataDxfId="393"/>
    <tableColumn id="2" xr3:uid="{00000000-0010-0000-1900-000002000000}" name="Census #" dataDxfId="392"/>
  </tableColumns>
  <tableStyleInfo name="Table Style 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A000000}" name="FRMAY" displayName="FRMAY" ref="M2:N36" totalsRowShown="0" headerRowDxfId="391" dataDxfId="390">
  <tableColumns count="2">
    <tableColumn id="1" xr3:uid="{00000000-0010-0000-1A00-000001000000}" name="May" dataDxfId="389"/>
    <tableColumn id="2" xr3:uid="{00000000-0010-0000-1A00-000002000000}" name="Census #" dataDxfId="388"/>
  </tableColumns>
  <tableStyleInfo name="Table Style 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B000000}" name="FRJUN" displayName="FRJUN" ref="P2:Q35" totalsRowShown="0" headerRowDxfId="387" dataDxfId="386">
  <tableColumns count="2">
    <tableColumn id="1" xr3:uid="{00000000-0010-0000-1B00-000001000000}" name="June" dataDxfId="385"/>
    <tableColumn id="2" xr3:uid="{00000000-0010-0000-1B00-000002000000}" name="Census #" dataDxfId="384"/>
  </tableColumns>
  <tableStyleInfo name="Table Style 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C000000}" name="FRJUL" displayName="FRJUL" ref="S2:T36" totalsRowShown="0" headerRowDxfId="383" dataDxfId="382">
  <tableColumns count="2">
    <tableColumn id="1" xr3:uid="{00000000-0010-0000-1C00-000001000000}" name="July" dataDxfId="381"/>
    <tableColumn id="2" xr3:uid="{00000000-0010-0000-1C00-000002000000}" name="Census #" dataDxfId="380"/>
  </tableColumns>
  <tableStyleInfo name="Table Style 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D000000}" name="FRAUG" displayName="FRAUG" ref="V2:W36" totalsRowShown="0" headerRowDxfId="379" dataDxfId="378">
  <tableColumns count="2">
    <tableColumn id="1" xr3:uid="{00000000-0010-0000-1D00-000001000000}" name="August" dataDxfId="377"/>
    <tableColumn id="2" xr3:uid="{00000000-0010-0000-1D00-000002000000}" name="Census #" dataDxfId="376"/>
  </tableColumns>
  <tableStyleInfo name="Table Style 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E000000}" name="FRSEPT" displayName="FRSEPT" ref="Y2:Z35" totalsRowShown="0" headerRowDxfId="375" dataDxfId="374">
  <tableColumns count="2">
    <tableColumn id="1" xr3:uid="{00000000-0010-0000-1E00-000001000000}" name="September" dataDxfId="373"/>
    <tableColumn id="2" xr3:uid="{00000000-0010-0000-1E00-000002000000}" name="Census #" dataDxfId="372"/>
  </tableColumns>
  <tableStyleInfo name="Table Style 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F000000}" name="FROCT" displayName="FROCT" ref="AB2:AC36" totalsRowShown="0" headerRowDxfId="371" dataDxfId="370">
  <tableColumns count="2">
    <tableColumn id="1" xr3:uid="{00000000-0010-0000-1F00-000001000000}" name="October" dataDxfId="369"/>
    <tableColumn id="2" xr3:uid="{00000000-0010-0000-1F00-000002000000}" name="Census #" dataDxfId="368"/>
  </tableColumns>
  <tableStyleInfo name="Table Style 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20000000}" name="FRNOV" displayName="FRNOV" ref="AE2:AF35" totalsRowShown="0" headerRowDxfId="367" dataDxfId="366">
  <tableColumns count="2">
    <tableColumn id="1" xr3:uid="{00000000-0010-0000-2000-000001000000}" name="November" dataDxfId="365"/>
    <tableColumn id="2" xr3:uid="{00000000-0010-0000-2000-000002000000}" name="Census #" dataDxfId="364"/>
  </tableColumns>
  <tableStyleInfo name="Table Style 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21000000}" name="FRDEC" displayName="FRDEC" ref="AH2:AI36" totalsRowShown="0" headerRowDxfId="363" dataDxfId="362">
  <tableColumns count="2">
    <tableColumn id="1" xr3:uid="{00000000-0010-0000-2100-000001000000}" name="December" dataDxfId="361"/>
    <tableColumn id="2" xr3:uid="{00000000-0010-0000-2100-000002000000}" name="Census #" dataDxfId="360"/>
  </tableColumns>
  <tableStyleInfo name="Table Style 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22000000}" name="NS_19" displayName="NS_19" ref="D11:D22" totalsRowShown="0" headerRowDxfId="359" dataDxfId="357" headerRowBorderDxfId="358" tableBorderDxfId="356" totalsRowBorderDxfId="355">
  <tableColumns count="1">
    <tableColumn id="1" xr3:uid="{00000000-0010-0000-2200-000001000000}" name="Nurses Stations" dataDxfId="354"/>
  </tableColumns>
  <tableStyleInfo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23000000}" name="Location18" displayName="Location18" ref="B11:B22" totalsRowShown="0" headerRowDxfId="353" dataDxfId="351" headerRowBorderDxfId="352" tableBorderDxfId="350" totalsRowBorderDxfId="349">
  <tableColumns count="1">
    <tableColumn id="1" xr3:uid="{00000000-0010-0000-2300-000001000000}" name="Location" dataDxfId="348"/>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5" Type="http://schemas.openxmlformats.org/officeDocument/2006/relationships/table" Target="../tables/table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8" Type="http://schemas.openxmlformats.org/officeDocument/2006/relationships/table" Target="../tables/table29.xml"/><Relationship Id="rId13" Type="http://schemas.openxmlformats.org/officeDocument/2006/relationships/table" Target="../tables/table34.xml"/><Relationship Id="rId3" Type="http://schemas.openxmlformats.org/officeDocument/2006/relationships/table" Target="../tables/table24.xml"/><Relationship Id="rId7" Type="http://schemas.openxmlformats.org/officeDocument/2006/relationships/table" Target="../tables/table28.xml"/><Relationship Id="rId12" Type="http://schemas.openxmlformats.org/officeDocument/2006/relationships/table" Target="../tables/table33.xml"/><Relationship Id="rId2" Type="http://schemas.openxmlformats.org/officeDocument/2006/relationships/table" Target="../tables/table23.xml"/><Relationship Id="rId1" Type="http://schemas.openxmlformats.org/officeDocument/2006/relationships/printerSettings" Target="../printerSettings/printerSettings18.bin"/><Relationship Id="rId6" Type="http://schemas.openxmlformats.org/officeDocument/2006/relationships/table" Target="../tables/table27.xml"/><Relationship Id="rId11" Type="http://schemas.openxmlformats.org/officeDocument/2006/relationships/table" Target="../tables/table32.xml"/><Relationship Id="rId5" Type="http://schemas.openxmlformats.org/officeDocument/2006/relationships/table" Target="../tables/table26.xml"/><Relationship Id="rId10" Type="http://schemas.openxmlformats.org/officeDocument/2006/relationships/table" Target="../tables/table31.xml"/><Relationship Id="rId4" Type="http://schemas.openxmlformats.org/officeDocument/2006/relationships/table" Target="../tables/table25.xml"/><Relationship Id="rId9" Type="http://schemas.openxmlformats.org/officeDocument/2006/relationships/table" Target="../tables/table30.xml"/></Relationships>
</file>

<file path=xl/worksheets/_rels/sheet20.xml.rels><?xml version="1.0" encoding="UTF-8" standalone="yes"?>
<Relationships xmlns="http://schemas.openxmlformats.org/package/2006/relationships"><Relationship Id="rId3" Type="http://schemas.openxmlformats.org/officeDocument/2006/relationships/table" Target="../tables/table35.xml"/><Relationship Id="rId2" Type="http://schemas.openxmlformats.org/officeDocument/2006/relationships/drawing" Target="../drawings/drawing17.xml"/><Relationship Id="rId1" Type="http://schemas.openxmlformats.org/officeDocument/2006/relationships/printerSettings" Target="../printerSettings/printerSettings19.bin"/><Relationship Id="rId4" Type="http://schemas.openxmlformats.org/officeDocument/2006/relationships/table" Target="../tables/table3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A51"/>
  <sheetViews>
    <sheetView showGridLines="0" tabSelected="1" zoomScaleNormal="100" workbookViewId="0">
      <selection activeCell="R30" sqref="R30:AA33"/>
    </sheetView>
  </sheetViews>
  <sheetFormatPr defaultRowHeight="15" x14ac:dyDescent="0.25"/>
  <cols>
    <col min="1" max="1" width="2.5703125" customWidth="1"/>
    <col min="5" max="5" width="10.7109375" customWidth="1"/>
    <col min="6" max="6" width="3" customWidth="1"/>
    <col min="27" max="27" width="18" customWidth="1"/>
    <col min="28" max="28" width="5.85546875" customWidth="1"/>
  </cols>
  <sheetData>
    <row r="1" spans="2:18" ht="6.95" customHeight="1" x14ac:dyDescent="0.25"/>
    <row r="2" spans="2:18" ht="19.7" customHeight="1" x14ac:dyDescent="0.25">
      <c r="B2" s="277" t="str">
        <f>IF('Data Validation'!$C$2=0,"Enter facility name in Data Validation tab",'Data Validation'!$C$2)</f>
        <v>Enter facility name in Data Validation tab</v>
      </c>
      <c r="C2" s="277"/>
      <c r="D2" s="277"/>
      <c r="E2" s="277"/>
      <c r="G2" s="8"/>
      <c r="H2" s="8"/>
      <c r="I2" s="8"/>
      <c r="J2" s="8"/>
      <c r="R2" s="9"/>
    </row>
    <row r="3" spans="2:18" ht="15.75" x14ac:dyDescent="0.25">
      <c r="B3" s="276" t="str">
        <f>"Falls Tracker "&amp;'Data Validation'!$C$4</f>
        <v xml:space="preserve">Falls Tracker </v>
      </c>
      <c r="C3" s="276"/>
      <c r="D3" s="276"/>
      <c r="E3" s="276"/>
      <c r="G3" s="8"/>
      <c r="H3" s="8"/>
      <c r="I3" s="8"/>
      <c r="J3" s="8"/>
    </row>
    <row r="4" spans="2:18" ht="15.75" x14ac:dyDescent="0.25">
      <c r="G4" s="8"/>
      <c r="H4" s="8"/>
      <c r="I4" s="8"/>
      <c r="J4" s="8"/>
      <c r="R4" s="9"/>
    </row>
    <row r="5" spans="2:18" x14ac:dyDescent="0.25">
      <c r="G5" s="8"/>
      <c r="H5" s="8"/>
      <c r="I5" s="8"/>
      <c r="J5" s="8"/>
    </row>
    <row r="6" spans="2:18" x14ac:dyDescent="0.25">
      <c r="B6" s="275" t="s">
        <v>146</v>
      </c>
      <c r="C6" s="275"/>
      <c r="D6" s="275"/>
      <c r="E6" s="275"/>
      <c r="G6" s="8"/>
      <c r="H6" s="8"/>
      <c r="I6" s="8"/>
      <c r="J6" s="8"/>
    </row>
    <row r="7" spans="2:18" x14ac:dyDescent="0.25">
      <c r="B7" s="275"/>
      <c r="C7" s="275"/>
      <c r="D7" s="275"/>
      <c r="E7" s="275"/>
      <c r="G7" s="8"/>
      <c r="H7" s="8"/>
      <c r="I7" s="8"/>
      <c r="J7" s="8"/>
    </row>
    <row r="8" spans="2:18" x14ac:dyDescent="0.25">
      <c r="B8" s="275"/>
      <c r="C8" s="275"/>
      <c r="D8" s="275"/>
      <c r="E8" s="275"/>
      <c r="G8" s="8"/>
      <c r="H8" s="8"/>
      <c r="I8" s="8"/>
      <c r="J8" s="8"/>
    </row>
    <row r="9" spans="2:18" x14ac:dyDescent="0.25">
      <c r="B9" s="275"/>
      <c r="C9" s="275"/>
      <c r="D9" s="275"/>
      <c r="E9" s="275"/>
      <c r="G9" s="8"/>
      <c r="H9" s="8"/>
      <c r="I9" s="8"/>
      <c r="J9" s="8"/>
    </row>
    <row r="10" spans="2:18" x14ac:dyDescent="0.25">
      <c r="B10" s="275"/>
      <c r="C10" s="275"/>
      <c r="D10" s="275"/>
      <c r="E10" s="275"/>
      <c r="G10" s="8"/>
      <c r="H10" s="8"/>
      <c r="I10" s="8"/>
      <c r="J10" s="8"/>
    </row>
    <row r="11" spans="2:18" x14ac:dyDescent="0.25">
      <c r="B11" s="275"/>
      <c r="C11" s="275"/>
      <c r="D11" s="275"/>
      <c r="E11" s="275"/>
      <c r="G11" s="8"/>
      <c r="H11" s="8"/>
      <c r="I11" s="8"/>
      <c r="J11" s="8"/>
    </row>
    <row r="12" spans="2:18" x14ac:dyDescent="0.25">
      <c r="B12" s="275"/>
      <c r="C12" s="275"/>
      <c r="D12" s="275"/>
      <c r="E12" s="275"/>
      <c r="G12" s="8"/>
      <c r="H12" s="8"/>
      <c r="I12" s="8"/>
      <c r="J12" s="8"/>
    </row>
    <row r="13" spans="2:18" x14ac:dyDescent="0.25">
      <c r="G13" s="8"/>
      <c r="H13" s="8"/>
      <c r="I13" s="8"/>
      <c r="J13" s="8"/>
    </row>
    <row r="14" spans="2:18" x14ac:dyDescent="0.25">
      <c r="G14" s="8"/>
      <c r="H14" s="8"/>
      <c r="I14" s="8"/>
      <c r="J14" s="8"/>
    </row>
    <row r="15" spans="2:18" x14ac:dyDescent="0.25">
      <c r="G15" s="8"/>
      <c r="H15" s="8"/>
      <c r="I15" s="8"/>
      <c r="J15" s="8"/>
    </row>
    <row r="16" spans="2:18" ht="15.75" x14ac:dyDescent="0.25">
      <c r="G16" s="8"/>
      <c r="H16" s="8"/>
      <c r="I16" s="8"/>
      <c r="J16" s="8"/>
      <c r="R16" s="9"/>
    </row>
    <row r="17" spans="7:27" x14ac:dyDescent="0.25">
      <c r="G17" s="8"/>
      <c r="H17" s="8"/>
      <c r="I17" s="8"/>
      <c r="J17" s="8"/>
    </row>
    <row r="18" spans="7:27" x14ac:dyDescent="0.25">
      <c r="G18" s="8"/>
      <c r="H18" s="8"/>
      <c r="I18" s="8"/>
      <c r="J18" s="8"/>
    </row>
    <row r="19" spans="7:27" x14ac:dyDescent="0.25">
      <c r="G19" s="8"/>
      <c r="H19" s="8"/>
      <c r="I19" s="8"/>
      <c r="J19" s="8"/>
    </row>
    <row r="20" spans="7:27" x14ac:dyDescent="0.25">
      <c r="G20" s="8"/>
      <c r="H20" s="8"/>
      <c r="I20" s="8"/>
      <c r="J20" s="8"/>
    </row>
    <row r="21" spans="7:27" x14ac:dyDescent="0.25">
      <c r="G21" s="8"/>
      <c r="H21" s="8"/>
      <c r="I21" s="8"/>
      <c r="J21" s="8"/>
    </row>
    <row r="22" spans="7:27" x14ac:dyDescent="0.25">
      <c r="G22" s="8"/>
      <c r="H22" s="8"/>
      <c r="I22" s="8"/>
      <c r="J22" s="8"/>
    </row>
    <row r="23" spans="7:27" x14ac:dyDescent="0.25">
      <c r="G23" s="8"/>
      <c r="H23" s="8"/>
      <c r="I23" s="8"/>
      <c r="J23" s="8"/>
    </row>
    <row r="24" spans="7:27" x14ac:dyDescent="0.25">
      <c r="G24" s="8"/>
      <c r="H24" s="8"/>
      <c r="I24" s="8"/>
      <c r="J24" s="8"/>
    </row>
    <row r="25" spans="7:27" x14ac:dyDescent="0.25">
      <c r="G25" s="8"/>
      <c r="H25" s="8"/>
      <c r="I25" s="8"/>
      <c r="J25" s="8"/>
    </row>
    <row r="26" spans="7:27" x14ac:dyDescent="0.25">
      <c r="G26" s="8"/>
      <c r="H26" s="8"/>
      <c r="I26" s="8"/>
      <c r="J26" s="8"/>
    </row>
    <row r="27" spans="7:27" x14ac:dyDescent="0.25">
      <c r="G27" s="8"/>
      <c r="H27" s="8"/>
      <c r="I27" s="8"/>
      <c r="J27" s="8"/>
    </row>
    <row r="29" spans="7:27" ht="18" customHeight="1" x14ac:dyDescent="0.25">
      <c r="R29" s="161" t="s">
        <v>147</v>
      </c>
    </row>
    <row r="30" spans="7:27" x14ac:dyDescent="0.25">
      <c r="R30" s="278" t="s">
        <v>180</v>
      </c>
      <c r="S30" s="278"/>
      <c r="T30" s="278"/>
      <c r="U30" s="278"/>
      <c r="V30" s="278"/>
      <c r="W30" s="278"/>
      <c r="X30" s="278"/>
      <c r="Y30" s="278"/>
      <c r="Z30" s="278"/>
      <c r="AA30" s="278"/>
    </row>
    <row r="31" spans="7:27" x14ac:dyDescent="0.25">
      <c r="R31" s="278"/>
      <c r="S31" s="278"/>
      <c r="T31" s="278"/>
      <c r="U31" s="278"/>
      <c r="V31" s="278"/>
      <c r="W31" s="278"/>
      <c r="X31" s="278"/>
      <c r="Y31" s="278"/>
      <c r="Z31" s="278"/>
      <c r="AA31" s="278"/>
    </row>
    <row r="32" spans="7:27" x14ac:dyDescent="0.25">
      <c r="R32" s="278"/>
      <c r="S32" s="278"/>
      <c r="T32" s="278"/>
      <c r="U32" s="278"/>
      <c r="V32" s="278"/>
      <c r="W32" s="278"/>
      <c r="X32" s="278"/>
      <c r="Y32" s="278"/>
      <c r="Z32" s="278"/>
      <c r="AA32" s="278"/>
    </row>
    <row r="33" spans="18:27" ht="46.5" customHeight="1" x14ac:dyDescent="0.25">
      <c r="R33" s="278"/>
      <c r="S33" s="278"/>
      <c r="T33" s="278"/>
      <c r="U33" s="278"/>
      <c r="V33" s="278"/>
      <c r="W33" s="278"/>
      <c r="X33" s="278"/>
      <c r="Y33" s="278"/>
      <c r="Z33" s="278"/>
      <c r="AA33" s="278"/>
    </row>
    <row r="48" spans="18:27" ht="15" customHeight="1" x14ac:dyDescent="0.25"/>
    <row r="49" spans="7:7" ht="19.7" customHeight="1" x14ac:dyDescent="0.25"/>
    <row r="50" spans="7:7" ht="12" customHeight="1" x14ac:dyDescent="0.25"/>
    <row r="51" spans="7:7" ht="13.5" customHeight="1" x14ac:dyDescent="0.25">
      <c r="G51" s="161" t="s">
        <v>172</v>
      </c>
    </row>
  </sheetData>
  <mergeCells count="4">
    <mergeCell ref="B6:E12"/>
    <mergeCell ref="B3:E3"/>
    <mergeCell ref="B2:E2"/>
    <mergeCell ref="R30:AA33"/>
  </mergeCells>
  <conditionalFormatting sqref="B2:E2">
    <cfRule type="cellIs" dxfId="347" priority="1" operator="equal">
      <formula>"Enter facility name in Data Validation tab"</formula>
    </cfRule>
  </conditionalFormatting>
  <pageMargins left="0.7" right="0.7" top="0.75" bottom="0.75" header="0.3" footer="0.3"/>
  <pageSetup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C32"/>
  <sheetViews>
    <sheetView showGridLines="0" zoomScaleNormal="100" workbookViewId="0">
      <selection activeCell="AC6" sqref="AC6"/>
    </sheetView>
  </sheetViews>
  <sheetFormatPr defaultColWidth="8.85546875" defaultRowHeight="15" x14ac:dyDescent="0.25"/>
  <cols>
    <col min="1" max="1" width="2.5703125" customWidth="1"/>
    <col min="2" max="2" width="13" customWidth="1"/>
    <col min="3" max="3" width="42.7109375" customWidth="1"/>
    <col min="4" max="4" width="2" customWidth="1"/>
    <col min="5" max="5" width="13.42578125" style="10" customWidth="1"/>
    <col min="6" max="6" width="2.28515625" customWidth="1"/>
    <col min="7" max="7" width="18.28515625" style="10" customWidth="1"/>
    <col min="8" max="8" width="2.28515625" style="10" customWidth="1"/>
    <col min="9" max="9" width="49" style="10" customWidth="1"/>
    <col min="10" max="10" width="2.28515625" style="10" customWidth="1"/>
    <col min="11" max="11" width="38.5703125" style="10" customWidth="1"/>
    <col min="12" max="12" width="2.140625" style="10" customWidth="1"/>
    <col min="13" max="13" width="11.7109375" style="10" bestFit="1" customWidth="1"/>
    <col min="14" max="14" width="9.140625" style="10" customWidth="1"/>
    <col min="15" max="15" width="2.7109375" style="10" customWidth="1"/>
    <col min="16" max="16" width="9.5703125" style="10" hidden="1" customWidth="1"/>
    <col min="17" max="17" width="2.28515625" style="10" hidden="1" customWidth="1"/>
    <col min="18" max="18" width="12.28515625" hidden="1" customWidth="1"/>
    <col min="19" max="19" width="14.28515625" hidden="1" customWidth="1"/>
    <col min="20" max="20" width="2.140625" hidden="1" customWidth="1"/>
    <col min="21" max="21" width="10.28515625" hidden="1" customWidth="1"/>
    <col min="22" max="22" width="2.28515625" hidden="1" customWidth="1"/>
    <col min="23" max="23" width="14" style="10" hidden="1" customWidth="1"/>
    <col min="24" max="24" width="2.28515625" hidden="1" customWidth="1"/>
    <col min="25" max="25" width="10" hidden="1" customWidth="1"/>
    <col min="26" max="26" width="1.5703125" hidden="1" customWidth="1"/>
    <col min="27" max="27" width="16.42578125" hidden="1" customWidth="1"/>
    <col min="28" max="28" width="1.7109375" customWidth="1"/>
    <col min="29" max="30" width="8.85546875" customWidth="1"/>
    <col min="31" max="31" width="3" customWidth="1"/>
  </cols>
  <sheetData>
    <row r="1" spans="2:29" ht="25.7" customHeight="1" x14ac:dyDescent="0.25">
      <c r="E1" s="170" t="s">
        <v>109</v>
      </c>
      <c r="F1" s="13"/>
      <c r="G1" s="170" t="s">
        <v>109</v>
      </c>
      <c r="I1" s="170" t="s">
        <v>109</v>
      </c>
      <c r="K1" s="170" t="s">
        <v>108</v>
      </c>
      <c r="M1" s="280" t="s">
        <v>65</v>
      </c>
      <c r="N1" s="281"/>
      <c r="O1" s="171"/>
      <c r="P1" s="171"/>
      <c r="Q1" s="171"/>
      <c r="R1" s="279" t="s">
        <v>27</v>
      </c>
      <c r="S1" s="279"/>
      <c r="U1" s="170" t="s">
        <v>40</v>
      </c>
      <c r="V1" s="170"/>
      <c r="W1" s="170" t="s">
        <v>24</v>
      </c>
      <c r="Y1" s="170" t="s">
        <v>82</v>
      </c>
      <c r="AA1" s="170" t="s">
        <v>100</v>
      </c>
    </row>
    <row r="2" spans="2:29" ht="28.15" customHeight="1" x14ac:dyDescent="0.25">
      <c r="B2" s="172" t="s">
        <v>63</v>
      </c>
      <c r="C2" s="272"/>
      <c r="E2" s="173" t="s">
        <v>1</v>
      </c>
      <c r="F2" s="174"/>
      <c r="G2" s="175" t="s">
        <v>64</v>
      </c>
      <c r="H2" s="11"/>
      <c r="I2" s="169" t="s">
        <v>148</v>
      </c>
      <c r="J2" s="156"/>
      <c r="K2" s="169" t="s">
        <v>92</v>
      </c>
      <c r="L2" s="11"/>
      <c r="M2" s="176" t="s">
        <v>33</v>
      </c>
      <c r="N2" s="177" t="s">
        <v>34</v>
      </c>
      <c r="O2" s="11"/>
      <c r="P2" s="178" t="s">
        <v>107</v>
      </c>
      <c r="Q2" s="11"/>
      <c r="R2" s="179" t="s">
        <v>26</v>
      </c>
      <c r="S2" s="180" t="s">
        <v>30</v>
      </c>
      <c r="U2" s="181" t="s">
        <v>40</v>
      </c>
      <c r="W2" s="181" t="s">
        <v>24</v>
      </c>
      <c r="Y2" s="181" t="s">
        <v>82</v>
      </c>
      <c r="AA2" s="181" t="s">
        <v>100</v>
      </c>
    </row>
    <row r="3" spans="2:29" x14ac:dyDescent="0.25">
      <c r="E3" s="270" t="s">
        <v>39</v>
      </c>
      <c r="G3" s="270">
        <v>1</v>
      </c>
      <c r="I3" s="270" t="s">
        <v>72</v>
      </c>
      <c r="K3" s="270" t="s">
        <v>149</v>
      </c>
      <c r="M3" s="182" t="s">
        <v>115</v>
      </c>
      <c r="N3" s="268" t="s">
        <v>181</v>
      </c>
      <c r="O3" s="183"/>
      <c r="P3" s="184" t="str" cm="1">
        <f t="array" ref="P3:P6">_xlfn.UNIQUE(_xlfn._xlws.FILTER(Shifts[Shift],1,1))</f>
        <v>11-7</v>
      </c>
      <c r="Q3" s="183"/>
      <c r="R3" s="182">
        <v>1</v>
      </c>
      <c r="S3" s="185" t="s">
        <v>142</v>
      </c>
      <c r="U3" s="186" t="s">
        <v>41</v>
      </c>
      <c r="W3" s="186" t="s">
        <v>25</v>
      </c>
      <c r="Y3" s="186" t="s">
        <v>41</v>
      </c>
      <c r="AA3" s="186" t="s">
        <v>79</v>
      </c>
    </row>
    <row r="4" spans="2:29" ht="15" customHeight="1" x14ac:dyDescent="0.25">
      <c r="B4" s="172" t="s">
        <v>28</v>
      </c>
      <c r="C4" s="272"/>
      <c r="E4" s="270" t="s">
        <v>17</v>
      </c>
      <c r="G4" s="270">
        <v>2</v>
      </c>
      <c r="I4" s="270" t="s">
        <v>71</v>
      </c>
      <c r="K4" s="270" t="s">
        <v>150</v>
      </c>
      <c r="M4" s="182" t="s">
        <v>116</v>
      </c>
      <c r="N4" s="268" t="s">
        <v>139</v>
      </c>
      <c r="O4" s="183"/>
      <c r="P4" s="184" t="str">
        <v>11–7</v>
      </c>
      <c r="Q4" s="183"/>
      <c r="R4" s="182">
        <v>2</v>
      </c>
      <c r="S4" s="185" t="s">
        <v>142</v>
      </c>
      <c r="U4" s="187" t="s">
        <v>42</v>
      </c>
      <c r="W4" s="186" t="s">
        <v>88</v>
      </c>
      <c r="Y4" s="187" t="s">
        <v>42</v>
      </c>
      <c r="AA4" s="186" t="s">
        <v>101</v>
      </c>
    </row>
    <row r="5" spans="2:29" x14ac:dyDescent="0.25">
      <c r="E5" s="270" t="s">
        <v>18</v>
      </c>
      <c r="G5" s="270">
        <v>3</v>
      </c>
      <c r="I5" s="270" t="s">
        <v>73</v>
      </c>
      <c r="K5" s="270" t="s">
        <v>151</v>
      </c>
      <c r="M5" s="182" t="s">
        <v>117</v>
      </c>
      <c r="N5" s="268" t="s">
        <v>139</v>
      </c>
      <c r="O5" s="183"/>
      <c r="P5" s="184" t="str">
        <v>7–3</v>
      </c>
      <c r="Q5" s="183"/>
      <c r="R5" s="182">
        <v>3</v>
      </c>
      <c r="S5" s="185" t="s">
        <v>142</v>
      </c>
      <c r="W5" s="187" t="s">
        <v>77</v>
      </c>
      <c r="AA5" s="187" t="s">
        <v>102</v>
      </c>
    </row>
    <row r="6" spans="2:29" ht="15" customHeight="1" x14ac:dyDescent="0.25">
      <c r="E6" s="270" t="s">
        <v>19</v>
      </c>
      <c r="G6" s="270">
        <v>4</v>
      </c>
      <c r="I6" s="270" t="s">
        <v>74</v>
      </c>
      <c r="K6" s="270" t="s">
        <v>152</v>
      </c>
      <c r="M6" s="182" t="s">
        <v>118</v>
      </c>
      <c r="N6" s="268" t="s">
        <v>139</v>
      </c>
      <c r="O6" s="183"/>
      <c r="P6" s="184" t="str">
        <v>3–11</v>
      </c>
      <c r="Q6" s="183"/>
      <c r="R6" s="182">
        <v>4</v>
      </c>
      <c r="S6" s="185" t="s">
        <v>142</v>
      </c>
    </row>
    <row r="7" spans="2:29" ht="15" customHeight="1" x14ac:dyDescent="0.25">
      <c r="E7" s="270" t="s">
        <v>91</v>
      </c>
      <c r="G7" s="270">
        <v>5</v>
      </c>
      <c r="I7" s="270" t="s">
        <v>69</v>
      </c>
      <c r="K7" s="270" t="s">
        <v>153</v>
      </c>
      <c r="M7" s="182" t="s">
        <v>119</v>
      </c>
      <c r="N7" s="268" t="s">
        <v>139</v>
      </c>
      <c r="O7" s="183"/>
      <c r="P7" s="184"/>
      <c r="Q7" s="183"/>
      <c r="R7" s="182">
        <v>5</v>
      </c>
      <c r="S7" s="185" t="s">
        <v>142</v>
      </c>
    </row>
    <row r="8" spans="2:29" x14ac:dyDescent="0.25">
      <c r="E8" s="270" t="s">
        <v>97</v>
      </c>
      <c r="G8" s="270"/>
      <c r="I8" s="270" t="s">
        <v>75</v>
      </c>
      <c r="K8" s="270" t="s">
        <v>154</v>
      </c>
      <c r="M8" s="182" t="s">
        <v>120</v>
      </c>
      <c r="N8" s="268" t="s">
        <v>139</v>
      </c>
      <c r="O8" s="183"/>
      <c r="P8" s="184"/>
      <c r="Q8" s="183"/>
      <c r="R8" s="182">
        <v>6</v>
      </c>
      <c r="S8" s="185" t="s">
        <v>142</v>
      </c>
    </row>
    <row r="9" spans="2:29" x14ac:dyDescent="0.25">
      <c r="E9" s="270" t="s">
        <v>98</v>
      </c>
      <c r="G9" s="270"/>
      <c r="I9" s="270" t="s">
        <v>66</v>
      </c>
      <c r="K9" s="270" t="s">
        <v>155</v>
      </c>
      <c r="M9" s="182" t="s">
        <v>121</v>
      </c>
      <c r="N9" s="268" t="s">
        <v>139</v>
      </c>
      <c r="O9" s="183"/>
      <c r="P9" s="184"/>
      <c r="Q9" s="183"/>
      <c r="R9" s="182">
        <v>7</v>
      </c>
      <c r="S9" s="185" t="s">
        <v>142</v>
      </c>
    </row>
    <row r="10" spans="2:29" ht="15.6" customHeight="1" x14ac:dyDescent="0.25">
      <c r="E10" s="270"/>
      <c r="G10" s="270"/>
      <c r="I10" s="270" t="s">
        <v>67</v>
      </c>
      <c r="K10" s="270" t="s">
        <v>156</v>
      </c>
      <c r="M10" s="182" t="s">
        <v>122</v>
      </c>
      <c r="N10" s="268" t="s">
        <v>140</v>
      </c>
      <c r="O10" s="183"/>
      <c r="P10" s="183"/>
      <c r="Q10" s="183"/>
      <c r="R10" s="182">
        <v>8</v>
      </c>
      <c r="S10" s="185" t="s">
        <v>143</v>
      </c>
    </row>
    <row r="11" spans="2:29" x14ac:dyDescent="0.25">
      <c r="E11" s="270"/>
      <c r="G11" s="270"/>
      <c r="I11" s="270" t="s">
        <v>68</v>
      </c>
      <c r="K11" s="270" t="s">
        <v>99</v>
      </c>
      <c r="M11" s="182" t="s">
        <v>123</v>
      </c>
      <c r="N11" s="268" t="s">
        <v>140</v>
      </c>
      <c r="R11" s="182">
        <v>9</v>
      </c>
      <c r="S11" s="185" t="s">
        <v>143</v>
      </c>
      <c r="AC11" s="11"/>
    </row>
    <row r="12" spans="2:29" x14ac:dyDescent="0.25">
      <c r="E12" s="270"/>
      <c r="G12" s="270"/>
      <c r="I12" s="270" t="s">
        <v>70</v>
      </c>
      <c r="K12" s="270" t="s">
        <v>157</v>
      </c>
      <c r="M12" s="182" t="s">
        <v>124</v>
      </c>
      <c r="N12" s="268" t="s">
        <v>140</v>
      </c>
      <c r="R12" s="182">
        <v>10</v>
      </c>
      <c r="S12" s="185" t="s">
        <v>143</v>
      </c>
      <c r="AC12" s="11"/>
    </row>
    <row r="13" spans="2:29" x14ac:dyDescent="0.25">
      <c r="E13" s="271"/>
      <c r="G13" s="271"/>
      <c r="I13" s="270" t="s">
        <v>76</v>
      </c>
      <c r="K13" s="270" t="s">
        <v>93</v>
      </c>
      <c r="M13" s="182" t="s">
        <v>125</v>
      </c>
      <c r="N13" s="268" t="s">
        <v>140</v>
      </c>
      <c r="R13" s="182">
        <v>11</v>
      </c>
      <c r="S13" s="185" t="s">
        <v>143</v>
      </c>
      <c r="AC13" s="11"/>
    </row>
    <row r="14" spans="2:29" x14ac:dyDescent="0.25">
      <c r="E14" s="188"/>
      <c r="G14" s="271"/>
      <c r="I14" s="270"/>
      <c r="K14" s="270"/>
      <c r="M14" s="182" t="s">
        <v>126</v>
      </c>
      <c r="N14" s="268" t="s">
        <v>140</v>
      </c>
      <c r="R14" s="182">
        <v>12</v>
      </c>
      <c r="S14" s="185" t="s">
        <v>143</v>
      </c>
      <c r="AC14" s="11"/>
    </row>
    <row r="15" spans="2:29" x14ac:dyDescent="0.25">
      <c r="E15" s="188"/>
      <c r="G15" s="273"/>
      <c r="I15" s="270"/>
      <c r="K15" s="270"/>
      <c r="M15" s="182" t="s">
        <v>127</v>
      </c>
      <c r="N15" s="268" t="s">
        <v>140</v>
      </c>
      <c r="R15" s="182">
        <v>13</v>
      </c>
      <c r="S15" s="185" t="s">
        <v>144</v>
      </c>
      <c r="AC15" s="11"/>
    </row>
    <row r="16" spans="2:29" x14ac:dyDescent="0.25">
      <c r="E16"/>
      <c r="G16"/>
      <c r="I16" s="270"/>
      <c r="K16" s="270"/>
      <c r="M16" s="182" t="s">
        <v>128</v>
      </c>
      <c r="N16" s="268" t="s">
        <v>140</v>
      </c>
      <c r="R16" s="182">
        <v>14</v>
      </c>
      <c r="S16" s="185" t="s">
        <v>144</v>
      </c>
      <c r="AC16" s="11"/>
    </row>
    <row r="17" spans="3:29" s="10" customFormat="1" x14ac:dyDescent="0.25">
      <c r="E17" s="188"/>
      <c r="F17"/>
      <c r="G17"/>
      <c r="I17" s="270"/>
      <c r="K17" s="270"/>
      <c r="M17" s="182" t="s">
        <v>129</v>
      </c>
      <c r="N17" s="268" t="s">
        <v>140</v>
      </c>
      <c r="R17" s="189">
        <v>15</v>
      </c>
      <c r="S17" s="190" t="s">
        <v>144</v>
      </c>
      <c r="T17"/>
      <c r="AC17" s="11"/>
    </row>
    <row r="18" spans="3:29" s="10" customFormat="1" x14ac:dyDescent="0.25">
      <c r="F18"/>
      <c r="G18"/>
      <c r="I18" s="270"/>
      <c r="K18" s="270"/>
      <c r="M18" s="182" t="s">
        <v>130</v>
      </c>
      <c r="N18" s="268" t="s">
        <v>140</v>
      </c>
      <c r="R18" s="191"/>
      <c r="S18"/>
      <c r="T18"/>
      <c r="AC18" s="11"/>
    </row>
    <row r="19" spans="3:29" s="10" customFormat="1" x14ac:dyDescent="0.25">
      <c r="F19"/>
      <c r="G19"/>
      <c r="I19" s="270"/>
      <c r="K19" s="270"/>
      <c r="M19" s="182" t="s">
        <v>131</v>
      </c>
      <c r="N19" s="268" t="s">
        <v>141</v>
      </c>
      <c r="R19"/>
      <c r="S19"/>
      <c r="T19"/>
      <c r="AC19" s="11"/>
    </row>
    <row r="20" spans="3:29" s="10" customFormat="1" x14ac:dyDescent="0.25">
      <c r="F20"/>
      <c r="G20"/>
      <c r="I20" s="270"/>
      <c r="K20" s="270"/>
      <c r="M20" s="182" t="s">
        <v>132</v>
      </c>
      <c r="N20" s="268" t="s">
        <v>141</v>
      </c>
      <c r="R20"/>
      <c r="S20"/>
      <c r="T20"/>
      <c r="AC20" s="11"/>
    </row>
    <row r="21" spans="3:29" s="10" customFormat="1" x14ac:dyDescent="0.25">
      <c r="F21"/>
      <c r="G21"/>
      <c r="I21" s="270"/>
      <c r="K21" s="270"/>
      <c r="M21" s="182" t="s">
        <v>133</v>
      </c>
      <c r="N21" s="268" t="s">
        <v>141</v>
      </c>
      <c r="R21"/>
      <c r="S21"/>
      <c r="T21"/>
      <c r="AC21" s="11"/>
    </row>
    <row r="22" spans="3:29" s="10" customFormat="1" x14ac:dyDescent="0.25">
      <c r="F22"/>
      <c r="G22"/>
      <c r="I22" s="270"/>
      <c r="K22" s="270"/>
      <c r="M22" s="182" t="s">
        <v>134</v>
      </c>
      <c r="N22" s="268" t="s">
        <v>141</v>
      </c>
      <c r="R22"/>
      <c r="S22"/>
      <c r="T22"/>
      <c r="AC22" s="11"/>
    </row>
    <row r="23" spans="3:29" s="10" customFormat="1" x14ac:dyDescent="0.25">
      <c r="C23" s="10" t="s">
        <v>179</v>
      </c>
      <c r="F23"/>
      <c r="G23"/>
      <c r="I23" s="270"/>
      <c r="K23" s="270"/>
      <c r="M23" s="182" t="s">
        <v>135</v>
      </c>
      <c r="N23" s="268" t="s">
        <v>141</v>
      </c>
      <c r="R23"/>
      <c r="S23"/>
      <c r="T23"/>
      <c r="AC23" s="11"/>
    </row>
    <row r="24" spans="3:29" s="10" customFormat="1" x14ac:dyDescent="0.25">
      <c r="F24"/>
      <c r="G24"/>
      <c r="I24" s="270"/>
      <c r="K24" s="270"/>
      <c r="M24" s="182" t="s">
        <v>136</v>
      </c>
      <c r="N24" s="268" t="s">
        <v>141</v>
      </c>
      <c r="R24"/>
      <c r="S24"/>
      <c r="T24"/>
      <c r="AC24" s="11"/>
    </row>
    <row r="25" spans="3:29" s="10" customFormat="1" x14ac:dyDescent="0.25">
      <c r="F25"/>
      <c r="G25"/>
      <c r="I25" s="270"/>
      <c r="K25" s="270"/>
      <c r="M25" s="182" t="s">
        <v>137</v>
      </c>
      <c r="N25" s="268" t="s">
        <v>141</v>
      </c>
      <c r="R25"/>
      <c r="S25"/>
      <c r="T25"/>
      <c r="AC25" s="11"/>
    </row>
    <row r="26" spans="3:29" s="10" customFormat="1" x14ac:dyDescent="0.25">
      <c r="F26"/>
      <c r="G26"/>
      <c r="I26" s="271"/>
      <c r="K26" s="271"/>
      <c r="M26" s="189" t="s">
        <v>138</v>
      </c>
      <c r="N26" s="269" t="s">
        <v>141</v>
      </c>
      <c r="R26"/>
      <c r="S26"/>
      <c r="T26"/>
      <c r="AC26" s="11"/>
    </row>
    <row r="27" spans="3:29" x14ac:dyDescent="0.25">
      <c r="G27"/>
    </row>
    <row r="28" spans="3:29" x14ac:dyDescent="0.25">
      <c r="G28"/>
    </row>
    <row r="29" spans="3:29" x14ac:dyDescent="0.25">
      <c r="G29"/>
    </row>
    <row r="30" spans="3:29" x14ac:dyDescent="0.25">
      <c r="G30"/>
    </row>
    <row r="31" spans="3:29" x14ac:dyDescent="0.25">
      <c r="G31"/>
    </row>
    <row r="32" spans="3:29" x14ac:dyDescent="0.25">
      <c r="G32"/>
    </row>
  </sheetData>
  <sheetProtection algorithmName="SHA-512" hashValue="yJ+rgRPdhrEG6TLSJ28C3EBgQYa4vRZgLSIasWY2Yt8zdZit3e4nGrLS4egR5s5XX9s19HVriUlwIueXBkgCsg==" saltValue="8keae9YqOLlL+aCXQiuWgA==" spinCount="100000" sheet="1" formatCells="0" formatColumns="0" formatRows="0" sort="0" autoFilter="0"/>
  <mergeCells count="2">
    <mergeCell ref="R1:S1"/>
    <mergeCell ref="M1:N1"/>
  </mergeCells>
  <pageMargins left="0.7" right="0.7" top="0.75" bottom="0.75" header="0.3" footer="0.3"/>
  <tableParts count="10">
    <tablePart r:id="rId1"/>
    <tablePart r:id="rId2"/>
    <tablePart r:id="rId3"/>
    <tablePart r:id="rId4"/>
    <tablePart r:id="rId5"/>
    <tablePart r:id="rId6"/>
    <tablePart r:id="rId7"/>
    <tablePart r:id="rId8"/>
    <tablePart r:id="rId9"/>
    <tablePart r:id="rId10"/>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fitToPage="1"/>
  </sheetPr>
  <dimension ref="A1:V197"/>
  <sheetViews>
    <sheetView showGridLines="0" zoomScaleNormal="100" zoomScaleSheetLayoutView="98" workbookViewId="0">
      <selection activeCell="B4" sqref="B4"/>
    </sheetView>
  </sheetViews>
  <sheetFormatPr defaultRowHeight="15" x14ac:dyDescent="0.25"/>
  <cols>
    <col min="1" max="1" width="1.28515625" customWidth="1"/>
    <col min="2" max="2" width="5.85546875" customWidth="1"/>
    <col min="3" max="3" width="17.140625" customWidth="1"/>
    <col min="4" max="4" width="9.28515625" customWidth="1"/>
    <col min="5" max="5" width="11" customWidth="1"/>
    <col min="6" max="6" width="8" customWidth="1"/>
    <col min="7" max="7" width="12.140625" customWidth="1"/>
    <col min="8" max="8" width="10.5703125" customWidth="1"/>
    <col min="9" max="9" width="7.7109375" customWidth="1"/>
    <col min="10" max="10" width="6" customWidth="1"/>
    <col min="11" max="11" width="4.7109375" customWidth="1"/>
    <col min="12" max="12" width="9.28515625" customWidth="1"/>
    <col min="13" max="14" width="4.7109375" customWidth="1"/>
    <col min="15" max="15" width="12.140625" customWidth="1"/>
    <col min="16" max="17" width="23.7109375" customWidth="1"/>
    <col min="18" max="18" width="8.7109375" customWidth="1"/>
    <col min="19" max="19" width="23.7109375" customWidth="1"/>
    <col min="20" max="22" width="11.7109375" customWidth="1"/>
    <col min="23" max="24" width="10.7109375" customWidth="1"/>
  </cols>
  <sheetData>
    <row r="1" spans="1:22" ht="18.75" customHeight="1" x14ac:dyDescent="0.25">
      <c r="B1" s="13" t="s">
        <v>28</v>
      </c>
      <c r="C1" s="14">
        <f>'Data Validation'!$C$4</f>
        <v>0</v>
      </c>
      <c r="D1" s="15" t="str">
        <f>IF(OR($C$1="",$C$1=0),"Enter Year in Data Validation tab",'Data Validation'!$C$2&amp;" January ")</f>
        <v>Enter Year in Data Validation tab</v>
      </c>
      <c r="E1" s="16"/>
      <c r="F1" s="16"/>
      <c r="G1" s="16"/>
      <c r="H1" s="16"/>
      <c r="I1" s="16"/>
      <c r="J1" s="16"/>
      <c r="K1" s="16"/>
      <c r="L1" s="16"/>
      <c r="M1" s="16"/>
      <c r="N1" s="4"/>
      <c r="O1" s="16"/>
      <c r="P1" s="16"/>
      <c r="Q1" s="16"/>
      <c r="R1" s="17" t="s">
        <v>59</v>
      </c>
      <c r="S1" s="14" t="str">
        <f>IF(COUNTIFS(Jan[Resident Name],"&lt;&gt;")=0,"No Data",COUNTIFS(Jan[Resident Name],"&lt;&gt;"))</f>
        <v>No Data</v>
      </c>
      <c r="T1" s="17" t="s">
        <v>62</v>
      </c>
      <c r="U1" s="14" t="str">
        <f>'Fall Rate and Census'!$B$36</f>
        <v>No Data</v>
      </c>
    </row>
    <row r="2" spans="1:22" ht="8.1" customHeight="1" x14ac:dyDescent="0.25">
      <c r="B2" s="18"/>
      <c r="C2" s="16"/>
      <c r="D2" s="16"/>
      <c r="E2" s="16"/>
      <c r="F2" s="16"/>
      <c r="G2" s="16"/>
      <c r="H2" s="16"/>
      <c r="I2" s="16"/>
      <c r="J2" s="16"/>
      <c r="K2" s="16"/>
      <c r="L2" s="16"/>
      <c r="M2" s="16"/>
      <c r="N2" s="16"/>
      <c r="O2" s="16"/>
      <c r="P2" s="16"/>
      <c r="Q2" s="16"/>
      <c r="R2" s="16"/>
    </row>
    <row r="3" spans="1:22" ht="22.35" customHeight="1" x14ac:dyDescent="0.25">
      <c r="B3" s="19" t="s">
        <v>104</v>
      </c>
      <c r="C3" s="19" t="s">
        <v>105</v>
      </c>
      <c r="D3" s="20" t="s">
        <v>0</v>
      </c>
      <c r="E3" s="20" t="s">
        <v>89</v>
      </c>
      <c r="F3" s="20" t="s">
        <v>84</v>
      </c>
      <c r="G3" s="20" t="s">
        <v>100</v>
      </c>
      <c r="H3" s="20" t="s">
        <v>90</v>
      </c>
      <c r="I3" s="20" t="s">
        <v>1</v>
      </c>
      <c r="J3" s="20" t="s">
        <v>2</v>
      </c>
      <c r="K3" s="20" t="s">
        <v>3</v>
      </c>
      <c r="L3" s="20" t="s">
        <v>33</v>
      </c>
      <c r="M3" s="20" t="s">
        <v>34</v>
      </c>
      <c r="N3" s="20" t="s">
        <v>26</v>
      </c>
      <c r="O3" s="20" t="s">
        <v>30</v>
      </c>
      <c r="P3" s="19" t="s">
        <v>158</v>
      </c>
      <c r="Q3" s="19" t="s">
        <v>80</v>
      </c>
      <c r="R3" s="20" t="s">
        <v>81</v>
      </c>
      <c r="S3" s="20" t="s">
        <v>92</v>
      </c>
      <c r="T3" s="12" t="s">
        <v>95</v>
      </c>
      <c r="U3" s="12" t="s">
        <v>94</v>
      </c>
      <c r="V3" s="12" t="s">
        <v>96</v>
      </c>
    </row>
    <row r="4" spans="1:22" ht="20.85" customHeight="1" x14ac:dyDescent="0.25">
      <c r="A4" s="192"/>
      <c r="B4" s="266"/>
      <c r="C4" s="5"/>
      <c r="D4" s="263"/>
      <c r="E4" s="263"/>
      <c r="F4" s="266"/>
      <c r="G4" s="267"/>
      <c r="H4" s="2"/>
      <c r="I4" s="2"/>
      <c r="J4" s="2"/>
      <c r="K4" s="24" t="str">
        <f>IF(Jan[[#This Row],[Date of Incident]]="","",TEXT(Jan[[#This Row],[Date of Incident]],"ddd"))</f>
        <v/>
      </c>
      <c r="L4" s="1"/>
      <c r="M4" s="24" t="str">
        <f>IFERROR(VLOOKUP(Jan[[#This Row],[Hour]],Shifts[],2,FALSE),"")</f>
        <v/>
      </c>
      <c r="N4" s="2"/>
      <c r="O4" s="24" t="str">
        <f>IFERROR(VLOOKUP(Jan[[#This Row],[BIMS Score]],BIMS[],2,FALSE),"")</f>
        <v/>
      </c>
      <c r="P4" s="3"/>
      <c r="Q4" s="3"/>
      <c r="R4" s="2"/>
      <c r="S4" s="168"/>
      <c r="T4" s="3"/>
      <c r="U4" s="3"/>
      <c r="V4" s="3"/>
    </row>
    <row r="5" spans="1:22" ht="20.85" customHeight="1" x14ac:dyDescent="0.25">
      <c r="A5" s="192"/>
      <c r="B5" s="266"/>
      <c r="C5" s="5"/>
      <c r="D5" s="263"/>
      <c r="E5" s="263"/>
      <c r="F5" s="266"/>
      <c r="G5" s="267"/>
      <c r="H5" s="2"/>
      <c r="I5" s="2"/>
      <c r="J5" s="2"/>
      <c r="K5" s="24" t="str">
        <f>IF(Jan[[#This Row],[Date of Incident]]="","",TEXT(Jan[[#This Row],[Date of Incident]],"ddd"))</f>
        <v/>
      </c>
      <c r="L5" s="1"/>
      <c r="M5" s="24" t="str">
        <f>IFERROR(VLOOKUP(Jan[[#This Row],[Hour]],Shifts[],2,FALSE),"")</f>
        <v/>
      </c>
      <c r="N5" s="2"/>
      <c r="O5" s="24" t="str">
        <f>IFERROR(VLOOKUP(Jan[[#This Row],[BIMS Score]],BIMS[],2,FALSE),"")</f>
        <v/>
      </c>
      <c r="P5" s="3"/>
      <c r="Q5" s="3"/>
      <c r="R5" s="2"/>
      <c r="S5" s="168"/>
      <c r="T5" s="3"/>
      <c r="U5" s="3"/>
      <c r="V5" s="3"/>
    </row>
    <row r="6" spans="1:22" ht="20.85" customHeight="1" x14ac:dyDescent="0.25">
      <c r="A6" s="192"/>
      <c r="B6" s="266"/>
      <c r="C6" s="5"/>
      <c r="D6" s="263"/>
      <c r="E6" s="263"/>
      <c r="F6" s="266"/>
      <c r="G6" s="267"/>
      <c r="H6" s="2"/>
      <c r="I6" s="2"/>
      <c r="J6" s="2"/>
      <c r="K6" s="24" t="str">
        <f>IF(Jan[[#This Row],[Date of Incident]]="","",TEXT(Jan[[#This Row],[Date of Incident]],"ddd"))</f>
        <v/>
      </c>
      <c r="L6" s="1"/>
      <c r="M6" s="24" t="str">
        <f>IFERROR(VLOOKUP(Jan[[#This Row],[Hour]],Shifts[],2,FALSE),"")</f>
        <v/>
      </c>
      <c r="N6" s="2"/>
      <c r="O6" s="24" t="str">
        <f>IFERROR(VLOOKUP(Jan[[#This Row],[BIMS Score]],BIMS[],2,FALSE),"")</f>
        <v/>
      </c>
      <c r="P6" s="3"/>
      <c r="Q6" s="3"/>
      <c r="R6" s="2"/>
      <c r="S6" s="168"/>
      <c r="T6" s="3"/>
      <c r="U6" s="3"/>
      <c r="V6" s="3"/>
    </row>
    <row r="7" spans="1:22" ht="20.85" customHeight="1" x14ac:dyDescent="0.25">
      <c r="A7" s="192"/>
      <c r="B7" s="266"/>
      <c r="C7" s="5"/>
      <c r="D7" s="263"/>
      <c r="E7" s="263"/>
      <c r="F7" s="266"/>
      <c r="G7" s="267"/>
      <c r="H7" s="2"/>
      <c r="I7" s="2"/>
      <c r="J7" s="2"/>
      <c r="K7" s="24" t="str">
        <f>IF(Jan[[#This Row],[Date of Incident]]="","",TEXT(Jan[[#This Row],[Date of Incident]],"ddd"))</f>
        <v/>
      </c>
      <c r="L7" s="1"/>
      <c r="M7" s="24" t="str">
        <f>IFERROR(VLOOKUP(Jan[[#This Row],[Hour]],Shifts[],2,FALSE),"")</f>
        <v/>
      </c>
      <c r="N7" s="2"/>
      <c r="O7" s="24" t="str">
        <f>IFERROR(VLOOKUP(Jan[[#This Row],[BIMS Score]],BIMS[],2,FALSE),"")</f>
        <v/>
      </c>
      <c r="P7" s="3"/>
      <c r="Q7" s="3"/>
      <c r="R7" s="2"/>
      <c r="S7" s="168"/>
      <c r="T7" s="3"/>
      <c r="U7" s="3"/>
      <c r="V7" s="3"/>
    </row>
    <row r="8" spans="1:22" ht="20.85" customHeight="1" x14ac:dyDescent="0.25">
      <c r="A8" s="192"/>
      <c r="B8" s="266"/>
      <c r="C8" s="5"/>
      <c r="D8" s="263"/>
      <c r="E8" s="263"/>
      <c r="F8" s="266"/>
      <c r="G8" s="267"/>
      <c r="H8" s="2"/>
      <c r="I8" s="2"/>
      <c r="J8" s="2"/>
      <c r="K8" s="24" t="str">
        <f>IF(Jan[[#This Row],[Date of Incident]]="","",TEXT(Jan[[#This Row],[Date of Incident]],"ddd"))</f>
        <v/>
      </c>
      <c r="L8" s="1"/>
      <c r="M8" s="24" t="str">
        <f>IFERROR(VLOOKUP(Jan[[#This Row],[Hour]],Shifts[],2,FALSE),"")</f>
        <v/>
      </c>
      <c r="N8" s="2"/>
      <c r="O8" s="24" t="str">
        <f>IFERROR(VLOOKUP(Jan[[#This Row],[BIMS Score]],BIMS[],2,FALSE),"")</f>
        <v/>
      </c>
      <c r="P8" s="3"/>
      <c r="Q8" s="3"/>
      <c r="R8" s="2"/>
      <c r="S8" s="168"/>
      <c r="T8" s="3"/>
      <c r="U8" s="3"/>
      <c r="V8" s="3"/>
    </row>
    <row r="9" spans="1:22" ht="20.85" customHeight="1" x14ac:dyDescent="0.25">
      <c r="A9" s="192"/>
      <c r="B9" s="266"/>
      <c r="C9" s="5"/>
      <c r="D9" s="263"/>
      <c r="E9" s="263"/>
      <c r="F9" s="266"/>
      <c r="G9" s="267"/>
      <c r="H9" s="2"/>
      <c r="I9" s="2"/>
      <c r="J9" s="2"/>
      <c r="K9" s="24" t="str">
        <f>IF(Jan[[#This Row],[Date of Incident]]="","",TEXT(Jan[[#This Row],[Date of Incident]],"ddd"))</f>
        <v/>
      </c>
      <c r="L9" s="1"/>
      <c r="M9" s="24" t="str">
        <f>IFERROR(VLOOKUP(Jan[[#This Row],[Hour]],Shifts[],2,FALSE),"")</f>
        <v/>
      </c>
      <c r="N9" s="2"/>
      <c r="O9" s="24" t="str">
        <f>IFERROR(VLOOKUP(Jan[[#This Row],[BIMS Score]],BIMS[],2,FALSE),"")</f>
        <v/>
      </c>
      <c r="P9" s="3"/>
      <c r="Q9" s="3"/>
      <c r="R9" s="2"/>
      <c r="S9" s="168"/>
      <c r="T9" s="3"/>
      <c r="U9" s="3"/>
      <c r="V9" s="3"/>
    </row>
    <row r="10" spans="1:22" ht="20.85" customHeight="1" x14ac:dyDescent="0.25">
      <c r="A10" s="192"/>
      <c r="B10" s="266"/>
      <c r="C10" s="5"/>
      <c r="D10" s="263"/>
      <c r="E10" s="263"/>
      <c r="F10" s="266"/>
      <c r="G10" s="267"/>
      <c r="H10" s="2"/>
      <c r="I10" s="2"/>
      <c r="J10" s="2"/>
      <c r="K10" s="24" t="str">
        <f>IF(Jan[[#This Row],[Date of Incident]]="","",TEXT(Jan[[#This Row],[Date of Incident]],"ddd"))</f>
        <v/>
      </c>
      <c r="L10" s="1"/>
      <c r="M10" s="24" t="str">
        <f>IFERROR(VLOOKUP(Jan[[#This Row],[Hour]],Shifts[],2,FALSE),"")</f>
        <v/>
      </c>
      <c r="N10" s="2"/>
      <c r="O10" s="24" t="str">
        <f>IFERROR(VLOOKUP(Jan[[#This Row],[BIMS Score]],BIMS[],2,FALSE),"")</f>
        <v/>
      </c>
      <c r="P10" s="3"/>
      <c r="Q10" s="3"/>
      <c r="R10" s="2"/>
      <c r="S10" s="168"/>
      <c r="T10" s="3"/>
      <c r="U10" s="3"/>
      <c r="V10" s="3"/>
    </row>
    <row r="11" spans="1:22" ht="20.85" customHeight="1" x14ac:dyDescent="0.25">
      <c r="A11" s="192"/>
      <c r="B11" s="266"/>
      <c r="C11" s="5"/>
      <c r="D11" s="263"/>
      <c r="E11" s="263"/>
      <c r="F11" s="266"/>
      <c r="G11" s="267"/>
      <c r="H11" s="2"/>
      <c r="I11" s="2"/>
      <c r="J11" s="2"/>
      <c r="K11" s="24" t="str">
        <f>IF(Jan[[#This Row],[Date of Incident]]="","",TEXT(Jan[[#This Row],[Date of Incident]],"ddd"))</f>
        <v/>
      </c>
      <c r="L11" s="1"/>
      <c r="M11" s="24" t="str">
        <f>IFERROR(VLOOKUP(Jan[[#This Row],[Hour]],Shifts[],2,FALSE),"")</f>
        <v/>
      </c>
      <c r="N11" s="2"/>
      <c r="O11" s="24" t="str">
        <f>IFERROR(VLOOKUP(Jan[[#This Row],[BIMS Score]],BIMS[],2,FALSE),"")</f>
        <v/>
      </c>
      <c r="P11" s="3"/>
      <c r="Q11" s="3"/>
      <c r="R11" s="2"/>
      <c r="S11" s="168"/>
      <c r="T11" s="3"/>
      <c r="U11" s="3"/>
      <c r="V11" s="3"/>
    </row>
    <row r="12" spans="1:22" ht="20.85" customHeight="1" x14ac:dyDescent="0.25">
      <c r="A12" s="192"/>
      <c r="B12" s="267"/>
      <c r="C12" s="5"/>
      <c r="D12" s="264"/>
      <c r="E12" s="263"/>
      <c r="F12" s="267"/>
      <c r="G12" s="267"/>
      <c r="H12" s="2"/>
      <c r="I12" s="2"/>
      <c r="J12" s="2"/>
      <c r="K12" s="24" t="str">
        <f>IF(Jan[[#This Row],[Date of Incident]]="","",TEXT(Jan[[#This Row],[Date of Incident]],"ddd"))</f>
        <v/>
      </c>
      <c r="L12" s="1"/>
      <c r="M12" s="24" t="str">
        <f>IFERROR(VLOOKUP(Jan[[#This Row],[Hour]],Shifts[],2,FALSE),"")</f>
        <v/>
      </c>
      <c r="N12" s="2"/>
      <c r="O12" s="24" t="str">
        <f>IFERROR(VLOOKUP(Jan[[#This Row],[BIMS Score]],BIMS[],2,FALSE),"")</f>
        <v/>
      </c>
      <c r="P12" s="3"/>
      <c r="Q12" s="3"/>
      <c r="R12" s="2"/>
      <c r="S12" s="168"/>
      <c r="T12" s="3"/>
      <c r="U12" s="3"/>
      <c r="V12" s="3"/>
    </row>
    <row r="13" spans="1:22" ht="20.85" customHeight="1" x14ac:dyDescent="0.25">
      <c r="A13" s="192"/>
      <c r="B13" s="267"/>
      <c r="C13" s="5"/>
      <c r="D13" s="264"/>
      <c r="E13" s="263"/>
      <c r="F13" s="267"/>
      <c r="G13" s="267"/>
      <c r="H13" s="2"/>
      <c r="I13" s="2"/>
      <c r="J13" s="2"/>
      <c r="K13" s="24" t="str">
        <f>IF(Jan[[#This Row],[Date of Incident]]="","",TEXT(Jan[[#This Row],[Date of Incident]],"ddd"))</f>
        <v/>
      </c>
      <c r="L13" s="1"/>
      <c r="M13" s="24" t="str">
        <f>IFERROR(VLOOKUP(Jan[[#This Row],[Hour]],Shifts[],2,FALSE),"")</f>
        <v/>
      </c>
      <c r="N13" s="2"/>
      <c r="O13" s="24" t="str">
        <f>IFERROR(VLOOKUP(Jan[[#This Row],[BIMS Score]],BIMS[],2,FALSE),"")</f>
        <v/>
      </c>
      <c r="P13" s="3"/>
      <c r="Q13" s="3"/>
      <c r="R13" s="2"/>
      <c r="S13" s="168"/>
      <c r="T13" s="3"/>
      <c r="U13" s="3"/>
      <c r="V13" s="3"/>
    </row>
    <row r="14" spans="1:22" ht="20.85" customHeight="1" x14ac:dyDescent="0.25">
      <c r="A14" s="192"/>
      <c r="B14" s="267"/>
      <c r="C14" s="5"/>
      <c r="D14" s="264"/>
      <c r="E14" s="263"/>
      <c r="F14" s="267"/>
      <c r="G14" s="267"/>
      <c r="H14" s="2"/>
      <c r="I14" s="2"/>
      <c r="J14" s="2"/>
      <c r="K14" s="24" t="str">
        <f>IF(Jan[[#This Row],[Date of Incident]]="","",TEXT(Jan[[#This Row],[Date of Incident]],"ddd"))</f>
        <v/>
      </c>
      <c r="L14" s="1"/>
      <c r="M14" s="24" t="str">
        <f>IFERROR(VLOOKUP(Jan[[#This Row],[Hour]],Shifts[],2,FALSE),"")</f>
        <v/>
      </c>
      <c r="N14" s="2"/>
      <c r="O14" s="24" t="str">
        <f>IFERROR(VLOOKUP(Jan[[#This Row],[BIMS Score]],BIMS[],2,FALSE),"")</f>
        <v/>
      </c>
      <c r="P14" s="3"/>
      <c r="Q14" s="3"/>
      <c r="R14" s="2"/>
      <c r="S14" s="168"/>
      <c r="T14" s="3"/>
      <c r="U14" s="3"/>
      <c r="V14" s="3"/>
    </row>
    <row r="15" spans="1:22" ht="20.85" customHeight="1" x14ac:dyDescent="0.25">
      <c r="A15" s="192"/>
      <c r="B15" s="267"/>
      <c r="C15" s="5"/>
      <c r="D15" s="264"/>
      <c r="E15" s="263"/>
      <c r="F15" s="267"/>
      <c r="G15" s="267"/>
      <c r="H15" s="2"/>
      <c r="I15" s="2"/>
      <c r="J15" s="2"/>
      <c r="K15" s="24" t="str">
        <f>IF(Jan[[#This Row],[Date of Incident]]="","",TEXT(Jan[[#This Row],[Date of Incident]],"ddd"))</f>
        <v/>
      </c>
      <c r="L15" s="1"/>
      <c r="M15" s="24" t="str">
        <f>IFERROR(VLOOKUP(Jan[[#This Row],[Hour]],Shifts[],2,FALSE),"")</f>
        <v/>
      </c>
      <c r="N15" s="2"/>
      <c r="O15" s="24" t="str">
        <f>IFERROR(VLOOKUP(Jan[[#This Row],[BIMS Score]],BIMS[],2,FALSE),"")</f>
        <v/>
      </c>
      <c r="P15" s="3"/>
      <c r="Q15" s="3"/>
      <c r="R15" s="2"/>
      <c r="S15" s="168"/>
      <c r="T15" s="3"/>
      <c r="U15" s="3"/>
      <c r="V15" s="3"/>
    </row>
    <row r="16" spans="1:22" ht="20.85" customHeight="1" x14ac:dyDescent="0.25">
      <c r="A16" s="192"/>
      <c r="B16" s="267"/>
      <c r="C16" s="3"/>
      <c r="D16" s="264"/>
      <c r="E16" s="264"/>
      <c r="F16" s="267"/>
      <c r="G16" s="267"/>
      <c r="H16" s="2"/>
      <c r="I16" s="2"/>
      <c r="J16" s="2"/>
      <c r="K16" s="24" t="str">
        <f>IF(Jan[[#This Row],[Date of Incident]]="","",TEXT(Jan[[#This Row],[Date of Incident]],"ddd"))</f>
        <v/>
      </c>
      <c r="L16" s="1"/>
      <c r="M16" s="24" t="str">
        <f>IFERROR(VLOOKUP(Jan[[#This Row],[Hour]],Shifts[],2,FALSE),"")</f>
        <v/>
      </c>
      <c r="N16" s="2"/>
      <c r="O16" s="24" t="str">
        <f>IFERROR(VLOOKUP(Jan[[#This Row],[BIMS Score]],BIMS[],2,FALSE),"")</f>
        <v/>
      </c>
      <c r="P16" s="3"/>
      <c r="Q16" s="3"/>
      <c r="R16" s="2"/>
      <c r="S16" s="168"/>
      <c r="T16" s="3"/>
      <c r="U16" s="3"/>
      <c r="V16" s="3"/>
    </row>
    <row r="17" spans="1:22" ht="20.85" customHeight="1" x14ac:dyDescent="0.25">
      <c r="A17" s="192"/>
      <c r="B17" s="267"/>
      <c r="C17" s="3"/>
      <c r="D17" s="264"/>
      <c r="E17" s="264"/>
      <c r="F17" s="267"/>
      <c r="G17" s="267"/>
      <c r="H17" s="2"/>
      <c r="I17" s="2"/>
      <c r="J17" s="2"/>
      <c r="K17" s="24" t="str">
        <f>IF(Jan[[#This Row],[Date of Incident]]="","",TEXT(Jan[[#This Row],[Date of Incident]],"ddd"))</f>
        <v/>
      </c>
      <c r="L17" s="1"/>
      <c r="M17" s="24" t="str">
        <f>IFERROR(VLOOKUP(Jan[[#This Row],[Hour]],Shifts[],2,FALSE),"")</f>
        <v/>
      </c>
      <c r="N17" s="2"/>
      <c r="O17" s="24" t="str">
        <f>IFERROR(VLOOKUP(Jan[[#This Row],[BIMS Score]],BIMS[],2,FALSE),"")</f>
        <v/>
      </c>
      <c r="P17" s="3"/>
      <c r="Q17" s="3"/>
      <c r="R17" s="2"/>
      <c r="S17" s="168"/>
      <c r="T17" s="3"/>
      <c r="U17" s="3"/>
      <c r="V17" s="3"/>
    </row>
    <row r="18" spans="1:22" ht="20.85" customHeight="1" x14ac:dyDescent="0.25">
      <c r="A18" s="192"/>
      <c r="B18" s="267"/>
      <c r="C18" s="3"/>
      <c r="D18" s="264"/>
      <c r="E18" s="264"/>
      <c r="F18" s="267"/>
      <c r="G18" s="267"/>
      <c r="H18" s="2"/>
      <c r="I18" s="2"/>
      <c r="J18" s="2"/>
      <c r="K18" s="24" t="str">
        <f>IF(Jan[[#This Row],[Date of Incident]]="","",TEXT(Jan[[#This Row],[Date of Incident]],"ddd"))</f>
        <v/>
      </c>
      <c r="L18" s="1"/>
      <c r="M18" s="24" t="str">
        <f>IFERROR(VLOOKUP(Jan[[#This Row],[Hour]],Shifts[],2,FALSE),"")</f>
        <v/>
      </c>
      <c r="N18" s="2"/>
      <c r="O18" s="24" t="str">
        <f>IFERROR(VLOOKUP(Jan[[#This Row],[BIMS Score]],BIMS[],2,FALSE),"")</f>
        <v/>
      </c>
      <c r="P18" s="3"/>
      <c r="Q18" s="3"/>
      <c r="R18" s="2"/>
      <c r="S18" s="168"/>
      <c r="T18" s="3"/>
      <c r="U18" s="3"/>
      <c r="V18" s="3"/>
    </row>
    <row r="19" spans="1:22" ht="20.85" customHeight="1" x14ac:dyDescent="0.25">
      <c r="A19" s="192"/>
      <c r="B19" s="267"/>
      <c r="C19" s="3"/>
      <c r="D19" s="264"/>
      <c r="E19" s="264"/>
      <c r="F19" s="267"/>
      <c r="G19" s="267"/>
      <c r="H19" s="2"/>
      <c r="I19" s="2"/>
      <c r="J19" s="2"/>
      <c r="K19" s="24" t="str">
        <f>IF(Jan[[#This Row],[Date of Incident]]="","",TEXT(Jan[[#This Row],[Date of Incident]],"ddd"))</f>
        <v/>
      </c>
      <c r="L19" s="1"/>
      <c r="M19" s="24" t="str">
        <f>IFERROR(VLOOKUP(Jan[[#This Row],[Hour]],Shifts[],2,FALSE),"")</f>
        <v/>
      </c>
      <c r="N19" s="2"/>
      <c r="O19" s="24" t="str">
        <f>IFERROR(VLOOKUP(Jan[[#This Row],[BIMS Score]],BIMS[],2,FALSE),"")</f>
        <v/>
      </c>
      <c r="P19" s="3"/>
      <c r="Q19" s="3"/>
      <c r="R19" s="2"/>
      <c r="S19" s="168"/>
      <c r="T19" s="3"/>
      <c r="U19" s="3"/>
      <c r="V19" s="3"/>
    </row>
    <row r="20" spans="1:22" ht="20.85" customHeight="1" x14ac:dyDescent="0.25">
      <c r="A20" s="192"/>
      <c r="B20" s="267"/>
      <c r="C20" s="3"/>
      <c r="D20" s="264"/>
      <c r="E20" s="264"/>
      <c r="F20" s="267"/>
      <c r="G20" s="267"/>
      <c r="H20" s="2"/>
      <c r="I20" s="2"/>
      <c r="J20" s="2"/>
      <c r="K20" s="24" t="str">
        <f>IF(Jan[[#This Row],[Date of Incident]]="","",TEXT(Jan[[#This Row],[Date of Incident]],"ddd"))</f>
        <v/>
      </c>
      <c r="L20" s="1"/>
      <c r="M20" s="24" t="str">
        <f>IFERROR(VLOOKUP(Jan[[#This Row],[Hour]],Shifts[],2,FALSE),"")</f>
        <v/>
      </c>
      <c r="N20" s="2"/>
      <c r="O20" s="24" t="str">
        <f>IFERROR(VLOOKUP(Jan[[#This Row],[BIMS Score]],BIMS[],2,FALSE),"")</f>
        <v/>
      </c>
      <c r="P20" s="3"/>
      <c r="Q20" s="3"/>
      <c r="R20" s="2"/>
      <c r="S20" s="168"/>
      <c r="T20" s="3"/>
      <c r="U20" s="3"/>
      <c r="V20" s="3"/>
    </row>
    <row r="21" spans="1:22" ht="20.85" customHeight="1" x14ac:dyDescent="0.25">
      <c r="A21" s="192"/>
      <c r="B21" s="267"/>
      <c r="C21" s="3"/>
      <c r="D21" s="264"/>
      <c r="E21" s="264"/>
      <c r="F21" s="267"/>
      <c r="G21" s="267"/>
      <c r="H21" s="2"/>
      <c r="I21" s="2"/>
      <c r="J21" s="2"/>
      <c r="K21" s="24" t="str">
        <f>IF(Jan[[#This Row],[Date of Incident]]="","",TEXT(Jan[[#This Row],[Date of Incident]],"ddd"))</f>
        <v/>
      </c>
      <c r="L21" s="1"/>
      <c r="M21" s="24" t="str">
        <f>IFERROR(VLOOKUP(Jan[[#This Row],[Hour]],Shifts[],2,FALSE),"")</f>
        <v/>
      </c>
      <c r="N21" s="2"/>
      <c r="O21" s="24" t="str">
        <f>IFERROR(VLOOKUP(Jan[[#This Row],[BIMS Score]],BIMS[],2,FALSE),"")</f>
        <v/>
      </c>
      <c r="P21" s="3"/>
      <c r="Q21" s="3"/>
      <c r="R21" s="2"/>
      <c r="S21" s="168"/>
      <c r="T21" s="3"/>
      <c r="U21" s="3"/>
      <c r="V21" s="3"/>
    </row>
    <row r="22" spans="1:22" ht="20.85" customHeight="1" x14ac:dyDescent="0.25">
      <c r="A22" s="192"/>
      <c r="B22" s="267"/>
      <c r="C22" s="3"/>
      <c r="D22" s="264"/>
      <c r="E22" s="264"/>
      <c r="F22" s="267"/>
      <c r="G22" s="267"/>
      <c r="H22" s="2"/>
      <c r="I22" s="2"/>
      <c r="J22" s="2"/>
      <c r="K22" s="24" t="str">
        <f>IF(Jan[[#This Row],[Date of Incident]]="","",TEXT(Jan[[#This Row],[Date of Incident]],"ddd"))</f>
        <v/>
      </c>
      <c r="L22" s="1"/>
      <c r="M22" s="24" t="str">
        <f>IFERROR(VLOOKUP(Jan[[#This Row],[Hour]],Shifts[],2,FALSE),"")</f>
        <v/>
      </c>
      <c r="N22" s="1"/>
      <c r="O22" s="24" t="str">
        <f>IFERROR(VLOOKUP(Jan[[#This Row],[BIMS Score]],BIMS[],2,FALSE),"")</f>
        <v/>
      </c>
      <c r="P22" s="3"/>
      <c r="Q22" s="3"/>
      <c r="R22" s="2"/>
      <c r="S22" s="168"/>
      <c r="T22" s="3"/>
      <c r="U22" s="3"/>
      <c r="V22" s="3"/>
    </row>
    <row r="23" spans="1:22" ht="20.85" customHeight="1" x14ac:dyDescent="0.25">
      <c r="A23" s="192"/>
      <c r="B23" s="267"/>
      <c r="C23" s="3"/>
      <c r="D23" s="264"/>
      <c r="E23" s="264"/>
      <c r="F23" s="267"/>
      <c r="G23" s="267"/>
      <c r="H23" s="2"/>
      <c r="I23" s="2"/>
      <c r="J23" s="2"/>
      <c r="K23" s="24" t="str">
        <f>IF(Jan[[#This Row],[Date of Incident]]="","",TEXT(Jan[[#This Row],[Date of Incident]],"ddd"))</f>
        <v/>
      </c>
      <c r="L23" s="1"/>
      <c r="M23" s="24" t="str">
        <f>IFERROR(VLOOKUP(Jan[[#This Row],[Hour]],Shifts[],2,FALSE),"")</f>
        <v/>
      </c>
      <c r="N23" s="1"/>
      <c r="O23" s="24" t="str">
        <f>IFERROR(VLOOKUP(Jan[[#This Row],[BIMS Score]],BIMS[],2,FALSE),"")</f>
        <v/>
      </c>
      <c r="P23" s="3"/>
      <c r="Q23" s="3"/>
      <c r="R23" s="2"/>
      <c r="S23" s="168"/>
      <c r="T23" s="3"/>
      <c r="U23" s="3"/>
      <c r="V23" s="3"/>
    </row>
    <row r="24" spans="1:22" s="10" customFormat="1" ht="20.65" customHeight="1" x14ac:dyDescent="0.25">
      <c r="A24" s="193"/>
      <c r="B24" s="266"/>
      <c r="C24" s="5"/>
      <c r="D24" s="263"/>
      <c r="E24" s="263"/>
      <c r="F24" s="267"/>
      <c r="G24" s="267"/>
      <c r="H24" s="1"/>
      <c r="I24" s="1"/>
      <c r="J24" s="1"/>
      <c r="K24" s="24" t="str">
        <f>IF(Jan[[#This Row],[Date of Incident]]="","",TEXT(Jan[[#This Row],[Date of Incident]],"ddd"))</f>
        <v/>
      </c>
      <c r="L24" s="1"/>
      <c r="M24" s="24" t="str">
        <f>IFERROR(VLOOKUP(Jan[[#This Row],[Hour]],Shifts[],2,FALSE),"")</f>
        <v/>
      </c>
      <c r="N24" s="1"/>
      <c r="O24" s="24" t="str">
        <f>IFERROR(VLOOKUP(Jan[[#This Row],[BIMS Score]],BIMS[],2,FALSE),"")</f>
        <v/>
      </c>
      <c r="P24" s="3"/>
      <c r="Q24" s="3"/>
      <c r="R24" s="2"/>
      <c r="S24" s="168"/>
      <c r="T24" s="5"/>
      <c r="U24" s="5"/>
      <c r="V24" s="3"/>
    </row>
    <row r="25" spans="1:22" ht="20.85" customHeight="1" x14ac:dyDescent="0.25">
      <c r="A25" s="192"/>
      <c r="B25" s="266"/>
      <c r="C25" s="5"/>
      <c r="D25" s="263"/>
      <c r="E25" s="263"/>
      <c r="F25" s="267"/>
      <c r="G25" s="267"/>
      <c r="H25" s="1"/>
      <c r="I25" s="1"/>
      <c r="J25" s="1"/>
      <c r="K25" s="24" t="str">
        <f>IF(Jan[[#This Row],[Date of Incident]]="","",TEXT(Jan[[#This Row],[Date of Incident]],"ddd"))</f>
        <v/>
      </c>
      <c r="L25" s="1"/>
      <c r="M25" s="24" t="str">
        <f>IFERROR(VLOOKUP(Jan[[#This Row],[Hour]],Shifts[],2,FALSE),"")</f>
        <v/>
      </c>
      <c r="N25" s="1"/>
      <c r="O25" s="24" t="str">
        <f>IFERROR(VLOOKUP(Jan[[#This Row],[BIMS Score]],BIMS[],2,FALSE),"")</f>
        <v/>
      </c>
      <c r="P25" s="3"/>
      <c r="Q25" s="3"/>
      <c r="R25" s="2"/>
      <c r="S25" s="168"/>
      <c r="T25" s="5"/>
      <c r="U25" s="5"/>
      <c r="V25" s="3"/>
    </row>
    <row r="26" spans="1:22" ht="20.85" customHeight="1" x14ac:dyDescent="0.25">
      <c r="A26" s="192"/>
      <c r="B26" s="266"/>
      <c r="C26" s="5"/>
      <c r="D26" s="263"/>
      <c r="E26" s="263"/>
      <c r="F26" s="267"/>
      <c r="G26" s="267"/>
      <c r="H26" s="1"/>
      <c r="I26" s="1"/>
      <c r="J26" s="1"/>
      <c r="K26" s="24" t="str">
        <f>IF(Jan[[#This Row],[Date of Incident]]="","",TEXT(Jan[[#This Row],[Date of Incident]],"ddd"))</f>
        <v/>
      </c>
      <c r="L26" s="1"/>
      <c r="M26" s="24" t="str">
        <f>IFERROR(VLOOKUP(Jan[[#This Row],[Hour]],Shifts[],2,FALSE),"")</f>
        <v/>
      </c>
      <c r="N26" s="1"/>
      <c r="O26" s="24" t="str">
        <f>IFERROR(VLOOKUP(Jan[[#This Row],[BIMS Score]],BIMS[],2,FALSE),"")</f>
        <v/>
      </c>
      <c r="P26" s="3"/>
      <c r="Q26" s="3"/>
      <c r="R26" s="2"/>
      <c r="S26" s="168"/>
      <c r="T26" s="5"/>
      <c r="U26" s="5"/>
      <c r="V26" s="3"/>
    </row>
    <row r="27" spans="1:22" ht="20.85" customHeight="1" x14ac:dyDescent="0.25">
      <c r="A27" s="192"/>
      <c r="B27" s="266"/>
      <c r="C27" s="5"/>
      <c r="D27" s="263"/>
      <c r="E27" s="263"/>
      <c r="F27" s="267"/>
      <c r="G27" s="267"/>
      <c r="H27" s="1"/>
      <c r="I27" s="1"/>
      <c r="J27" s="1"/>
      <c r="K27" s="24" t="str">
        <f>IF(Jan[[#This Row],[Date of Incident]]="","",TEXT(Jan[[#This Row],[Date of Incident]],"ddd"))</f>
        <v/>
      </c>
      <c r="L27" s="1"/>
      <c r="M27" s="24" t="str">
        <f>IFERROR(VLOOKUP(Jan[[#This Row],[Hour]],Shifts[],2,FALSE),"")</f>
        <v/>
      </c>
      <c r="N27" s="1"/>
      <c r="O27" s="24" t="str">
        <f>IFERROR(VLOOKUP(Jan[[#This Row],[BIMS Score]],BIMS[],2,FALSE),"")</f>
        <v/>
      </c>
      <c r="P27" s="3"/>
      <c r="Q27" s="3"/>
      <c r="R27" s="2"/>
      <c r="S27" s="168"/>
      <c r="T27" s="5"/>
      <c r="U27" s="5"/>
      <c r="V27" s="3"/>
    </row>
    <row r="28" spans="1:22" ht="20.85" customHeight="1" x14ac:dyDescent="0.25">
      <c r="A28" s="192"/>
      <c r="B28" s="266"/>
      <c r="C28" s="5"/>
      <c r="D28" s="263"/>
      <c r="E28" s="263"/>
      <c r="F28" s="267"/>
      <c r="G28" s="267"/>
      <c r="H28" s="1"/>
      <c r="I28" s="1"/>
      <c r="J28" s="1"/>
      <c r="K28" s="24" t="str">
        <f>IF(Jan[[#This Row],[Date of Incident]]="","",TEXT(Jan[[#This Row],[Date of Incident]],"ddd"))</f>
        <v/>
      </c>
      <c r="L28" s="1"/>
      <c r="M28" s="24" t="str">
        <f>IFERROR(VLOOKUP(Jan[[#This Row],[Hour]],Shifts[],2,FALSE),"")</f>
        <v/>
      </c>
      <c r="N28" s="1"/>
      <c r="O28" s="24" t="str">
        <f>IFERROR(VLOOKUP(Jan[[#This Row],[BIMS Score]],BIMS[],2,FALSE),"")</f>
        <v/>
      </c>
      <c r="P28" s="3"/>
      <c r="Q28" s="3"/>
      <c r="R28" s="2"/>
      <c r="S28" s="168"/>
      <c r="T28" s="5"/>
      <c r="U28" s="5"/>
      <c r="V28" s="3"/>
    </row>
    <row r="29" spans="1:22" ht="20.85" customHeight="1" x14ac:dyDescent="0.25">
      <c r="A29" s="174"/>
      <c r="B29" s="266"/>
      <c r="C29" s="5"/>
      <c r="D29" s="263"/>
      <c r="E29" s="263"/>
      <c r="F29" s="267"/>
      <c r="G29" s="267"/>
      <c r="H29" s="1"/>
      <c r="I29" s="1"/>
      <c r="J29" s="1"/>
      <c r="K29" s="24" t="str">
        <f>IF(Jan[[#This Row],[Date of Incident]]="","",TEXT(Jan[[#This Row],[Date of Incident]],"ddd"))</f>
        <v/>
      </c>
      <c r="L29" s="1"/>
      <c r="M29" s="24" t="str">
        <f>IFERROR(VLOOKUP(Jan[[#This Row],[Hour]],Shifts[],2,FALSE),"")</f>
        <v/>
      </c>
      <c r="N29" s="2"/>
      <c r="O29" s="24" t="str">
        <f>IFERROR(VLOOKUP(Jan[[#This Row],[BIMS Score]],BIMS[],2,FALSE),"")</f>
        <v/>
      </c>
      <c r="P29" s="3"/>
      <c r="Q29" s="3"/>
      <c r="R29" s="2"/>
      <c r="S29" s="168"/>
      <c r="T29" s="5"/>
      <c r="U29" s="5"/>
      <c r="V29" s="5"/>
    </row>
    <row r="30" spans="1:22" ht="20.85" customHeight="1" x14ac:dyDescent="0.25">
      <c r="A30" s="174"/>
      <c r="B30" s="266"/>
      <c r="C30" s="5"/>
      <c r="D30" s="263"/>
      <c r="E30" s="263"/>
      <c r="F30" s="267"/>
      <c r="G30" s="267"/>
      <c r="H30" s="1"/>
      <c r="I30" s="1"/>
      <c r="J30" s="1"/>
      <c r="K30" s="24" t="str">
        <f>IF(Jan[[#This Row],[Date of Incident]]="","",TEXT(Jan[[#This Row],[Date of Incident]],"ddd"))</f>
        <v/>
      </c>
      <c r="L30" s="1"/>
      <c r="M30" s="24" t="str">
        <f>IFERROR(VLOOKUP(Jan[[#This Row],[Hour]],Shifts[],2,FALSE),"")</f>
        <v/>
      </c>
      <c r="N30" s="2"/>
      <c r="O30" s="24" t="str">
        <f>IFERROR(VLOOKUP(Jan[[#This Row],[BIMS Score]],BIMS[],2,FALSE),"")</f>
        <v/>
      </c>
      <c r="P30" s="3"/>
      <c r="Q30" s="3"/>
      <c r="R30" s="2"/>
      <c r="S30" s="168"/>
      <c r="T30" s="5"/>
      <c r="U30" s="5"/>
      <c r="V30" s="5"/>
    </row>
    <row r="31" spans="1:22" ht="20.85" customHeight="1" x14ac:dyDescent="0.25">
      <c r="A31" s="174"/>
      <c r="B31" s="266"/>
      <c r="C31" s="5"/>
      <c r="D31" s="263"/>
      <c r="E31" s="263"/>
      <c r="F31" s="267"/>
      <c r="G31" s="267"/>
      <c r="H31" s="1"/>
      <c r="I31" s="1"/>
      <c r="J31" s="1"/>
      <c r="K31" s="24" t="str">
        <f>IF(Jan[[#This Row],[Date of Incident]]="","",TEXT(Jan[[#This Row],[Date of Incident]],"ddd"))</f>
        <v/>
      </c>
      <c r="L31" s="1"/>
      <c r="M31" s="24" t="str">
        <f>IFERROR(VLOOKUP(Jan[[#This Row],[Hour]],Shifts[],2,FALSE),"")</f>
        <v/>
      </c>
      <c r="N31" s="2"/>
      <c r="O31" s="24" t="str">
        <f>IFERROR(VLOOKUP(Jan[[#This Row],[BIMS Score]],BIMS[],2,FALSE),"")</f>
        <v/>
      </c>
      <c r="P31" s="3"/>
      <c r="Q31" s="3"/>
      <c r="R31" s="2"/>
      <c r="S31" s="168"/>
      <c r="T31" s="5"/>
      <c r="U31" s="5"/>
      <c r="V31" s="5"/>
    </row>
    <row r="32" spans="1:22" ht="20.85" customHeight="1" x14ac:dyDescent="0.25">
      <c r="A32" s="174"/>
      <c r="B32" s="266"/>
      <c r="C32" s="5"/>
      <c r="D32" s="263"/>
      <c r="E32" s="263"/>
      <c r="F32" s="267"/>
      <c r="G32" s="267"/>
      <c r="H32" s="1"/>
      <c r="I32" s="1"/>
      <c r="J32" s="1"/>
      <c r="K32" s="24" t="str">
        <f>IF(Jan[[#This Row],[Date of Incident]]="","",TEXT(Jan[[#This Row],[Date of Incident]],"ddd"))</f>
        <v/>
      </c>
      <c r="L32" s="1"/>
      <c r="M32" s="24" t="str">
        <f>IFERROR(VLOOKUP(Jan[[#This Row],[Hour]],Shifts[],2,FALSE),"")</f>
        <v/>
      </c>
      <c r="N32" s="2"/>
      <c r="O32" s="24" t="str">
        <f>IFERROR(VLOOKUP(Jan[[#This Row],[BIMS Score]],BIMS[],2,FALSE),"")</f>
        <v/>
      </c>
      <c r="P32" s="3"/>
      <c r="Q32" s="3"/>
      <c r="R32" s="2"/>
      <c r="S32" s="168"/>
      <c r="T32" s="5"/>
      <c r="U32" s="5"/>
      <c r="V32" s="5"/>
    </row>
    <row r="33" spans="1:22" ht="20.85" customHeight="1" x14ac:dyDescent="0.25">
      <c r="A33" s="174"/>
      <c r="B33" s="266"/>
      <c r="C33" s="5"/>
      <c r="D33" s="263"/>
      <c r="E33" s="263"/>
      <c r="F33" s="267"/>
      <c r="G33" s="267"/>
      <c r="H33" s="1"/>
      <c r="I33" s="1"/>
      <c r="J33" s="1"/>
      <c r="K33" s="24" t="str">
        <f>IF(Jan[[#This Row],[Date of Incident]]="","",TEXT(Jan[[#This Row],[Date of Incident]],"ddd"))</f>
        <v/>
      </c>
      <c r="L33" s="1"/>
      <c r="M33" s="24" t="str">
        <f>IFERROR(VLOOKUP(Jan[[#This Row],[Hour]],Shifts[],2,FALSE),"")</f>
        <v/>
      </c>
      <c r="N33" s="2"/>
      <c r="O33" s="24" t="str">
        <f>IFERROR(VLOOKUP(Jan[[#This Row],[BIMS Score]],BIMS[],2,FALSE),"")</f>
        <v/>
      </c>
      <c r="P33" s="3"/>
      <c r="Q33" s="3"/>
      <c r="R33" s="2"/>
      <c r="S33" s="168"/>
      <c r="T33" s="5"/>
      <c r="U33" s="5"/>
      <c r="V33" s="5"/>
    </row>
    <row r="34" spans="1:22" ht="20.85" customHeight="1" x14ac:dyDescent="0.25">
      <c r="A34" s="174"/>
      <c r="B34" s="266"/>
      <c r="C34" s="5"/>
      <c r="D34" s="263"/>
      <c r="E34" s="263"/>
      <c r="F34" s="267"/>
      <c r="G34" s="267"/>
      <c r="H34" s="1"/>
      <c r="I34" s="1"/>
      <c r="J34" s="1"/>
      <c r="K34" s="24" t="str">
        <f>IF(Jan[[#This Row],[Date of Incident]]="","",TEXT(Jan[[#This Row],[Date of Incident]],"ddd"))</f>
        <v/>
      </c>
      <c r="L34" s="1"/>
      <c r="M34" s="24" t="str">
        <f>IFERROR(VLOOKUP(Jan[[#This Row],[Hour]],Shifts[],2,FALSE),"")</f>
        <v/>
      </c>
      <c r="N34" s="2"/>
      <c r="O34" s="24" t="str">
        <f>IFERROR(VLOOKUP(Jan[[#This Row],[BIMS Score]],BIMS[],2,FALSE),"")</f>
        <v/>
      </c>
      <c r="P34" s="3"/>
      <c r="Q34" s="3"/>
      <c r="R34" s="2"/>
      <c r="S34" s="168"/>
      <c r="T34" s="5"/>
      <c r="U34" s="5"/>
      <c r="V34" s="5"/>
    </row>
    <row r="35" spans="1:22" ht="20.85" customHeight="1" x14ac:dyDescent="0.25">
      <c r="A35" s="174"/>
      <c r="B35" s="266"/>
      <c r="C35" s="5"/>
      <c r="D35" s="263"/>
      <c r="E35" s="263"/>
      <c r="F35" s="267"/>
      <c r="G35" s="267"/>
      <c r="H35" s="1"/>
      <c r="I35" s="1"/>
      <c r="J35" s="1"/>
      <c r="K35" s="24" t="str">
        <f>IF(Jan[[#This Row],[Date of Incident]]="","",TEXT(Jan[[#This Row],[Date of Incident]],"ddd"))</f>
        <v/>
      </c>
      <c r="L35" s="1"/>
      <c r="M35" s="24" t="str">
        <f>IFERROR(VLOOKUP(Jan[[#This Row],[Hour]],Shifts[],2,FALSE),"")</f>
        <v/>
      </c>
      <c r="N35" s="2"/>
      <c r="O35" s="24" t="str">
        <f>IFERROR(VLOOKUP(Jan[[#This Row],[BIMS Score]],BIMS[],2,FALSE),"")</f>
        <v/>
      </c>
      <c r="P35" s="3"/>
      <c r="Q35" s="3"/>
      <c r="R35" s="2"/>
      <c r="S35" s="168"/>
      <c r="T35" s="5"/>
      <c r="U35" s="5"/>
      <c r="V35" s="5"/>
    </row>
    <row r="36" spans="1:22" ht="20.85" customHeight="1" x14ac:dyDescent="0.25">
      <c r="A36" s="174"/>
      <c r="B36" s="266"/>
      <c r="C36" s="5"/>
      <c r="D36" s="263"/>
      <c r="E36" s="263"/>
      <c r="F36" s="267"/>
      <c r="G36" s="267"/>
      <c r="H36" s="1"/>
      <c r="I36" s="1"/>
      <c r="J36" s="1"/>
      <c r="K36" s="24" t="str">
        <f>IF(Jan[[#This Row],[Date of Incident]]="","",TEXT(Jan[[#This Row],[Date of Incident]],"ddd"))</f>
        <v/>
      </c>
      <c r="L36" s="1"/>
      <c r="M36" s="24" t="str">
        <f>IFERROR(VLOOKUP(Jan[[#This Row],[Hour]],Shifts[],2,FALSE),"")</f>
        <v/>
      </c>
      <c r="N36" s="2"/>
      <c r="O36" s="24" t="str">
        <f>IFERROR(VLOOKUP(Jan[[#This Row],[BIMS Score]],BIMS[],2,FALSE),"")</f>
        <v/>
      </c>
      <c r="P36" s="3"/>
      <c r="Q36" s="3"/>
      <c r="R36" s="2"/>
      <c r="S36" s="168"/>
      <c r="T36" s="5"/>
      <c r="U36" s="5"/>
      <c r="V36" s="5"/>
    </row>
    <row r="37" spans="1:22" ht="20.85" customHeight="1" x14ac:dyDescent="0.25">
      <c r="A37" s="174"/>
      <c r="B37" s="266"/>
      <c r="C37" s="5"/>
      <c r="D37" s="263"/>
      <c r="E37" s="263"/>
      <c r="F37" s="267"/>
      <c r="G37" s="267"/>
      <c r="H37" s="1"/>
      <c r="I37" s="1"/>
      <c r="J37" s="1"/>
      <c r="K37" s="24" t="str">
        <f>IF(Jan[[#This Row],[Date of Incident]]="","",TEXT(Jan[[#This Row],[Date of Incident]],"ddd"))</f>
        <v/>
      </c>
      <c r="L37" s="1"/>
      <c r="M37" s="24" t="str">
        <f>IFERROR(VLOOKUP(Jan[[#This Row],[Hour]],Shifts[],2,FALSE),"")</f>
        <v/>
      </c>
      <c r="N37" s="2"/>
      <c r="O37" s="24" t="str">
        <f>IFERROR(VLOOKUP(Jan[[#This Row],[BIMS Score]],BIMS[],2,FALSE),"")</f>
        <v/>
      </c>
      <c r="P37" s="3"/>
      <c r="Q37" s="3"/>
      <c r="R37" s="2"/>
      <c r="S37" s="168"/>
      <c r="T37" s="5"/>
      <c r="U37" s="5"/>
      <c r="V37" s="5"/>
    </row>
    <row r="38" spans="1:22" ht="20.85" customHeight="1" x14ac:dyDescent="0.25">
      <c r="A38" s="174"/>
      <c r="B38" s="266"/>
      <c r="C38" s="5"/>
      <c r="D38" s="263"/>
      <c r="E38" s="263"/>
      <c r="F38" s="267"/>
      <c r="G38" s="267"/>
      <c r="H38" s="1"/>
      <c r="I38" s="1"/>
      <c r="J38" s="1"/>
      <c r="K38" s="24" t="str">
        <f>IF(Jan[[#This Row],[Date of Incident]]="","",TEXT(Jan[[#This Row],[Date of Incident]],"ddd"))</f>
        <v/>
      </c>
      <c r="L38" s="1"/>
      <c r="M38" s="24" t="str">
        <f>IFERROR(VLOOKUP(Jan[[#This Row],[Hour]],Shifts[],2,FALSE),"")</f>
        <v/>
      </c>
      <c r="N38" s="2"/>
      <c r="O38" s="24" t="str">
        <f>IFERROR(VLOOKUP(Jan[[#This Row],[BIMS Score]],BIMS[],2,FALSE),"")</f>
        <v/>
      </c>
      <c r="P38" s="3"/>
      <c r="Q38" s="3"/>
      <c r="R38" s="2"/>
      <c r="S38" s="168"/>
      <c r="T38" s="5"/>
      <c r="U38" s="5"/>
      <c r="V38" s="5"/>
    </row>
    <row r="39" spans="1:22" ht="20.85" customHeight="1" x14ac:dyDescent="0.25">
      <c r="A39" s="174"/>
      <c r="B39" s="266"/>
      <c r="C39" s="5"/>
      <c r="D39" s="263"/>
      <c r="E39" s="263"/>
      <c r="F39" s="267"/>
      <c r="G39" s="267"/>
      <c r="H39" s="1"/>
      <c r="I39" s="1"/>
      <c r="J39" s="1"/>
      <c r="K39" s="24" t="str">
        <f>IF(Jan[[#This Row],[Date of Incident]]="","",TEXT(Jan[[#This Row],[Date of Incident]],"ddd"))</f>
        <v/>
      </c>
      <c r="L39" s="1"/>
      <c r="M39" s="24" t="str">
        <f>IFERROR(VLOOKUP(Jan[[#This Row],[Hour]],Shifts[],2,FALSE),"")</f>
        <v/>
      </c>
      <c r="N39" s="2"/>
      <c r="O39" s="24" t="str">
        <f>IFERROR(VLOOKUP(Jan[[#This Row],[BIMS Score]],BIMS[],2,FALSE),"")</f>
        <v/>
      </c>
      <c r="P39" s="3"/>
      <c r="Q39" s="3"/>
      <c r="R39" s="2"/>
      <c r="S39" s="168"/>
      <c r="T39" s="5"/>
      <c r="U39" s="5"/>
      <c r="V39" s="5"/>
    </row>
    <row r="40" spans="1:22" ht="20.85" customHeight="1" x14ac:dyDescent="0.25">
      <c r="A40" s="174"/>
      <c r="B40" s="266"/>
      <c r="C40" s="5"/>
      <c r="D40" s="263"/>
      <c r="E40" s="263"/>
      <c r="F40" s="267"/>
      <c r="G40" s="267"/>
      <c r="H40" s="1"/>
      <c r="I40" s="1"/>
      <c r="J40" s="1"/>
      <c r="K40" s="24" t="str">
        <f>IF(Jan[[#This Row],[Date of Incident]]="","",TEXT(Jan[[#This Row],[Date of Incident]],"ddd"))</f>
        <v/>
      </c>
      <c r="L40" s="1"/>
      <c r="M40" s="24" t="str">
        <f>IFERROR(VLOOKUP(Jan[[#This Row],[Hour]],Shifts[],2,FALSE),"")</f>
        <v/>
      </c>
      <c r="N40" s="2"/>
      <c r="O40" s="24" t="str">
        <f>IFERROR(VLOOKUP(Jan[[#This Row],[BIMS Score]],BIMS[],2,FALSE),"")</f>
        <v/>
      </c>
      <c r="P40" s="3"/>
      <c r="Q40" s="3"/>
      <c r="R40" s="2"/>
      <c r="S40" s="168"/>
      <c r="T40" s="5"/>
      <c r="U40" s="5"/>
      <c r="V40" s="5"/>
    </row>
    <row r="41" spans="1:22" x14ac:dyDescent="0.25">
      <c r="B41" s="26"/>
      <c r="C41" s="21"/>
      <c r="D41" s="22"/>
      <c r="E41" s="23"/>
      <c r="F41" s="26"/>
      <c r="G41" s="26"/>
      <c r="H41" s="26"/>
      <c r="I41" s="26"/>
      <c r="J41" s="26"/>
      <c r="K41" s="26"/>
      <c r="L41" s="26"/>
      <c r="M41" s="26"/>
      <c r="N41" s="20"/>
      <c r="O41" s="25"/>
      <c r="P41" s="21"/>
      <c r="Q41" s="21"/>
      <c r="R41" s="25"/>
    </row>
    <row r="42" spans="1:22" x14ac:dyDescent="0.25">
      <c r="B42" s="26"/>
      <c r="C42" s="21"/>
      <c r="D42" s="22"/>
      <c r="E42" s="23"/>
      <c r="F42" s="26"/>
      <c r="G42" s="26"/>
      <c r="H42" s="26"/>
      <c r="I42" s="26"/>
      <c r="J42" s="26"/>
      <c r="K42" s="26"/>
      <c r="L42" s="26"/>
      <c r="M42" s="26"/>
      <c r="N42" s="20"/>
      <c r="O42" s="25"/>
      <c r="P42" s="21"/>
      <c r="Q42" s="21"/>
      <c r="R42" s="25"/>
    </row>
    <row r="43" spans="1:22" x14ac:dyDescent="0.25">
      <c r="B43" s="26"/>
      <c r="C43" s="21"/>
      <c r="D43" s="22"/>
      <c r="E43" s="23"/>
      <c r="F43" s="26"/>
      <c r="G43" s="26"/>
      <c r="H43" s="26"/>
      <c r="I43" s="26"/>
      <c r="J43" s="26"/>
      <c r="K43" s="26"/>
      <c r="L43" s="26"/>
      <c r="M43" s="26"/>
      <c r="N43" s="20"/>
      <c r="O43" s="25"/>
      <c r="P43" s="21"/>
      <c r="Q43" s="21"/>
      <c r="R43" s="25"/>
    </row>
    <row r="44" spans="1:22" x14ac:dyDescent="0.25">
      <c r="B44" s="26"/>
      <c r="C44" s="21"/>
      <c r="D44" s="22"/>
      <c r="E44" s="23"/>
      <c r="F44" s="26"/>
      <c r="G44" s="26"/>
      <c r="H44" s="26"/>
      <c r="I44" s="26"/>
      <c r="J44" s="26"/>
      <c r="K44" s="26"/>
      <c r="L44" s="26"/>
      <c r="M44" s="26"/>
      <c r="N44" s="20"/>
      <c r="O44" s="25"/>
      <c r="P44" s="21"/>
      <c r="Q44" s="21"/>
      <c r="R44" s="25"/>
    </row>
    <row r="45" spans="1:22" x14ac:dyDescent="0.25">
      <c r="B45" s="26"/>
      <c r="C45" s="21"/>
      <c r="D45" s="22"/>
      <c r="E45" s="23"/>
      <c r="F45" s="26"/>
      <c r="G45" s="26"/>
      <c r="H45" s="26"/>
      <c r="I45" s="26"/>
      <c r="J45" s="26"/>
      <c r="K45" s="26"/>
      <c r="L45" s="26"/>
      <c r="M45" s="26"/>
      <c r="N45" s="20"/>
      <c r="O45" s="25"/>
      <c r="P45" s="21"/>
      <c r="Q45" s="21"/>
      <c r="R45" s="25"/>
    </row>
    <row r="46" spans="1:22" x14ac:dyDescent="0.25">
      <c r="B46" s="26"/>
      <c r="C46" s="21"/>
      <c r="D46" s="22"/>
      <c r="E46" s="23"/>
      <c r="F46" s="26"/>
      <c r="G46" s="26"/>
      <c r="H46" s="26"/>
      <c r="I46" s="26"/>
      <c r="J46" s="26"/>
      <c r="K46" s="26"/>
      <c r="L46" s="26"/>
      <c r="M46" s="26"/>
      <c r="N46" s="20"/>
      <c r="O46" s="25"/>
      <c r="P46" s="21"/>
      <c r="Q46" s="21"/>
      <c r="R46" s="25"/>
    </row>
    <row r="47" spans="1:22" x14ac:dyDescent="0.25">
      <c r="B47" s="26"/>
      <c r="C47" s="21"/>
      <c r="D47" s="22"/>
      <c r="E47" s="23"/>
      <c r="F47" s="26"/>
      <c r="G47" s="26"/>
      <c r="H47" s="26"/>
      <c r="I47" s="26"/>
      <c r="J47" s="26"/>
      <c r="K47" s="26"/>
      <c r="L47" s="26"/>
      <c r="M47" s="26"/>
      <c r="N47" s="20"/>
      <c r="O47" s="25"/>
      <c r="P47" s="21"/>
      <c r="Q47" s="21"/>
      <c r="R47" s="25"/>
    </row>
    <row r="48" spans="1:22" x14ac:dyDescent="0.25">
      <c r="B48" s="26"/>
      <c r="C48" s="21"/>
      <c r="D48" s="22"/>
      <c r="E48" s="23"/>
      <c r="F48" s="26"/>
      <c r="G48" s="26"/>
      <c r="H48" s="26"/>
      <c r="I48" s="26"/>
      <c r="J48" s="26"/>
      <c r="K48" s="26"/>
      <c r="L48" s="26"/>
      <c r="M48" s="26"/>
      <c r="N48" s="20"/>
      <c r="O48" s="25"/>
      <c r="P48" s="21"/>
      <c r="Q48" s="21"/>
      <c r="R48" s="25"/>
    </row>
    <row r="49" spans="1:18" x14ac:dyDescent="0.25">
      <c r="B49" s="26"/>
      <c r="C49" s="21"/>
      <c r="D49" s="22"/>
      <c r="E49" s="23"/>
      <c r="F49" s="26"/>
      <c r="G49" s="26"/>
      <c r="H49" s="26"/>
      <c r="I49" s="26"/>
      <c r="J49" s="26"/>
      <c r="K49" s="26"/>
      <c r="L49" s="26"/>
      <c r="M49" s="26"/>
      <c r="N49" s="20"/>
      <c r="O49" s="25"/>
      <c r="P49" s="21"/>
      <c r="Q49" s="21"/>
      <c r="R49" s="25"/>
    </row>
    <row r="50" spans="1:18" ht="15.75" thickBot="1" x14ac:dyDescent="0.3">
      <c r="B50" s="26"/>
      <c r="C50" s="21"/>
      <c r="D50" s="22"/>
      <c r="E50" s="23"/>
      <c r="F50" s="26"/>
      <c r="G50" s="26"/>
      <c r="H50" s="26"/>
      <c r="I50" s="26"/>
      <c r="Q50" s="21"/>
    </row>
    <row r="51" spans="1:18" ht="22.35" customHeight="1" thickBot="1" x14ac:dyDescent="0.3">
      <c r="B51" s="282" t="s">
        <v>85</v>
      </c>
      <c r="C51" s="283"/>
      <c r="D51" s="284"/>
      <c r="F51" s="282" t="s">
        <v>100</v>
      </c>
      <c r="G51" s="283"/>
      <c r="H51" s="284"/>
    </row>
    <row r="52" spans="1:18" ht="15.6" customHeight="1" x14ac:dyDescent="0.25">
      <c r="B52" s="285" t="s">
        <v>83</v>
      </c>
      <c r="C52" s="286"/>
      <c r="D52" s="28" t="s">
        <v>35</v>
      </c>
      <c r="F52" s="285" t="s">
        <v>83</v>
      </c>
      <c r="G52" s="286"/>
      <c r="H52" s="28" t="s">
        <v>35</v>
      </c>
    </row>
    <row r="53" spans="1:18" x14ac:dyDescent="0.25">
      <c r="B53" s="29" t="s">
        <v>41</v>
      </c>
      <c r="C53" s="30"/>
      <c r="D53" s="31">
        <f>COUNTIFS(Jan[Witnessed
Fall?],$B53)</f>
        <v>0</v>
      </c>
      <c r="F53" s="29" t="s">
        <v>79</v>
      </c>
      <c r="G53" s="30"/>
      <c r="H53" s="31">
        <f>COUNTIFS(Jan[Fall Circumstances],$F53)</f>
        <v>0</v>
      </c>
    </row>
    <row r="54" spans="1:18" ht="15.75" thickBot="1" x14ac:dyDescent="0.3">
      <c r="B54" s="32" t="s">
        <v>42</v>
      </c>
      <c r="C54" s="33"/>
      <c r="D54" s="34">
        <f>COUNTIFS(Jan[Witnessed
Fall?],$B54)</f>
        <v>0</v>
      </c>
      <c r="F54" s="29" t="s">
        <v>101</v>
      </c>
      <c r="G54" s="30"/>
      <c r="H54" s="31">
        <f>COUNTIFS(Jan[Fall Circumstances],$F54)</f>
        <v>0</v>
      </c>
    </row>
    <row r="55" spans="1:18" ht="15.6" customHeight="1" thickBot="1" x14ac:dyDescent="0.3">
      <c r="B55" s="287" t="s">
        <v>16</v>
      </c>
      <c r="C55" s="288"/>
      <c r="D55" s="35">
        <f>SUM(D53:D54)</f>
        <v>0</v>
      </c>
      <c r="F55" s="32" t="s">
        <v>102</v>
      </c>
      <c r="G55" s="33"/>
      <c r="H55" s="36">
        <f>COUNTIFS(Jan[Fall Circumstances],$F55)</f>
        <v>0</v>
      </c>
    </row>
    <row r="56" spans="1:18" ht="15.6" customHeight="1" thickBot="1" x14ac:dyDescent="0.3">
      <c r="A56" s="26"/>
      <c r="B56" s="21"/>
      <c r="C56" s="22"/>
      <c r="D56" s="26"/>
      <c r="F56" s="287" t="s">
        <v>16</v>
      </c>
      <c r="G56" s="288"/>
      <c r="H56" s="37">
        <f>SUM(H53:H55)</f>
        <v>0</v>
      </c>
    </row>
    <row r="57" spans="1:18" ht="15.75" thickBot="1" x14ac:dyDescent="0.3">
      <c r="A57" s="26"/>
      <c r="B57" s="21"/>
      <c r="C57" s="22"/>
      <c r="D57" s="26"/>
      <c r="F57" s="26"/>
      <c r="G57" s="21"/>
      <c r="H57" s="22"/>
      <c r="L57" s="21"/>
      <c r="O57" s="22"/>
    </row>
    <row r="58" spans="1:18" ht="15.75" thickBot="1" x14ac:dyDescent="0.3">
      <c r="A58" s="26"/>
      <c r="B58" s="21"/>
      <c r="C58" s="22"/>
      <c r="D58" s="26"/>
      <c r="F58" s="282" t="s">
        <v>103</v>
      </c>
      <c r="G58" s="283"/>
      <c r="H58" s="284"/>
      <c r="L58" s="21"/>
      <c r="O58" s="22"/>
    </row>
    <row r="59" spans="1:18" x14ac:dyDescent="0.25">
      <c r="A59" s="26"/>
      <c r="B59" s="21"/>
      <c r="C59" s="22"/>
      <c r="D59" s="26"/>
      <c r="F59" s="285" t="s">
        <v>26</v>
      </c>
      <c r="G59" s="286"/>
      <c r="H59" s="28" t="s">
        <v>35</v>
      </c>
      <c r="L59" s="21"/>
      <c r="O59" s="22"/>
    </row>
    <row r="60" spans="1:18" ht="15.6" customHeight="1" x14ac:dyDescent="0.25">
      <c r="F60" s="29" t="s">
        <v>142</v>
      </c>
      <c r="G60" s="30"/>
      <c r="H60" s="31">
        <f>COUNTIFS(Jan[Cognitive Impairment],$F60)</f>
        <v>0</v>
      </c>
    </row>
    <row r="61" spans="1:18" x14ac:dyDescent="0.25">
      <c r="F61" s="29" t="s">
        <v>143</v>
      </c>
      <c r="G61" s="30"/>
      <c r="H61" s="31">
        <f>COUNTIFS(Jan[Cognitive Impairment],$F61)</f>
        <v>0</v>
      </c>
    </row>
    <row r="62" spans="1:18" ht="15.75" thickBot="1" x14ac:dyDescent="0.3">
      <c r="F62" s="32" t="s">
        <v>144</v>
      </c>
      <c r="G62" s="33"/>
      <c r="H62" s="31">
        <f>COUNTIFS(Jan[Cognitive Impairment],$F62)</f>
        <v>0</v>
      </c>
    </row>
    <row r="63" spans="1:18" ht="15.75" thickBot="1" x14ac:dyDescent="0.3">
      <c r="F63" s="287" t="s">
        <v>16</v>
      </c>
      <c r="G63" s="288"/>
      <c r="H63" s="37">
        <f>SUM(H60:H62)</f>
        <v>0</v>
      </c>
    </row>
    <row r="64" spans="1:18" ht="15.75" thickBot="1" x14ac:dyDescent="0.3"/>
    <row r="65" spans="1:8" ht="21.4" customHeight="1" thickBot="1" x14ac:dyDescent="0.3">
      <c r="B65" s="282" t="s">
        <v>78</v>
      </c>
      <c r="C65" s="283"/>
      <c r="D65" s="283"/>
      <c r="E65" s="283"/>
      <c r="F65" s="283"/>
      <c r="G65" s="284"/>
    </row>
    <row r="66" spans="1:8" ht="15.6" customHeight="1" x14ac:dyDescent="0.25">
      <c r="A66" s="38"/>
      <c r="B66" s="290" t="s">
        <v>86</v>
      </c>
      <c r="C66" s="291"/>
      <c r="D66" s="291"/>
      <c r="E66" s="291"/>
      <c r="F66" s="292"/>
      <c r="G66" s="28" t="s">
        <v>35</v>
      </c>
    </row>
    <row r="67" spans="1:8" x14ac:dyDescent="0.25">
      <c r="A67" s="38"/>
      <c r="B67" s="39" t="str" cm="1">
        <f t="array" ref="B67:B90">IF(_xlfn._xlws.SORT(PriortoFall[What was the resident doing prior to fall?],1,1,TRUE)=0,"",(_xlfn._xlws.SORT(PriortoFall[What was the resident doing prior to fall?],1,1,TRUE)))</f>
        <v>Ambulating with assistive device (walker, cane, wheelchair)</v>
      </c>
      <c r="C67" s="40"/>
      <c r="D67" s="40"/>
      <c r="E67" s="40"/>
      <c r="F67" s="41"/>
      <c r="G67" s="42">
        <f>IF($B67="",NA(),COUNTIFS(Jan[What was resident doing prior to fall?],$B67))</f>
        <v>0</v>
      </c>
      <c r="H67" s="43"/>
    </row>
    <row r="68" spans="1:8" x14ac:dyDescent="0.25">
      <c r="A68" s="38"/>
      <c r="B68" s="44" t="str">
        <v>Ambulating with staff assistance</v>
      </c>
      <c r="C68" s="45"/>
      <c r="D68" s="45"/>
      <c r="E68" s="45"/>
      <c r="F68" s="46"/>
      <c r="G68" s="42">
        <f>IF($B68="",NA(),COUNTIFS(Jan[What was resident doing prior to fall?],$B68))</f>
        <v>0</v>
      </c>
    </row>
    <row r="69" spans="1:8" x14ac:dyDescent="0.25">
      <c r="A69" s="38"/>
      <c r="B69" s="39" t="str">
        <v>Ambulating without assistance or assistive device</v>
      </c>
      <c r="C69" s="40"/>
      <c r="D69" s="40"/>
      <c r="E69" s="40"/>
      <c r="F69" s="41"/>
      <c r="G69" s="42">
        <f>IF($B69="",NA(),COUNTIFS(Jan[What was resident doing prior to fall?],$B69))</f>
        <v>0</v>
      </c>
    </row>
    <row r="70" spans="1:8" x14ac:dyDescent="0.25">
      <c r="A70" s="38"/>
      <c r="B70" s="44" t="str">
        <v>Changing position (e.g., in bed, chair)</v>
      </c>
      <c r="C70" s="45"/>
      <c r="D70" s="45"/>
      <c r="E70" s="45"/>
      <c r="F70" s="46"/>
      <c r="G70" s="42">
        <f>IF($B70="",NA(),COUNTIFS(Jan[What was resident doing prior to fall?],$B70))</f>
        <v>0</v>
      </c>
    </row>
    <row r="71" spans="1:8" x14ac:dyDescent="0.25">
      <c r="A71" s="38"/>
      <c r="B71" s="44" t="str">
        <v>Dressing or undressing</v>
      </c>
      <c r="C71" s="45"/>
      <c r="D71" s="45"/>
      <c r="E71" s="45"/>
      <c r="F71" s="46"/>
      <c r="G71" s="42">
        <f>IF($B71="",NA(),COUNTIFS(Jan[What was resident doing prior to fall?],$B71))</f>
        <v>0</v>
      </c>
    </row>
    <row r="72" spans="1:8" x14ac:dyDescent="0.25">
      <c r="A72" s="38"/>
      <c r="B72" s="44" t="str">
        <v>Other activity</v>
      </c>
      <c r="C72" s="45"/>
      <c r="D72" s="45"/>
      <c r="E72" s="45"/>
      <c r="F72" s="46"/>
      <c r="G72" s="42">
        <f>IF($B72="",NA(),COUNTIFS(Jan[What was resident doing prior to fall?],$B72))</f>
        <v>0</v>
      </c>
    </row>
    <row r="73" spans="1:8" x14ac:dyDescent="0.25">
      <c r="A73" s="38"/>
      <c r="B73" s="44" t="str">
        <v>Reaching for an item</v>
      </c>
      <c r="C73" s="45"/>
      <c r="D73" s="45"/>
      <c r="E73" s="45"/>
      <c r="F73" s="46"/>
      <c r="G73" s="42">
        <f>IF($B73="",NA(),COUNTIFS(Jan[What was resident doing prior to fall?],$B73))</f>
        <v>0</v>
      </c>
    </row>
    <row r="74" spans="1:8" x14ac:dyDescent="0.25">
      <c r="A74" s="38"/>
      <c r="B74" s="44" t="str">
        <v>Showering or bathing</v>
      </c>
      <c r="C74" s="45"/>
      <c r="D74" s="45"/>
      <c r="E74" s="45"/>
      <c r="F74" s="46"/>
      <c r="G74" s="42">
        <f>IF($B74="",NA(),COUNTIFS(Jan[What was resident doing prior to fall?],$B74))</f>
        <v>0</v>
      </c>
    </row>
    <row r="75" spans="1:8" x14ac:dyDescent="0.25">
      <c r="A75" s="38"/>
      <c r="B75" s="44" t="str">
        <v>Toileting</v>
      </c>
      <c r="C75" s="45"/>
      <c r="D75" s="45"/>
      <c r="E75" s="45"/>
      <c r="F75" s="46"/>
      <c r="G75" s="42">
        <f>IF($B75="",NA(),COUNTIFS(Jan[What was resident doing prior to fall?],$B75))</f>
        <v>0</v>
      </c>
    </row>
    <row r="76" spans="1:8" x14ac:dyDescent="0.25">
      <c r="A76" s="38"/>
      <c r="B76" s="44" t="str">
        <v>Transferring to or from bed, chair, wheelchair, etc.</v>
      </c>
      <c r="C76" s="45"/>
      <c r="D76" s="45"/>
      <c r="E76" s="45"/>
      <c r="F76" s="46"/>
      <c r="G76" s="42">
        <f>IF($B76="",NA(),COUNTIFS(Jan[What was resident doing prior to fall?],$B76))</f>
        <v>0</v>
      </c>
    </row>
    <row r="77" spans="1:8" x14ac:dyDescent="0.25">
      <c r="A77" s="38"/>
      <c r="B77" s="39" t="str">
        <v>Unknown</v>
      </c>
      <c r="C77" s="40"/>
      <c r="D77" s="40"/>
      <c r="E77" s="40"/>
      <c r="F77" s="41"/>
      <c r="G77" s="42">
        <f>IF($B77="",NA(),COUNTIFS(Jan[What was resident doing prior to fall?],$B77))</f>
        <v>0</v>
      </c>
    </row>
    <row r="78" spans="1:8" x14ac:dyDescent="0.25">
      <c r="A78" s="38"/>
      <c r="B78" s="44" t="str">
        <v/>
      </c>
      <c r="C78" s="45"/>
      <c r="D78" s="45"/>
      <c r="E78" s="45"/>
      <c r="F78" s="46"/>
      <c r="G78" s="42" t="e">
        <f>IF($B78="",NA(),COUNTIFS(Jan[What was resident doing prior to fall?],$B78))</f>
        <v>#N/A</v>
      </c>
    </row>
    <row r="79" spans="1:8" x14ac:dyDescent="0.25">
      <c r="A79" s="38"/>
      <c r="B79" s="39" t="str">
        <v/>
      </c>
      <c r="C79" s="40"/>
      <c r="D79" s="40"/>
      <c r="E79" s="40"/>
      <c r="F79" s="41"/>
      <c r="G79" s="42" t="e">
        <f>IF($B79="",NA(),COUNTIFS(Jan[What was resident doing prior to fall?],$B79))</f>
        <v>#N/A</v>
      </c>
    </row>
    <row r="80" spans="1:8" x14ac:dyDescent="0.25">
      <c r="A80" s="38"/>
      <c r="B80" s="44" t="str">
        <v/>
      </c>
      <c r="C80" s="45"/>
      <c r="D80" s="45"/>
      <c r="E80" s="45"/>
      <c r="F80" s="46"/>
      <c r="G80" s="42" t="e">
        <f>IF($B80="",NA(),COUNTIFS(Jan[What was resident doing prior to fall?],$B80))</f>
        <v>#N/A</v>
      </c>
    </row>
    <row r="81" spans="1:7" x14ac:dyDescent="0.25">
      <c r="A81" s="38"/>
      <c r="B81" s="39" t="str">
        <v/>
      </c>
      <c r="C81" s="40"/>
      <c r="D81" s="40"/>
      <c r="E81" s="40"/>
      <c r="F81" s="41"/>
      <c r="G81" s="42" t="e">
        <f>IF($B81="",NA(),COUNTIFS(Jan[What was resident doing prior to fall?],$B81))</f>
        <v>#N/A</v>
      </c>
    </row>
    <row r="82" spans="1:7" x14ac:dyDescent="0.25">
      <c r="A82" s="38"/>
      <c r="B82" s="44" t="str">
        <v/>
      </c>
      <c r="C82" s="45"/>
      <c r="D82" s="45"/>
      <c r="E82" s="45"/>
      <c r="F82" s="46"/>
      <c r="G82" s="42" t="e">
        <f>IF($B82="",NA(),COUNTIFS(Jan[What was resident doing prior to fall?],$B82))</f>
        <v>#N/A</v>
      </c>
    </row>
    <row r="83" spans="1:7" x14ac:dyDescent="0.25">
      <c r="A83" s="38"/>
      <c r="B83" s="39" t="str">
        <v/>
      </c>
      <c r="C83" s="40"/>
      <c r="D83" s="40"/>
      <c r="E83" s="40"/>
      <c r="F83" s="41"/>
      <c r="G83" s="42" t="e">
        <f>IF($B83="",NA(),COUNTIFS(Jan[What was resident doing prior to fall?],$B83))</f>
        <v>#N/A</v>
      </c>
    </row>
    <row r="84" spans="1:7" x14ac:dyDescent="0.25">
      <c r="A84" s="38"/>
      <c r="B84" s="44" t="str">
        <v/>
      </c>
      <c r="C84" s="45"/>
      <c r="D84" s="45"/>
      <c r="E84" s="45"/>
      <c r="F84" s="46"/>
      <c r="G84" s="42" t="e">
        <f>IF($B84="",NA(),COUNTIFS(Jan[What was resident doing prior to fall?],$B84))</f>
        <v>#N/A</v>
      </c>
    </row>
    <row r="85" spans="1:7" x14ac:dyDescent="0.25">
      <c r="A85" s="38"/>
      <c r="B85" s="44" t="str">
        <v/>
      </c>
      <c r="C85" s="45"/>
      <c r="D85" s="45"/>
      <c r="E85" s="45"/>
      <c r="F85" s="46"/>
      <c r="G85" s="42" t="e">
        <f>IF($B85="",NA(),COUNTIFS(Jan[What was resident doing prior to fall?],$B85))</f>
        <v>#N/A</v>
      </c>
    </row>
    <row r="86" spans="1:7" x14ac:dyDescent="0.25">
      <c r="A86" s="38"/>
      <c r="B86" s="39" t="str">
        <v/>
      </c>
      <c r="C86" s="40"/>
      <c r="D86" s="40"/>
      <c r="E86" s="40"/>
      <c r="F86" s="41"/>
      <c r="G86" s="42" t="e">
        <f>IF($B86="",NA(),COUNTIFS(Jan[What was resident doing prior to fall?],$B86))</f>
        <v>#N/A</v>
      </c>
    </row>
    <row r="87" spans="1:7" x14ac:dyDescent="0.25">
      <c r="A87" s="38"/>
      <c r="B87" s="44" t="str">
        <v/>
      </c>
      <c r="C87" s="45"/>
      <c r="D87" s="45"/>
      <c r="E87" s="45"/>
      <c r="F87" s="46"/>
      <c r="G87" s="42" t="e">
        <f>IF($B87="",NA(),COUNTIFS(Jan[What was resident doing prior to fall?],$B87))</f>
        <v>#N/A</v>
      </c>
    </row>
    <row r="88" spans="1:7" x14ac:dyDescent="0.25">
      <c r="A88" s="38"/>
      <c r="B88" s="39" t="str">
        <v/>
      </c>
      <c r="C88" s="40"/>
      <c r="D88" s="40"/>
      <c r="E88" s="40"/>
      <c r="F88" s="41"/>
      <c r="G88" s="42" t="e">
        <f>IF($B88="",NA(),COUNTIFS(Jan[What was resident doing prior to fall?],$B88))</f>
        <v>#N/A</v>
      </c>
    </row>
    <row r="89" spans="1:7" x14ac:dyDescent="0.25">
      <c r="A89" s="38"/>
      <c r="B89" s="44" t="str">
        <v/>
      </c>
      <c r="C89" s="45"/>
      <c r="D89" s="45"/>
      <c r="E89" s="45"/>
      <c r="F89" s="46"/>
      <c r="G89" s="42" t="e">
        <f>IF($B89="",NA(),COUNTIFS(Jan[What was resident doing prior to fall?],$B89))</f>
        <v>#N/A</v>
      </c>
    </row>
    <row r="90" spans="1:7" ht="15.75" thickBot="1" x14ac:dyDescent="0.3">
      <c r="A90" s="38"/>
      <c r="B90" s="47" t="str">
        <v/>
      </c>
      <c r="C90" s="47"/>
      <c r="D90" s="47"/>
      <c r="E90" s="47"/>
      <c r="F90" s="48"/>
      <c r="G90" s="42" t="e">
        <f>IF($B90="",NA(),COUNTIFS(Jan[What was resident doing prior to fall?],$B90))</f>
        <v>#N/A</v>
      </c>
    </row>
    <row r="91" spans="1:7" ht="15.6" customHeight="1" thickBot="1" x14ac:dyDescent="0.3">
      <c r="B91" s="287" t="s">
        <v>35</v>
      </c>
      <c r="C91" s="288"/>
      <c r="D91" s="288"/>
      <c r="E91" s="288"/>
      <c r="F91" s="289"/>
      <c r="G91" s="37">
        <f>_xlfn.AGGREGATE(9,6,G67:G90)</f>
        <v>0</v>
      </c>
    </row>
    <row r="92" spans="1:7" ht="15.75" thickBot="1" x14ac:dyDescent="0.3"/>
    <row r="93" spans="1:7" ht="22.35" customHeight="1" thickBot="1" x14ac:dyDescent="0.3">
      <c r="B93" s="295" t="str">
        <f>"Falls by Location"</f>
        <v>Falls by Location</v>
      </c>
      <c r="C93" s="296"/>
      <c r="D93" s="297"/>
    </row>
    <row r="94" spans="1:7" x14ac:dyDescent="0.25">
      <c r="A94" s="38"/>
      <c r="B94" s="300" t="s">
        <v>1</v>
      </c>
      <c r="C94" s="301"/>
      <c r="D94" s="49" t="s">
        <v>35</v>
      </c>
    </row>
    <row r="95" spans="1:7" x14ac:dyDescent="0.25">
      <c r="A95" s="38"/>
      <c r="B95" s="50" t="str" cm="1">
        <f t="array" ref="B95:B105">IF(_xlfn._xlws.SORT(Location[Location],1,1,TRUE)=0,"",(_xlfn._xlws.SORT(Location[Location],1,1,TRUE)))</f>
        <v>Activity Room</v>
      </c>
      <c r="C95" s="51"/>
      <c r="D95" s="52">
        <f>IF($B95="",NA(),COUNTIFS(Jan[Location],$B95))</f>
        <v>0</v>
      </c>
    </row>
    <row r="96" spans="1:7" x14ac:dyDescent="0.25">
      <c r="A96" s="38"/>
      <c r="B96" s="50" t="str">
        <v>Bedroom</v>
      </c>
      <c r="C96" s="51"/>
      <c r="D96" s="52">
        <f>IF($B96="",NA(),COUNTIFS(Jan[Location],$B96))</f>
        <v>0</v>
      </c>
    </row>
    <row r="97" spans="1:4" x14ac:dyDescent="0.25">
      <c r="A97" s="38"/>
      <c r="B97" s="50" t="str">
        <v>Bathroom</v>
      </c>
      <c r="C97" s="51"/>
      <c r="D97" s="52">
        <f>IF($B97="",NA(),COUNTIFS(Jan[Location],$B97))</f>
        <v>0</v>
      </c>
    </row>
    <row r="98" spans="1:4" x14ac:dyDescent="0.25">
      <c r="A98" s="38"/>
      <c r="B98" s="50" t="str">
        <v>Hallway</v>
      </c>
      <c r="C98" s="51"/>
      <c r="D98" s="52">
        <f>IF($B98="",NA(),COUNTIFS(Jan[Location],$B98))</f>
        <v>0</v>
      </c>
    </row>
    <row r="99" spans="1:4" x14ac:dyDescent="0.25">
      <c r="A99" s="38"/>
      <c r="B99" s="50" t="str">
        <v>Offsite</v>
      </c>
      <c r="C99" s="51"/>
      <c r="D99" s="52">
        <f>IF($B99="",NA(),COUNTIFS(Jan[Location],$B99))</f>
        <v>0</v>
      </c>
    </row>
    <row r="100" spans="1:4" x14ac:dyDescent="0.25">
      <c r="A100" s="38"/>
      <c r="B100" s="53" t="str">
        <v>Shower Room</v>
      </c>
      <c r="C100" s="54"/>
      <c r="D100" s="52">
        <f>IF($B100="",NA(),COUNTIFS(Jan[Location],$B100))</f>
        <v>0</v>
      </c>
    </row>
    <row r="101" spans="1:4" x14ac:dyDescent="0.25">
      <c r="A101" s="38"/>
      <c r="B101" s="55" t="str">
        <v>Dining Room</v>
      </c>
      <c r="C101" s="56"/>
      <c r="D101" s="52">
        <f>IF($B101="",NA(),COUNTIFS(Jan[Location],$B101))</f>
        <v>0</v>
      </c>
    </row>
    <row r="102" spans="1:4" x14ac:dyDescent="0.25">
      <c r="A102" s="38"/>
      <c r="B102" s="57" t="str">
        <v/>
      </c>
      <c r="C102" s="58"/>
      <c r="D102" s="52" t="e">
        <f>IF($B102="",NA(),COUNTIFS(Jan[Location],$B102))</f>
        <v>#N/A</v>
      </c>
    </row>
    <row r="103" spans="1:4" x14ac:dyDescent="0.25">
      <c r="A103" s="38"/>
      <c r="B103" s="59" t="str">
        <v/>
      </c>
      <c r="C103" s="51"/>
      <c r="D103" s="52" t="e">
        <f>IF($B103="",NA(),COUNTIFS(Jan[Location],$B103))</f>
        <v>#N/A</v>
      </c>
    </row>
    <row r="104" spans="1:4" x14ac:dyDescent="0.25">
      <c r="A104" s="38"/>
      <c r="B104" s="53" t="str">
        <v/>
      </c>
      <c r="C104" s="60"/>
      <c r="D104" s="52" t="e">
        <f>IF($B104="",NA(),COUNTIFS(Jan[Location],$B104))</f>
        <v>#N/A</v>
      </c>
    </row>
    <row r="105" spans="1:4" ht="15.75" thickBot="1" x14ac:dyDescent="0.3">
      <c r="A105" s="38"/>
      <c r="B105" s="59" t="str">
        <v/>
      </c>
      <c r="C105" s="61"/>
      <c r="D105" s="52" t="e">
        <f>IF($B105="",NA(),COUNTIFS(Jan[Location],$B105))</f>
        <v>#N/A</v>
      </c>
    </row>
    <row r="106" spans="1:4" ht="15.75" thickBot="1" x14ac:dyDescent="0.3">
      <c r="B106" s="298" t="s">
        <v>16</v>
      </c>
      <c r="C106" s="299"/>
      <c r="D106" s="37">
        <f>_xlfn.AGGREGATE(9,6,D95:D105)</f>
        <v>0</v>
      </c>
    </row>
    <row r="107" spans="1:4" ht="15.75" thickBot="1" x14ac:dyDescent="0.3"/>
    <row r="108" spans="1:4" ht="21.4" customHeight="1" thickBot="1" x14ac:dyDescent="0.3">
      <c r="B108" s="282" t="str">
        <f>"Falls by Nursing Station "</f>
        <v xml:space="preserve">Falls by Nursing Station </v>
      </c>
      <c r="C108" s="283"/>
      <c r="D108" s="284"/>
    </row>
    <row r="109" spans="1:4" ht="15.75" x14ac:dyDescent="0.25">
      <c r="B109" s="293" t="s">
        <v>2</v>
      </c>
      <c r="C109" s="293"/>
      <c r="D109" s="28" t="s">
        <v>35</v>
      </c>
    </row>
    <row r="110" spans="1:4" x14ac:dyDescent="0.25">
      <c r="B110" s="62" cm="1">
        <f t="array" ref="B110:B120">IF(_xlfn._xlws.SORT(NS[Nurses Stations],1,1,TRUE)=0,"",(_xlfn._xlws.SORT(NS[Nurses Stations],1,1,TRUE)))</f>
        <v>1</v>
      </c>
      <c r="C110" s="63"/>
      <c r="D110" s="31">
        <f>IF($B110="",NA(),COUNTIFS(Jan[Station],$B110))</f>
        <v>0</v>
      </c>
    </row>
    <row r="111" spans="1:4" x14ac:dyDescent="0.25">
      <c r="B111" s="62">
        <v>2</v>
      </c>
      <c r="C111" s="63"/>
      <c r="D111" s="31">
        <f>IF($B111="",NA(),COUNTIFS(Jan[Station],$B111))</f>
        <v>0</v>
      </c>
    </row>
    <row r="112" spans="1:4" x14ac:dyDescent="0.25">
      <c r="B112" s="62">
        <v>3</v>
      </c>
      <c r="C112" s="63"/>
      <c r="D112" s="31">
        <f>IF($B112="",NA(),COUNTIFS(Jan[Station],$B112))</f>
        <v>0</v>
      </c>
    </row>
    <row r="113" spans="2:4" x14ac:dyDescent="0.25">
      <c r="B113" s="62">
        <v>4</v>
      </c>
      <c r="C113" s="63"/>
      <c r="D113" s="31">
        <f>IF($B113="",NA(),COUNTIFS(Jan[Station],$B113))</f>
        <v>0</v>
      </c>
    </row>
    <row r="114" spans="2:4" x14ac:dyDescent="0.25">
      <c r="B114" s="62">
        <v>5</v>
      </c>
      <c r="C114" s="63"/>
      <c r="D114" s="31">
        <f>IF($B114="",NA(),COUNTIFS(Jan[Station],$B114))</f>
        <v>0</v>
      </c>
    </row>
    <row r="115" spans="2:4" x14ac:dyDescent="0.25">
      <c r="B115" s="62" t="str">
        <v/>
      </c>
      <c r="C115" s="63"/>
      <c r="D115" s="31" t="e">
        <f>IF($B115="",NA(),COUNTIFS(Jan[Station],$B115))</f>
        <v>#N/A</v>
      </c>
    </row>
    <row r="116" spans="2:4" x14ac:dyDescent="0.25">
      <c r="B116" s="62" t="str">
        <v/>
      </c>
      <c r="C116" s="63"/>
      <c r="D116" s="31" t="e">
        <f>IF($B116="",NA(),COUNTIFS(Jan[Station],$B116))</f>
        <v>#N/A</v>
      </c>
    </row>
    <row r="117" spans="2:4" x14ac:dyDescent="0.25">
      <c r="B117" s="62" t="str">
        <v/>
      </c>
      <c r="C117" s="63"/>
      <c r="D117" s="31" t="e">
        <f>IF($B117="",NA(),COUNTIFS(Jan[Station],$B117))</f>
        <v>#N/A</v>
      </c>
    </row>
    <row r="118" spans="2:4" x14ac:dyDescent="0.25">
      <c r="B118" s="62" t="str">
        <v/>
      </c>
      <c r="C118" s="63"/>
      <c r="D118" s="31" t="e">
        <f>IF($B118="",NA(),COUNTIFS(Jan[Station],$B118))</f>
        <v>#N/A</v>
      </c>
    </row>
    <row r="119" spans="2:4" x14ac:dyDescent="0.25">
      <c r="B119" s="62" t="str">
        <v/>
      </c>
      <c r="C119" s="63"/>
      <c r="D119" s="31" t="e">
        <f>IF($B119="",NA(),COUNTIFS(Jan[Station],$B119))</f>
        <v>#N/A</v>
      </c>
    </row>
    <row r="120" spans="2:4" ht="15.75" thickBot="1" x14ac:dyDescent="0.3">
      <c r="B120" s="64" t="str">
        <v/>
      </c>
      <c r="C120" s="63"/>
      <c r="D120" s="31" t="e">
        <f>IF($B120="",NA(),COUNTIFS(Jan[Station],$B120))</f>
        <v>#N/A</v>
      </c>
    </row>
    <row r="121" spans="2:4" ht="15.6" customHeight="1" thickBot="1" x14ac:dyDescent="0.3">
      <c r="B121" s="287" t="s">
        <v>16</v>
      </c>
      <c r="C121" s="288"/>
      <c r="D121" s="37">
        <f>_xlfn.AGGREGATE(9,6,D110:D120)</f>
        <v>0</v>
      </c>
    </row>
    <row r="122" spans="2:4" ht="15.6" customHeight="1" thickBot="1" x14ac:dyDescent="0.3">
      <c r="B122" s="65"/>
      <c r="C122" s="66"/>
      <c r="D122" s="67"/>
    </row>
    <row r="123" spans="2:4" ht="21.95" customHeight="1" thickBot="1" x14ac:dyDescent="0.3">
      <c r="B123" s="282" t="str">
        <f>"Falls by Day of the Week "</f>
        <v xml:space="preserve">Falls by Day of the Week </v>
      </c>
      <c r="C123" s="283"/>
      <c r="D123" s="284"/>
    </row>
    <row r="124" spans="2:4" ht="15.75" x14ac:dyDescent="0.25">
      <c r="B124" s="293" t="s">
        <v>3</v>
      </c>
      <c r="C124" s="293"/>
      <c r="D124" s="28" t="s">
        <v>35</v>
      </c>
    </row>
    <row r="125" spans="2:4" x14ac:dyDescent="0.25">
      <c r="B125" s="294" t="s">
        <v>46</v>
      </c>
      <c r="C125" s="294"/>
      <c r="D125" s="31">
        <f>COUNTIFS(Jan[Day],$B125)</f>
        <v>0</v>
      </c>
    </row>
    <row r="126" spans="2:4" x14ac:dyDescent="0.25">
      <c r="B126" s="294" t="s">
        <v>47</v>
      </c>
      <c r="C126" s="294"/>
      <c r="D126" s="31">
        <f>COUNTIFS(Jan[Day],$B126)</f>
        <v>0</v>
      </c>
    </row>
    <row r="127" spans="2:4" x14ac:dyDescent="0.25">
      <c r="B127" s="294" t="s">
        <v>52</v>
      </c>
      <c r="C127" s="294"/>
      <c r="D127" s="31">
        <f>COUNTIFS(Jan[Day],$B127)</f>
        <v>0</v>
      </c>
    </row>
    <row r="128" spans="2:4" x14ac:dyDescent="0.25">
      <c r="B128" s="294" t="s">
        <v>48</v>
      </c>
      <c r="C128" s="294"/>
      <c r="D128" s="31">
        <f>COUNTIFS(Jan[Day],$B128)</f>
        <v>0</v>
      </c>
    </row>
    <row r="129" spans="2:4" x14ac:dyDescent="0.25">
      <c r="B129" s="294" t="s">
        <v>51</v>
      </c>
      <c r="C129" s="294"/>
      <c r="D129" s="31">
        <f>COUNTIFS(Jan[Day],$B129)</f>
        <v>0</v>
      </c>
    </row>
    <row r="130" spans="2:4" x14ac:dyDescent="0.25">
      <c r="B130" s="294" t="s">
        <v>49</v>
      </c>
      <c r="C130" s="294"/>
      <c r="D130" s="31">
        <f>COUNTIFS(Jan[Day],$B130)</f>
        <v>0</v>
      </c>
    </row>
    <row r="131" spans="2:4" ht="15.75" thickBot="1" x14ac:dyDescent="0.3">
      <c r="B131" s="294" t="s">
        <v>50</v>
      </c>
      <c r="C131" s="294"/>
      <c r="D131" s="34">
        <f>COUNTIFS(Jan[Day],$B131)</f>
        <v>0</v>
      </c>
    </row>
    <row r="132" spans="2:4" ht="15.6" customHeight="1" thickBot="1" x14ac:dyDescent="0.3">
      <c r="B132" s="287" t="s">
        <v>16</v>
      </c>
      <c r="C132" s="288"/>
      <c r="D132" s="37">
        <f>_xlfn.AGGREGATE(9,6,D125:D131)</f>
        <v>0</v>
      </c>
    </row>
    <row r="133" spans="2:4" ht="15.75" thickBot="1" x14ac:dyDescent="0.3"/>
    <row r="134" spans="2:4" ht="21.4" customHeight="1" thickBot="1" x14ac:dyDescent="0.3">
      <c r="B134" s="282" t="str">
        <f>"Falls by Shift"</f>
        <v>Falls by Shift</v>
      </c>
      <c r="C134" s="283"/>
      <c r="D134" s="284"/>
    </row>
    <row r="135" spans="2:4" ht="15.75" x14ac:dyDescent="0.25">
      <c r="B135" s="293" t="s">
        <v>34</v>
      </c>
      <c r="C135" s="293"/>
      <c r="D135" s="28" t="s">
        <v>35</v>
      </c>
    </row>
    <row r="136" spans="2:4" x14ac:dyDescent="0.25">
      <c r="B136" s="29" t="str" cm="1">
        <f t="array" ref="B136:B140">IF(_xlfn._xlws.SORT('Data Validation'!P3:P7,1,1,TRUE)=0,"",(_xlfn._xlws.SORT('Data Validation'!P3:P7,1,1,TRUE)))</f>
        <v>11-7</v>
      </c>
      <c r="C136" s="58"/>
      <c r="D136" s="31">
        <f>IF($B136="",NA(),COUNTIFS(Jan[Shift],$B136))</f>
        <v>0</v>
      </c>
    </row>
    <row r="137" spans="2:4" x14ac:dyDescent="0.25">
      <c r="B137" s="29" t="str">
        <v>11–7</v>
      </c>
      <c r="C137" s="58"/>
      <c r="D137" s="31">
        <f>IF($B137="",NA(),COUNTIFS(Jan[Shift],$B137))</f>
        <v>0</v>
      </c>
    </row>
    <row r="138" spans="2:4" x14ac:dyDescent="0.25">
      <c r="B138" s="29" t="str">
        <v>7–3</v>
      </c>
      <c r="C138" s="58"/>
      <c r="D138" s="31">
        <f>IF($B138="",NA(),COUNTIFS(Jan[Shift],$B138))</f>
        <v>0</v>
      </c>
    </row>
    <row r="139" spans="2:4" x14ac:dyDescent="0.25">
      <c r="B139" s="29" t="str">
        <v>3–11</v>
      </c>
      <c r="C139" s="58"/>
      <c r="D139" s="31">
        <f>IF($B139="",NA(),COUNTIFS(Jan[Shift],$B139))</f>
        <v>0</v>
      </c>
    </row>
    <row r="140" spans="2:4" ht="15.75" thickBot="1" x14ac:dyDescent="0.3">
      <c r="B140" s="29" t="str">
        <v/>
      </c>
      <c r="C140" s="68"/>
      <c r="D140" s="34" t="e">
        <f>IF($B140="",NA(),COUNTIFS(Jan[Shift],$B140))</f>
        <v>#N/A</v>
      </c>
    </row>
    <row r="141" spans="2:4" ht="15.75" thickBot="1" x14ac:dyDescent="0.3">
      <c r="B141" s="287" t="s">
        <v>16</v>
      </c>
      <c r="C141" s="288"/>
      <c r="D141" s="35">
        <f>_xlfn.AGGREGATE(9,6,D136:D140)</f>
        <v>0</v>
      </c>
    </row>
    <row r="142" spans="2:4" ht="15.75" thickBot="1" x14ac:dyDescent="0.3"/>
    <row r="143" spans="2:4" ht="21.4" customHeight="1" thickBot="1" x14ac:dyDescent="0.3">
      <c r="B143" s="282" t="str">
        <f>"Falls by Hour "</f>
        <v xml:space="preserve">Falls by Hour </v>
      </c>
      <c r="C143" s="283"/>
      <c r="D143" s="284"/>
    </row>
    <row r="144" spans="2:4" ht="15.75" x14ac:dyDescent="0.25">
      <c r="B144" s="293" t="s">
        <v>33</v>
      </c>
      <c r="C144" s="293"/>
      <c r="D144" s="28" t="s">
        <v>35</v>
      </c>
    </row>
    <row r="145" spans="2:4" x14ac:dyDescent="0.25">
      <c r="B145" s="294" t="s">
        <v>115</v>
      </c>
      <c r="C145" s="294"/>
      <c r="D145" s="31">
        <f>COUNTIFS(Jan[Hour],$B145)</f>
        <v>0</v>
      </c>
    </row>
    <row r="146" spans="2:4" x14ac:dyDescent="0.25">
      <c r="B146" s="294" t="s">
        <v>116</v>
      </c>
      <c r="C146" s="294"/>
      <c r="D146" s="31">
        <f>COUNTIFS(Jan[Hour],$B146)</f>
        <v>0</v>
      </c>
    </row>
    <row r="147" spans="2:4" x14ac:dyDescent="0.25">
      <c r="B147" s="294" t="s">
        <v>117</v>
      </c>
      <c r="C147" s="294"/>
      <c r="D147" s="31">
        <f>COUNTIFS(Jan[Hour],$B147)</f>
        <v>0</v>
      </c>
    </row>
    <row r="148" spans="2:4" x14ac:dyDescent="0.25">
      <c r="B148" s="294" t="s">
        <v>118</v>
      </c>
      <c r="C148" s="294"/>
      <c r="D148" s="31">
        <f>COUNTIFS(Jan[Hour],$B148)</f>
        <v>0</v>
      </c>
    </row>
    <row r="149" spans="2:4" x14ac:dyDescent="0.25">
      <c r="B149" s="294" t="s">
        <v>119</v>
      </c>
      <c r="C149" s="294"/>
      <c r="D149" s="31">
        <f>COUNTIFS(Jan[Hour],$B149)</f>
        <v>0</v>
      </c>
    </row>
    <row r="150" spans="2:4" x14ac:dyDescent="0.25">
      <c r="B150" s="294" t="s">
        <v>120</v>
      </c>
      <c r="C150" s="294"/>
      <c r="D150" s="31">
        <f>COUNTIFS(Jan[Hour],$B150)</f>
        <v>0</v>
      </c>
    </row>
    <row r="151" spans="2:4" x14ac:dyDescent="0.25">
      <c r="B151" s="294" t="s">
        <v>121</v>
      </c>
      <c r="C151" s="294"/>
      <c r="D151" s="31">
        <f>COUNTIFS(Jan[Hour],$B151)</f>
        <v>0</v>
      </c>
    </row>
    <row r="152" spans="2:4" x14ac:dyDescent="0.25">
      <c r="B152" s="294" t="s">
        <v>122</v>
      </c>
      <c r="C152" s="294"/>
      <c r="D152" s="31">
        <f>COUNTIFS(Jan[Hour],$B152)</f>
        <v>0</v>
      </c>
    </row>
    <row r="153" spans="2:4" x14ac:dyDescent="0.25">
      <c r="B153" s="294" t="s">
        <v>123</v>
      </c>
      <c r="C153" s="294"/>
      <c r="D153" s="31">
        <f>COUNTIFS(Jan[Hour],$B153)</f>
        <v>0</v>
      </c>
    </row>
    <row r="154" spans="2:4" x14ac:dyDescent="0.25">
      <c r="B154" s="294" t="s">
        <v>124</v>
      </c>
      <c r="C154" s="294"/>
      <c r="D154" s="31">
        <f>COUNTIFS(Jan[Hour],$B154)</f>
        <v>0</v>
      </c>
    </row>
    <row r="155" spans="2:4" x14ac:dyDescent="0.25">
      <c r="B155" s="294" t="s">
        <v>125</v>
      </c>
      <c r="C155" s="294"/>
      <c r="D155" s="31">
        <f>COUNTIFS(Jan[Hour],$B155)</f>
        <v>0</v>
      </c>
    </row>
    <row r="156" spans="2:4" x14ac:dyDescent="0.25">
      <c r="B156" s="294" t="s">
        <v>126</v>
      </c>
      <c r="C156" s="294"/>
      <c r="D156" s="31">
        <f>COUNTIFS(Jan[Hour],$B156)</f>
        <v>0</v>
      </c>
    </row>
    <row r="157" spans="2:4" x14ac:dyDescent="0.25">
      <c r="B157" s="294" t="s">
        <v>127</v>
      </c>
      <c r="C157" s="294"/>
      <c r="D157" s="31">
        <f>COUNTIFS(Jan[Hour],$B157)</f>
        <v>0</v>
      </c>
    </row>
    <row r="158" spans="2:4" x14ac:dyDescent="0.25">
      <c r="B158" s="294" t="s">
        <v>128</v>
      </c>
      <c r="C158" s="294"/>
      <c r="D158" s="31">
        <f>COUNTIFS(Jan[Hour],$B158)</f>
        <v>0</v>
      </c>
    </row>
    <row r="159" spans="2:4" x14ac:dyDescent="0.25">
      <c r="B159" s="294" t="s">
        <v>129</v>
      </c>
      <c r="C159" s="294"/>
      <c r="D159" s="31">
        <f>COUNTIFS(Jan[Hour],$B159)</f>
        <v>0</v>
      </c>
    </row>
    <row r="160" spans="2:4" x14ac:dyDescent="0.25">
      <c r="B160" s="294" t="s">
        <v>130</v>
      </c>
      <c r="C160" s="294"/>
      <c r="D160" s="31">
        <f>COUNTIFS(Jan[Hour],$B160)</f>
        <v>0</v>
      </c>
    </row>
    <row r="161" spans="1:8" x14ac:dyDescent="0.25">
      <c r="B161" s="294" t="s">
        <v>131</v>
      </c>
      <c r="C161" s="294"/>
      <c r="D161" s="31">
        <f>COUNTIFS(Jan[Hour],$B161)</f>
        <v>0</v>
      </c>
    </row>
    <row r="162" spans="1:8" x14ac:dyDescent="0.25">
      <c r="B162" s="294" t="s">
        <v>132</v>
      </c>
      <c r="C162" s="294"/>
      <c r="D162" s="31">
        <f>COUNTIFS(Jan[Hour],$B162)</f>
        <v>0</v>
      </c>
    </row>
    <row r="163" spans="1:8" x14ac:dyDescent="0.25">
      <c r="B163" s="294" t="s">
        <v>133</v>
      </c>
      <c r="C163" s="294"/>
      <c r="D163" s="31">
        <f>COUNTIFS(Jan[Hour],$B163)</f>
        <v>0</v>
      </c>
    </row>
    <row r="164" spans="1:8" x14ac:dyDescent="0.25">
      <c r="B164" s="294" t="s">
        <v>134</v>
      </c>
      <c r="C164" s="294"/>
      <c r="D164" s="31">
        <f>COUNTIFS(Jan[Hour],$B164)</f>
        <v>0</v>
      </c>
    </row>
    <row r="165" spans="1:8" x14ac:dyDescent="0.25">
      <c r="B165" s="294" t="s">
        <v>135</v>
      </c>
      <c r="C165" s="294"/>
      <c r="D165" s="31">
        <f>COUNTIFS(Jan[Hour],$B165)</f>
        <v>0</v>
      </c>
    </row>
    <row r="166" spans="1:8" x14ac:dyDescent="0.25">
      <c r="B166" s="294" t="s">
        <v>136</v>
      </c>
      <c r="C166" s="294"/>
      <c r="D166" s="31">
        <f>COUNTIFS(Jan[Hour],$B166)</f>
        <v>0</v>
      </c>
    </row>
    <row r="167" spans="1:8" x14ac:dyDescent="0.25">
      <c r="B167" s="294" t="s">
        <v>137</v>
      </c>
      <c r="C167" s="294"/>
      <c r="D167" s="31">
        <f>COUNTIFS(Jan[Hour],$B167)</f>
        <v>0</v>
      </c>
    </row>
    <row r="168" spans="1:8" ht="15.75" thickBot="1" x14ac:dyDescent="0.3">
      <c r="B168" s="294" t="s">
        <v>138</v>
      </c>
      <c r="C168" s="294"/>
      <c r="D168" s="34">
        <f>COUNTIFS(Jan[Hour],$B168)</f>
        <v>0</v>
      </c>
    </row>
    <row r="169" spans="1:8" ht="15.75" thickBot="1" x14ac:dyDescent="0.3">
      <c r="B169" s="287" t="s">
        <v>35</v>
      </c>
      <c r="C169" s="288"/>
      <c r="D169" s="35">
        <f>SUM(D145:D168)</f>
        <v>0</v>
      </c>
    </row>
    <row r="170" spans="1:8" ht="15.75" thickBot="1" x14ac:dyDescent="0.3"/>
    <row r="171" spans="1:8" ht="21.4" customHeight="1" thickBot="1" x14ac:dyDescent="0.3">
      <c r="B171" s="282" t="str">
        <f>"Falls by Contributing Factors"</f>
        <v>Falls by Contributing Factors</v>
      </c>
      <c r="C171" s="283"/>
      <c r="D171" s="283"/>
      <c r="E171" s="283"/>
      <c r="F171" s="283"/>
      <c r="G171" s="284"/>
    </row>
    <row r="172" spans="1:8" ht="15.6" customHeight="1" x14ac:dyDescent="0.25">
      <c r="A172" s="38"/>
      <c r="B172" s="290" t="s">
        <v>92</v>
      </c>
      <c r="C172" s="291"/>
      <c r="D172" s="291"/>
      <c r="E172" s="291"/>
      <c r="F172" s="292"/>
      <c r="G172" s="28" t="s">
        <v>35</v>
      </c>
    </row>
    <row r="173" spans="1:8" x14ac:dyDescent="0.25">
      <c r="A173" s="38"/>
      <c r="B173" s="44" t="str" cm="1">
        <f t="array" ref="B173:B196">IF(_xlfn._xlws.SORT(CF[Contributing Factors],1,1,TRUE)=0,"",(_xlfn._xlws.SORT(CF[Contributing Factors],1,1,TRUE)))</f>
        <v>Assisted/caregiver transfer</v>
      </c>
      <c r="C173" s="45"/>
      <c r="D173" s="45"/>
      <c r="E173" s="45"/>
      <c r="F173" s="46"/>
      <c r="G173" s="42">
        <f>IF($B173="",NA(),COUNTIFS(Jan[Contributing Factors],$B173))</f>
        <v>0</v>
      </c>
      <c r="H173" s="43"/>
    </row>
    <row r="174" spans="1:8" x14ac:dyDescent="0.25">
      <c r="A174" s="38"/>
      <c r="B174" s="39" t="str">
        <v>Bowel and bladder (B&amp;B) needs</v>
      </c>
      <c r="C174" s="40"/>
      <c r="D174" s="40"/>
      <c r="E174" s="40"/>
      <c r="F174" s="41"/>
      <c r="G174" s="42">
        <f>IF($B174="",NA(),COUNTIFS(Jan[Contributing Factors],$B174))</f>
        <v>0</v>
      </c>
    </row>
    <row r="175" spans="1:8" x14ac:dyDescent="0.25">
      <c r="A175" s="38"/>
      <c r="B175" s="44" t="str">
        <v>Behavioral or situational</v>
      </c>
      <c r="C175" s="45"/>
      <c r="D175" s="45"/>
      <c r="E175" s="45"/>
      <c r="F175" s="46"/>
      <c r="G175" s="42">
        <f>IF($B175="",NA(),COUNTIFS(Jan[Contributing Factors],$B175))</f>
        <v>0</v>
      </c>
    </row>
    <row r="176" spans="1:8" x14ac:dyDescent="0.25">
      <c r="A176" s="38"/>
      <c r="B176" s="39" t="str">
        <v>Change of condition</v>
      </c>
      <c r="C176" s="40"/>
      <c r="D176" s="40"/>
      <c r="E176" s="40"/>
      <c r="F176" s="41"/>
      <c r="G176" s="42">
        <f>IF($B176="",NA(),COUNTIFS(Jan[Contributing Factors],$B176))</f>
        <v>0</v>
      </c>
    </row>
    <row r="177" spans="1:7" x14ac:dyDescent="0.25">
      <c r="A177" s="38"/>
      <c r="B177" s="44" t="str">
        <v>Environmental factors</v>
      </c>
      <c r="C177" s="45"/>
      <c r="D177" s="45"/>
      <c r="E177" s="45"/>
      <c r="F177" s="46"/>
      <c r="G177" s="42">
        <f>IF($B177="",NA(),COUNTIFS(Jan[Contributing Factors],$B177))</f>
        <v>0</v>
      </c>
    </row>
    <row r="178" spans="1:7" x14ac:dyDescent="0.25">
      <c r="A178" s="38"/>
      <c r="B178" s="39" t="str">
        <v>Equipment malfunction</v>
      </c>
      <c r="C178" s="40"/>
      <c r="D178" s="40"/>
      <c r="E178" s="40"/>
      <c r="F178" s="41"/>
      <c r="G178" s="42">
        <f>IF($B178="",NA(),COUNTIFS(Jan[Contributing Factors],$B178))</f>
        <v>0</v>
      </c>
    </row>
    <row r="179" spans="1:7" x14ac:dyDescent="0.25">
      <c r="A179" s="38"/>
      <c r="B179" s="44" t="str">
        <v>Equipment or assistive device</v>
      </c>
      <c r="C179" s="45"/>
      <c r="D179" s="45"/>
      <c r="E179" s="45"/>
      <c r="F179" s="46"/>
      <c r="G179" s="42">
        <f>IF($B179="",NA(),COUNTIFS(Jan[Contributing Factors],$B179))</f>
        <v>0</v>
      </c>
    </row>
    <row r="180" spans="1:7" x14ac:dyDescent="0.25">
      <c r="A180" s="38"/>
      <c r="B180" s="39" t="str">
        <v>Medication related</v>
      </c>
      <c r="C180" s="40"/>
      <c r="D180" s="40"/>
      <c r="E180" s="40"/>
      <c r="F180" s="41"/>
      <c r="G180" s="42">
        <f>IF($B180="",NA(),COUNTIFS(Jan[Contributing Factors],$B180))</f>
        <v>0</v>
      </c>
    </row>
    <row r="181" spans="1:7" x14ac:dyDescent="0.25">
      <c r="A181" s="38"/>
      <c r="B181" s="44" t="str">
        <v>Process(s) not followed</v>
      </c>
      <c r="C181" s="45"/>
      <c r="D181" s="45"/>
      <c r="E181" s="45"/>
      <c r="F181" s="46"/>
      <c r="G181" s="42">
        <f>IF($B181="",NA(),COUNTIFS(Jan[Contributing Factors],$B181))</f>
        <v>0</v>
      </c>
    </row>
    <row r="182" spans="1:7" x14ac:dyDescent="0.25">
      <c r="A182" s="38"/>
      <c r="B182" s="39" t="str">
        <v>Resident health conditions</v>
      </c>
      <c r="C182" s="40"/>
      <c r="D182" s="40"/>
      <c r="E182" s="40"/>
      <c r="F182" s="41"/>
      <c r="G182" s="42">
        <f>IF($B182="",NA(),COUNTIFS(Jan[Contributing Factors],$B182))</f>
        <v>0</v>
      </c>
    </row>
    <row r="183" spans="1:7" x14ac:dyDescent="0.25">
      <c r="A183" s="38"/>
      <c r="B183" s="44" t="str">
        <v>Staff</v>
      </c>
      <c r="C183" s="45"/>
      <c r="D183" s="45"/>
      <c r="E183" s="45"/>
      <c r="F183" s="46"/>
      <c r="G183" s="42">
        <f>IF($B183="",NA(),COUNTIFS(Jan[Contributing Factors],$B183))</f>
        <v>0</v>
      </c>
    </row>
    <row r="184" spans="1:7" x14ac:dyDescent="0.25">
      <c r="A184" s="38"/>
      <c r="B184" s="39" t="str">
        <v/>
      </c>
      <c r="C184" s="40"/>
      <c r="D184" s="40"/>
      <c r="E184" s="40"/>
      <c r="F184" s="41"/>
      <c r="G184" s="42" t="e">
        <f>IF($B184="",NA(),COUNTIFS(Jan[Contributing Factors],$B184))</f>
        <v>#N/A</v>
      </c>
    </row>
    <row r="185" spans="1:7" x14ac:dyDescent="0.25">
      <c r="A185" s="38"/>
      <c r="B185" s="44" t="str">
        <v/>
      </c>
      <c r="C185" s="45"/>
      <c r="D185" s="45"/>
      <c r="E185" s="45"/>
      <c r="F185" s="46"/>
      <c r="G185" s="42" t="e">
        <f>IF($B185="",NA(),COUNTIFS(Jan[Contributing Factors],$B185))</f>
        <v>#N/A</v>
      </c>
    </row>
    <row r="186" spans="1:7" x14ac:dyDescent="0.25">
      <c r="A186" s="38"/>
      <c r="B186" s="39" t="str">
        <v/>
      </c>
      <c r="C186" s="40"/>
      <c r="D186" s="40"/>
      <c r="E186" s="40"/>
      <c r="F186" s="41"/>
      <c r="G186" s="42" t="e">
        <f>IF($B186="",NA(),COUNTIFS(Jan[Contributing Factors],$B186))</f>
        <v>#N/A</v>
      </c>
    </row>
    <row r="187" spans="1:7" x14ac:dyDescent="0.25">
      <c r="A187" s="38"/>
      <c r="B187" s="44" t="str">
        <v/>
      </c>
      <c r="C187" s="45"/>
      <c r="D187" s="45"/>
      <c r="E187" s="45"/>
      <c r="F187" s="46"/>
      <c r="G187" s="42" t="e">
        <f>IF($B187="",NA(),COUNTIFS(Jan[Contributing Factors],$B187))</f>
        <v>#N/A</v>
      </c>
    </row>
    <row r="188" spans="1:7" x14ac:dyDescent="0.25">
      <c r="A188" s="38"/>
      <c r="B188" s="39" t="str">
        <v/>
      </c>
      <c r="C188" s="40"/>
      <c r="D188" s="40"/>
      <c r="E188" s="40"/>
      <c r="F188" s="41"/>
      <c r="G188" s="42" t="e">
        <f>IF($B188="",NA(),COUNTIFS(Jan[Contributing Factors],$B188))</f>
        <v>#N/A</v>
      </c>
    </row>
    <row r="189" spans="1:7" x14ac:dyDescent="0.25">
      <c r="A189" s="38"/>
      <c r="B189" s="44" t="str">
        <v/>
      </c>
      <c r="C189" s="45"/>
      <c r="D189" s="45"/>
      <c r="E189" s="45"/>
      <c r="F189" s="46"/>
      <c r="G189" s="42" t="e">
        <f>IF($B189="",NA(),COUNTIFS(Jan[Contributing Factors],$B189))</f>
        <v>#N/A</v>
      </c>
    </row>
    <row r="190" spans="1:7" x14ac:dyDescent="0.25">
      <c r="A190" s="38"/>
      <c r="B190" s="39" t="str">
        <v/>
      </c>
      <c r="C190" s="40"/>
      <c r="D190" s="40"/>
      <c r="E190" s="40"/>
      <c r="F190" s="41"/>
      <c r="G190" s="42" t="e">
        <f>IF($B190="",NA(),COUNTIFS(Jan[Contributing Factors],$B190))</f>
        <v>#N/A</v>
      </c>
    </row>
    <row r="191" spans="1:7" x14ac:dyDescent="0.25">
      <c r="A191" s="38"/>
      <c r="B191" s="44" t="str">
        <v/>
      </c>
      <c r="C191" s="45"/>
      <c r="D191" s="45"/>
      <c r="E191" s="45"/>
      <c r="F191" s="46"/>
      <c r="G191" s="42" t="e">
        <f>IF($B191="",NA(),COUNTIFS(Jan[Contributing Factors],$B191))</f>
        <v>#N/A</v>
      </c>
    </row>
    <row r="192" spans="1:7" x14ac:dyDescent="0.25">
      <c r="A192" s="38"/>
      <c r="B192" s="39" t="str">
        <v/>
      </c>
      <c r="C192" s="40"/>
      <c r="D192" s="40"/>
      <c r="E192" s="40"/>
      <c r="F192" s="41"/>
      <c r="G192" s="42" t="e">
        <f>IF($B192="",NA(),COUNTIFS(Jan[Contributing Factors],$B192))</f>
        <v>#N/A</v>
      </c>
    </row>
    <row r="193" spans="1:7" x14ac:dyDescent="0.25">
      <c r="A193" s="38"/>
      <c r="B193" s="44" t="str">
        <v/>
      </c>
      <c r="C193" s="45"/>
      <c r="D193" s="45"/>
      <c r="E193" s="45"/>
      <c r="F193" s="46"/>
      <c r="G193" s="42" t="e">
        <f>IF($B193="",NA(),COUNTIFS(Jan[Contributing Factors],$B193))</f>
        <v>#N/A</v>
      </c>
    </row>
    <row r="194" spans="1:7" x14ac:dyDescent="0.25">
      <c r="A194" s="38"/>
      <c r="B194" s="39" t="str">
        <v/>
      </c>
      <c r="C194" s="40"/>
      <c r="D194" s="40"/>
      <c r="E194" s="40"/>
      <c r="F194" s="41"/>
      <c r="G194" s="42" t="e">
        <f>IF($B194="",NA(),COUNTIFS(Jan[Contributing Factors],$B194))</f>
        <v>#N/A</v>
      </c>
    </row>
    <row r="195" spans="1:7" x14ac:dyDescent="0.25">
      <c r="A195" s="38"/>
      <c r="B195" s="44" t="str">
        <v/>
      </c>
      <c r="C195" s="45"/>
      <c r="D195" s="45"/>
      <c r="E195" s="45"/>
      <c r="F195" s="46"/>
      <c r="G195" s="42" t="e">
        <f>IF($B195="",NA(),COUNTIFS(Jan[Contributing Factors],$B195))</f>
        <v>#N/A</v>
      </c>
    </row>
    <row r="196" spans="1:7" ht="15.75" thickBot="1" x14ac:dyDescent="0.3">
      <c r="A196" s="38"/>
      <c r="B196" s="39" t="str">
        <v/>
      </c>
      <c r="C196" s="40"/>
      <c r="D196" s="40"/>
      <c r="E196" s="40"/>
      <c r="F196" s="41"/>
      <c r="G196" s="42" t="e">
        <f>IF($B196="",NA(),COUNTIFS(Jan[Contributing Factors],$B196))</f>
        <v>#N/A</v>
      </c>
    </row>
    <row r="197" spans="1:7" ht="15.6" customHeight="1" thickBot="1" x14ac:dyDescent="0.3">
      <c r="B197" s="287" t="s">
        <v>35</v>
      </c>
      <c r="C197" s="288"/>
      <c r="D197" s="288"/>
      <c r="E197" s="288"/>
      <c r="F197" s="289"/>
      <c r="G197" s="37">
        <f>_xlfn.AGGREGATE(9,6,G173:G196)</f>
        <v>0</v>
      </c>
    </row>
  </sheetData>
  <sheetProtection algorithmName="SHA-512" hashValue="mJ7GjZPNuICzu8v/xO41E3NHlzR3jB0nL7eB/LcKTlFQo+ig1zmvWsarz92NfNwAbYyrKFXwagyaeAa12Iw3wg==" saltValue="uV5z44cgWEnoXLiP3kCEjg==" spinCount="100000" sheet="1" formatCells="0" formatColumns="0" formatRows="0" sort="0" autoFilter="0"/>
  <mergeCells count="61">
    <mergeCell ref="B171:G171"/>
    <mergeCell ref="B172:F172"/>
    <mergeCell ref="B197:F197"/>
    <mergeCell ref="B51:D51"/>
    <mergeCell ref="B52:C52"/>
    <mergeCell ref="B55:C55"/>
    <mergeCell ref="B152:C152"/>
    <mergeCell ref="B153:C153"/>
    <mergeCell ref="B154:C154"/>
    <mergeCell ref="B155:C155"/>
    <mergeCell ref="B156:C156"/>
    <mergeCell ref="B151:C151"/>
    <mergeCell ref="B132:C132"/>
    <mergeCell ref="B134:D134"/>
    <mergeCell ref="B121:C121"/>
    <mergeCell ref="B131:C131"/>
    <mergeCell ref="B148:C148"/>
    <mergeCell ref="B149:C149"/>
    <mergeCell ref="B150:C150"/>
    <mergeCell ref="B141:C141"/>
    <mergeCell ref="B135:C135"/>
    <mergeCell ref="B146:C146"/>
    <mergeCell ref="B147:C147"/>
    <mergeCell ref="B168:C168"/>
    <mergeCell ref="B169:C169"/>
    <mergeCell ref="B143:D143"/>
    <mergeCell ref="B162:C162"/>
    <mergeCell ref="B166:C166"/>
    <mergeCell ref="B163:C163"/>
    <mergeCell ref="B164:C164"/>
    <mergeCell ref="B165:C165"/>
    <mergeCell ref="B167:C167"/>
    <mergeCell ref="B159:C159"/>
    <mergeCell ref="B144:C144"/>
    <mergeCell ref="B157:C157"/>
    <mergeCell ref="B158:C158"/>
    <mergeCell ref="B160:C160"/>
    <mergeCell ref="B161:C161"/>
    <mergeCell ref="B145:C145"/>
    <mergeCell ref="B109:C109"/>
    <mergeCell ref="B130:C130"/>
    <mergeCell ref="B93:D93"/>
    <mergeCell ref="B123:D123"/>
    <mergeCell ref="B108:D108"/>
    <mergeCell ref="B106:C106"/>
    <mergeCell ref="B94:C94"/>
    <mergeCell ref="B129:C129"/>
    <mergeCell ref="B126:C126"/>
    <mergeCell ref="B124:C124"/>
    <mergeCell ref="B125:C125"/>
    <mergeCell ref="B127:C127"/>
    <mergeCell ref="B128:C128"/>
    <mergeCell ref="F51:H51"/>
    <mergeCell ref="F52:G52"/>
    <mergeCell ref="F56:G56"/>
    <mergeCell ref="B65:G65"/>
    <mergeCell ref="B91:F91"/>
    <mergeCell ref="B66:F66"/>
    <mergeCell ref="F58:H58"/>
    <mergeCell ref="F59:G59"/>
    <mergeCell ref="F63:G63"/>
  </mergeCells>
  <phoneticPr fontId="8" type="noConversion"/>
  <conditionalFormatting sqref="C1">
    <cfRule type="expression" dxfId="346" priority="34">
      <formula>OR($C$1="",$C$1=0)</formula>
    </cfRule>
  </conditionalFormatting>
  <conditionalFormatting sqref="D1">
    <cfRule type="cellIs" dxfId="345" priority="35" operator="equal">
      <formula>"Enter year in Data Validation tab"</formula>
    </cfRule>
  </conditionalFormatting>
  <conditionalFormatting sqref="D4:D40">
    <cfRule type="expression" dxfId="344" priority="156">
      <formula>AND($C4&lt;&gt;"",$D4="")</formula>
    </cfRule>
  </conditionalFormatting>
  <conditionalFormatting sqref="D95:D105">
    <cfRule type="expression" dxfId="343" priority="17">
      <formula>ISERROR($D95)</formula>
    </cfRule>
  </conditionalFormatting>
  <conditionalFormatting sqref="D110:D120">
    <cfRule type="expression" dxfId="342" priority="19">
      <formula>ISERROR($D110)</formula>
    </cfRule>
  </conditionalFormatting>
  <conditionalFormatting sqref="D136:D140">
    <cfRule type="expression" dxfId="341" priority="7">
      <formula>ISERROR(D136)</formula>
    </cfRule>
  </conditionalFormatting>
  <conditionalFormatting sqref="E4:E40">
    <cfRule type="expression" dxfId="340" priority="112">
      <formula>AND($C4&lt;&gt;"",$E4="")</formula>
    </cfRule>
  </conditionalFormatting>
  <conditionalFormatting sqref="F4:F40">
    <cfRule type="expression" dxfId="339" priority="26">
      <formula>AND($C4&lt;&gt;"",$F4="")</formula>
    </cfRule>
  </conditionalFormatting>
  <conditionalFormatting sqref="G4:G40">
    <cfRule type="expression" dxfId="338" priority="25">
      <formula>AND($C4&lt;&gt;"",$G4="")</formula>
    </cfRule>
  </conditionalFormatting>
  <conditionalFormatting sqref="G67:G90">
    <cfRule type="expression" dxfId="337" priority="15">
      <formula>ISERROR($G67)</formula>
    </cfRule>
  </conditionalFormatting>
  <conditionalFormatting sqref="G173:G196">
    <cfRule type="expression" dxfId="336" priority="13">
      <formula>ISERROR($G173)</formula>
    </cfRule>
  </conditionalFormatting>
  <conditionalFormatting sqref="H4:H40">
    <cfRule type="expression" dxfId="335" priority="24">
      <formula>AND($C4&lt;&gt;"",$H4="")</formula>
    </cfRule>
  </conditionalFormatting>
  <conditionalFormatting sqref="I4:I40">
    <cfRule type="expression" dxfId="334" priority="23">
      <formula>AND($C4&lt;&gt;"",$I4="")</formula>
    </cfRule>
  </conditionalFormatting>
  <conditionalFormatting sqref="J4:J40">
    <cfRule type="expression" dxfId="333" priority="158">
      <formula>AND($C4&lt;&gt;"",$J4="")</formula>
    </cfRule>
  </conditionalFormatting>
  <conditionalFormatting sqref="L4:L40">
    <cfRule type="expression" dxfId="332" priority="5">
      <formula>AND($C4&lt;&gt;"",$L4="")</formula>
    </cfRule>
  </conditionalFormatting>
  <conditionalFormatting sqref="N4:N40">
    <cfRule type="expression" dxfId="331" priority="6">
      <formula>AND($C4&lt;&gt;"",$N4="")</formula>
    </cfRule>
  </conditionalFormatting>
  <conditionalFormatting sqref="O4:O40">
    <cfRule type="expression" dxfId="330" priority="1">
      <formula>AND($C4&lt;&gt;"",$O4="")</formula>
    </cfRule>
    <cfRule type="cellIs" dxfId="329" priority="2" operator="equal">
      <formula>"Intact (13-15)"</formula>
    </cfRule>
    <cfRule type="cellIs" dxfId="328" priority="3" operator="equal">
      <formula>"Moderate (8-12)"</formula>
    </cfRule>
    <cfRule type="cellIs" dxfId="327" priority="4" operator="equal">
      <formula>"Severe (1-7)"</formula>
    </cfRule>
  </conditionalFormatting>
  <conditionalFormatting sqref="P4:P40">
    <cfRule type="expression" dxfId="326" priority="11">
      <formula>AND($C4&lt;&gt;"",$P4="")</formula>
    </cfRule>
  </conditionalFormatting>
  <conditionalFormatting sqref="Q4:Q40">
    <cfRule type="expression" dxfId="325" priority="9">
      <formula>AND($C4&lt;&gt;"",$Q4="")</formula>
    </cfRule>
  </conditionalFormatting>
  <conditionalFormatting sqref="R4:R40">
    <cfRule type="expression" dxfId="324" priority="187">
      <formula>AND($C4&lt;&gt;"",$R4="")</formula>
    </cfRule>
  </conditionalFormatting>
  <conditionalFormatting sqref="S4:S40">
    <cfRule type="expression" dxfId="323" priority="12">
      <formula>AND($C4&lt;&gt;"",$S4="")</formula>
    </cfRule>
  </conditionalFormatting>
  <conditionalFormatting sqref="T4:T40">
    <cfRule type="expression" dxfId="322" priority="188">
      <formula>AND($C4&lt;&gt;"",$T4="")</formula>
    </cfRule>
  </conditionalFormatting>
  <conditionalFormatting sqref="U4:U40">
    <cfRule type="expression" dxfId="321" priority="178">
      <formula>AND($C4&lt;&gt;"",$U4="")</formula>
    </cfRule>
  </conditionalFormatting>
  <conditionalFormatting sqref="V4:V40">
    <cfRule type="expression" dxfId="320" priority="8">
      <formula>AND($C4&lt;&gt;"",$V4="")</formula>
    </cfRule>
  </conditionalFormatting>
  <dataValidations count="9">
    <dataValidation type="list" allowBlank="1" showInputMessage="1" showErrorMessage="1" sqref="H4:H40" xr:uid="{00000000-0002-0000-0200-000000000000}">
      <formula1>DV_FallType</formula1>
    </dataValidation>
    <dataValidation type="list" allowBlank="1" showInputMessage="1" showErrorMessage="1" sqref="I4:I40" xr:uid="{00000000-0002-0000-0200-000001000000}">
      <formula1>DV_Location</formula1>
    </dataValidation>
    <dataValidation type="list" allowBlank="1" showInputMessage="1" showErrorMessage="1" sqref="J4:J40" xr:uid="{00000000-0002-0000-0200-000002000000}">
      <formula1>DV_Station</formula1>
    </dataValidation>
    <dataValidation type="list" allowBlank="1" showInputMessage="1" showErrorMessage="1" sqref="L4:L40" xr:uid="{00000000-0002-0000-0200-000003000000}">
      <formula1>DV_Shifts</formula1>
    </dataValidation>
    <dataValidation type="list" allowBlank="1" showInputMessage="1" showErrorMessage="1" sqref="N4:N40" xr:uid="{00000000-0002-0000-0200-000004000000}">
      <formula1>DV_BIMSScore</formula1>
    </dataValidation>
    <dataValidation type="list" allowBlank="1" showInputMessage="1" showErrorMessage="1" sqref="F4:F40" xr:uid="{00000000-0002-0000-0200-000005000000}">
      <formula1>DV_Witnessed</formula1>
    </dataValidation>
    <dataValidation type="list" allowBlank="1" showInputMessage="1" showErrorMessage="1" sqref="P4:P40" xr:uid="{00000000-0002-0000-0200-000006000000}">
      <formula1>DV_PriortoFall</formula1>
    </dataValidation>
    <dataValidation type="list" allowBlank="1" showInputMessage="1" showErrorMessage="1" sqref="G4:G40" xr:uid="{00000000-0002-0000-0200-000007000000}">
      <formula1>DV_FallCircumstances</formula1>
    </dataValidation>
    <dataValidation type="list" allowBlank="1" showInputMessage="1" showErrorMessage="1" sqref="R4:R40" xr:uid="{00000000-0002-0000-0200-000008000000}">
      <formula1>DV_RCAComp</formula1>
    </dataValidation>
  </dataValidations>
  <printOptions horizontalCentered="1"/>
  <pageMargins left="0.15" right="0.15" top="0.5" bottom="0.25" header="0.3" footer="0.3"/>
  <pageSetup scale="54" fitToHeight="0" orientation="landscape" r:id="rId1"/>
  <rowBreaks count="3" manualBreakCount="3">
    <brk id="49" max="16383" man="1"/>
    <brk id="91" max="16383" man="1"/>
    <brk id="141" max="16383" man="1"/>
  </rowBreaks>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9000000}">
          <x14:formula1>
            <xm:f>'Data Validation'!$K$3:$K$26</xm:f>
          </x14:formula1>
          <xm:sqref>S4:S40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fitToPage="1"/>
  </sheetPr>
  <dimension ref="A1:V197"/>
  <sheetViews>
    <sheetView showGridLines="0" zoomScaleNormal="100" zoomScaleSheetLayoutView="98" workbookViewId="0">
      <selection activeCell="B4" sqref="B4"/>
    </sheetView>
  </sheetViews>
  <sheetFormatPr defaultRowHeight="15" x14ac:dyDescent="0.25"/>
  <cols>
    <col min="1" max="1" width="1.28515625" customWidth="1"/>
    <col min="2" max="2" width="5.85546875" customWidth="1"/>
    <col min="3" max="3" width="17.140625" customWidth="1"/>
    <col min="4" max="4" width="9.28515625" customWidth="1"/>
    <col min="5" max="5" width="11" customWidth="1"/>
    <col min="6" max="6" width="8" customWidth="1"/>
    <col min="7" max="7" width="12.140625" customWidth="1"/>
    <col min="8" max="8" width="10.5703125" customWidth="1"/>
    <col min="9" max="9" width="7.7109375" customWidth="1"/>
    <col min="10" max="10" width="6" customWidth="1"/>
    <col min="11" max="11" width="4.7109375" customWidth="1"/>
    <col min="12" max="12" width="9.28515625" customWidth="1"/>
    <col min="13" max="14" width="4.7109375" customWidth="1"/>
    <col min="15" max="15" width="12.140625" customWidth="1"/>
    <col min="16" max="17" width="23.7109375" customWidth="1"/>
    <col min="18" max="18" width="8.7109375" customWidth="1"/>
    <col min="19" max="19" width="23.7109375" customWidth="1"/>
    <col min="20" max="22" width="11.7109375" customWidth="1"/>
    <col min="23" max="24" width="10.7109375" customWidth="1"/>
  </cols>
  <sheetData>
    <row r="1" spans="1:22" ht="18.75" customHeight="1" x14ac:dyDescent="0.25">
      <c r="B1" s="13" t="s">
        <v>28</v>
      </c>
      <c r="C1" s="14">
        <f>'Data Validation'!$C$4</f>
        <v>0</v>
      </c>
      <c r="D1" s="15" t="str">
        <f>IF(OR($C$1="",$C$1=0),"Enter Year in Data Validation tab",'Data Validation'!$C$2&amp;" February ")</f>
        <v>Enter Year in Data Validation tab</v>
      </c>
      <c r="E1" s="16"/>
      <c r="F1" s="16"/>
      <c r="G1" s="16"/>
      <c r="H1" s="16"/>
      <c r="I1" s="16"/>
      <c r="J1" s="16"/>
      <c r="K1" s="16"/>
      <c r="L1" s="16"/>
      <c r="M1" s="16"/>
      <c r="N1" s="4"/>
      <c r="O1" s="16"/>
      <c r="P1" s="16"/>
      <c r="Q1" s="16"/>
      <c r="R1" s="17" t="s">
        <v>59</v>
      </c>
      <c r="S1" s="14" t="str">
        <f>IF(COUNTIFS(Feb[Resident Name],"&lt;&gt;")=0,"No Data",COUNTIFS(Feb[Resident Name],"&lt;&gt;"))</f>
        <v>No Data</v>
      </c>
      <c r="T1" s="17" t="s">
        <v>62</v>
      </c>
      <c r="U1" s="14" t="str">
        <f>'Fall Rate and Census'!$E$33</f>
        <v>No Data</v>
      </c>
    </row>
    <row r="2" spans="1:22" ht="8.1" customHeight="1" x14ac:dyDescent="0.25">
      <c r="B2" s="18"/>
      <c r="C2" s="16"/>
      <c r="D2" s="16"/>
      <c r="E2" s="16"/>
      <c r="F2" s="16"/>
      <c r="G2" s="16"/>
      <c r="H2" s="16"/>
      <c r="I2" s="16"/>
      <c r="J2" s="16"/>
      <c r="K2" s="16"/>
      <c r="L2" s="16"/>
      <c r="M2" s="16"/>
      <c r="N2" s="16"/>
      <c r="O2" s="16"/>
      <c r="P2" s="16"/>
      <c r="Q2" s="16"/>
      <c r="R2" s="16"/>
    </row>
    <row r="3" spans="1:22" ht="22.35" customHeight="1" x14ac:dyDescent="0.25">
      <c r="B3" s="19" t="s">
        <v>104</v>
      </c>
      <c r="C3" s="19" t="s">
        <v>105</v>
      </c>
      <c r="D3" s="20" t="s">
        <v>0</v>
      </c>
      <c r="E3" s="20" t="s">
        <v>89</v>
      </c>
      <c r="F3" s="20" t="s">
        <v>84</v>
      </c>
      <c r="G3" s="20" t="s">
        <v>100</v>
      </c>
      <c r="H3" s="20" t="s">
        <v>90</v>
      </c>
      <c r="I3" s="20" t="s">
        <v>1</v>
      </c>
      <c r="J3" s="20" t="s">
        <v>2</v>
      </c>
      <c r="K3" s="20" t="s">
        <v>3</v>
      </c>
      <c r="L3" s="20" t="s">
        <v>33</v>
      </c>
      <c r="M3" s="20" t="s">
        <v>34</v>
      </c>
      <c r="N3" s="20" t="s">
        <v>26</v>
      </c>
      <c r="O3" s="20" t="s">
        <v>30</v>
      </c>
      <c r="P3" s="19" t="s">
        <v>158</v>
      </c>
      <c r="Q3" s="19" t="s">
        <v>80</v>
      </c>
      <c r="R3" s="20" t="s">
        <v>81</v>
      </c>
      <c r="S3" s="20" t="s">
        <v>92</v>
      </c>
      <c r="T3" s="12" t="s">
        <v>95</v>
      </c>
      <c r="U3" s="12" t="s">
        <v>94</v>
      </c>
      <c r="V3" s="12" t="s">
        <v>96</v>
      </c>
    </row>
    <row r="4" spans="1:22" ht="20.85" customHeight="1" x14ac:dyDescent="0.25">
      <c r="A4" s="21"/>
      <c r="B4" s="266"/>
      <c r="C4" s="5"/>
      <c r="D4" s="263"/>
      <c r="E4" s="263"/>
      <c r="F4" s="266"/>
      <c r="G4" s="267"/>
      <c r="H4" s="2"/>
      <c r="I4" s="2"/>
      <c r="J4" s="2"/>
      <c r="K4" s="24" t="str">
        <f>IF(Feb[[#This Row],[Date of Incident]]="","",TEXT(Feb[[#This Row],[Date of Incident]],"ddd"))</f>
        <v/>
      </c>
      <c r="L4" s="1"/>
      <c r="M4" s="24" t="str">
        <f>IFERROR(VLOOKUP(Feb[[#This Row],[Hour]],Shifts[],2,FALSE),"")</f>
        <v/>
      </c>
      <c r="N4" s="2"/>
      <c r="O4" s="24" t="str">
        <f>IFERROR(VLOOKUP(Feb[[#This Row],[BIMS Score]],BIMS[],2,FALSE),"")</f>
        <v/>
      </c>
      <c r="P4" s="3"/>
      <c r="Q4" s="3"/>
      <c r="R4" s="2"/>
      <c r="S4" s="168"/>
      <c r="T4" s="3"/>
      <c r="U4" s="3"/>
      <c r="V4" s="3"/>
    </row>
    <row r="5" spans="1:22" ht="20.85" customHeight="1" x14ac:dyDescent="0.25">
      <c r="A5" s="21"/>
      <c r="B5" s="266"/>
      <c r="C5" s="5"/>
      <c r="D5" s="263"/>
      <c r="E5" s="263"/>
      <c r="F5" s="266"/>
      <c r="G5" s="267"/>
      <c r="H5" s="2"/>
      <c r="I5" s="2"/>
      <c r="J5" s="2"/>
      <c r="K5" s="24" t="str">
        <f>IF(Feb[[#This Row],[Date of Incident]]="","",TEXT(Feb[[#This Row],[Date of Incident]],"ddd"))</f>
        <v/>
      </c>
      <c r="L5" s="1"/>
      <c r="M5" s="24" t="str">
        <f>IFERROR(VLOOKUP(Feb[[#This Row],[Hour]],Shifts[],2,FALSE),"")</f>
        <v/>
      </c>
      <c r="N5" s="2"/>
      <c r="O5" s="24" t="str">
        <f>IFERROR(VLOOKUP(Feb[[#This Row],[BIMS Score]],BIMS[],2,FALSE),"")</f>
        <v/>
      </c>
      <c r="P5" s="3"/>
      <c r="Q5" s="3"/>
      <c r="R5" s="2"/>
      <c r="S5" s="168"/>
      <c r="T5" s="3"/>
      <c r="U5" s="3"/>
      <c r="V5" s="3"/>
    </row>
    <row r="6" spans="1:22" ht="20.85" customHeight="1" x14ac:dyDescent="0.25">
      <c r="A6" s="21"/>
      <c r="B6" s="266"/>
      <c r="C6" s="5"/>
      <c r="D6" s="263"/>
      <c r="E6" s="263"/>
      <c r="F6" s="266"/>
      <c r="G6" s="267"/>
      <c r="H6" s="2"/>
      <c r="I6" s="2"/>
      <c r="J6" s="2"/>
      <c r="K6" s="24" t="str">
        <f>IF(Feb[[#This Row],[Date of Incident]]="","",TEXT(Feb[[#This Row],[Date of Incident]],"ddd"))</f>
        <v/>
      </c>
      <c r="L6" s="1"/>
      <c r="M6" s="24" t="str">
        <f>IFERROR(VLOOKUP(Feb[[#This Row],[Hour]],Shifts[],2,FALSE),"")</f>
        <v/>
      </c>
      <c r="N6" s="2"/>
      <c r="O6" s="24" t="str">
        <f>IFERROR(VLOOKUP(Feb[[#This Row],[BIMS Score]],BIMS[],2,FALSE),"")</f>
        <v/>
      </c>
      <c r="P6" s="3"/>
      <c r="Q6" s="3"/>
      <c r="R6" s="2"/>
      <c r="S6" s="168"/>
      <c r="T6" s="3"/>
      <c r="U6" s="3"/>
      <c r="V6" s="3"/>
    </row>
    <row r="7" spans="1:22" ht="20.85" customHeight="1" x14ac:dyDescent="0.25">
      <c r="A7" s="21"/>
      <c r="B7" s="266"/>
      <c r="C7" s="5"/>
      <c r="D7" s="263"/>
      <c r="E7" s="263"/>
      <c r="F7" s="266"/>
      <c r="G7" s="267"/>
      <c r="H7" s="2"/>
      <c r="I7" s="2"/>
      <c r="J7" s="2"/>
      <c r="K7" s="24" t="str">
        <f>IF(Feb[[#This Row],[Date of Incident]]="","",TEXT(Feb[[#This Row],[Date of Incident]],"ddd"))</f>
        <v/>
      </c>
      <c r="L7" s="1"/>
      <c r="M7" s="24" t="str">
        <f>IFERROR(VLOOKUP(Feb[[#This Row],[Hour]],Shifts[],2,FALSE),"")</f>
        <v/>
      </c>
      <c r="N7" s="2"/>
      <c r="O7" s="24" t="str">
        <f>IFERROR(VLOOKUP(Feb[[#This Row],[BIMS Score]],BIMS[],2,FALSE),"")</f>
        <v/>
      </c>
      <c r="P7" s="3"/>
      <c r="Q7" s="3"/>
      <c r="R7" s="2"/>
      <c r="S7" s="168"/>
      <c r="T7" s="3"/>
      <c r="U7" s="3"/>
      <c r="V7" s="3"/>
    </row>
    <row r="8" spans="1:22" ht="20.85" customHeight="1" x14ac:dyDescent="0.25">
      <c r="A8" s="21"/>
      <c r="B8" s="266"/>
      <c r="C8" s="5"/>
      <c r="D8" s="263"/>
      <c r="E8" s="263"/>
      <c r="F8" s="266"/>
      <c r="G8" s="267"/>
      <c r="H8" s="2"/>
      <c r="I8" s="2"/>
      <c r="J8" s="2"/>
      <c r="K8" s="24" t="str">
        <f>IF(Feb[[#This Row],[Date of Incident]]="","",TEXT(Feb[[#This Row],[Date of Incident]],"ddd"))</f>
        <v/>
      </c>
      <c r="L8" s="1"/>
      <c r="M8" s="24" t="str">
        <f>IFERROR(VLOOKUP(Feb[[#This Row],[Hour]],Shifts[],2,FALSE),"")</f>
        <v/>
      </c>
      <c r="N8" s="2"/>
      <c r="O8" s="24" t="str">
        <f>IFERROR(VLOOKUP(Feb[[#This Row],[BIMS Score]],BIMS[],2,FALSE),"")</f>
        <v/>
      </c>
      <c r="P8" s="3"/>
      <c r="Q8" s="3"/>
      <c r="R8" s="2"/>
      <c r="S8" s="168"/>
      <c r="T8" s="3"/>
      <c r="U8" s="3"/>
      <c r="V8" s="3"/>
    </row>
    <row r="9" spans="1:22" ht="20.85" customHeight="1" x14ac:dyDescent="0.25">
      <c r="A9" s="21"/>
      <c r="B9" s="266"/>
      <c r="C9" s="5"/>
      <c r="D9" s="263"/>
      <c r="E9" s="263"/>
      <c r="F9" s="266"/>
      <c r="G9" s="267"/>
      <c r="H9" s="2"/>
      <c r="I9" s="2"/>
      <c r="J9" s="2"/>
      <c r="K9" s="24" t="str">
        <f>IF(Feb[[#This Row],[Date of Incident]]="","",TEXT(Feb[[#This Row],[Date of Incident]],"ddd"))</f>
        <v/>
      </c>
      <c r="L9" s="1"/>
      <c r="M9" s="24" t="str">
        <f>IFERROR(VLOOKUP(Feb[[#This Row],[Hour]],Shifts[],2,FALSE),"")</f>
        <v/>
      </c>
      <c r="N9" s="2"/>
      <c r="O9" s="24" t="str">
        <f>IFERROR(VLOOKUP(Feb[[#This Row],[BIMS Score]],BIMS[],2,FALSE),"")</f>
        <v/>
      </c>
      <c r="P9" s="3"/>
      <c r="Q9" s="3"/>
      <c r="R9" s="2"/>
      <c r="S9" s="168"/>
      <c r="T9" s="3"/>
      <c r="U9" s="3"/>
      <c r="V9" s="3"/>
    </row>
    <row r="10" spans="1:22" ht="20.85" customHeight="1" x14ac:dyDescent="0.25">
      <c r="A10" s="21"/>
      <c r="B10" s="266"/>
      <c r="C10" s="5"/>
      <c r="D10" s="263"/>
      <c r="E10" s="263"/>
      <c r="F10" s="266"/>
      <c r="G10" s="267"/>
      <c r="H10" s="2"/>
      <c r="I10" s="2"/>
      <c r="J10" s="2"/>
      <c r="K10" s="24" t="str">
        <f>IF(Feb[[#This Row],[Date of Incident]]="","",TEXT(Feb[[#This Row],[Date of Incident]],"ddd"))</f>
        <v/>
      </c>
      <c r="L10" s="1"/>
      <c r="M10" s="24" t="str">
        <f>IFERROR(VLOOKUP(Feb[[#This Row],[Hour]],Shifts[],2,FALSE),"")</f>
        <v/>
      </c>
      <c r="N10" s="2"/>
      <c r="O10" s="24" t="str">
        <f>IFERROR(VLOOKUP(Feb[[#This Row],[BIMS Score]],BIMS[],2,FALSE),"")</f>
        <v/>
      </c>
      <c r="P10" s="3"/>
      <c r="Q10" s="3"/>
      <c r="R10" s="2"/>
      <c r="S10" s="168"/>
      <c r="T10" s="3"/>
      <c r="U10" s="3"/>
      <c r="V10" s="3"/>
    </row>
    <row r="11" spans="1:22" ht="20.85" customHeight="1" x14ac:dyDescent="0.25">
      <c r="A11" s="21"/>
      <c r="B11" s="266"/>
      <c r="C11" s="5"/>
      <c r="D11" s="263"/>
      <c r="E11" s="263"/>
      <c r="F11" s="266"/>
      <c r="G11" s="267"/>
      <c r="H11" s="2"/>
      <c r="I11" s="2"/>
      <c r="J11" s="2"/>
      <c r="K11" s="24" t="str">
        <f>IF(Feb[[#This Row],[Date of Incident]]="","",TEXT(Feb[[#This Row],[Date of Incident]],"ddd"))</f>
        <v/>
      </c>
      <c r="L11" s="1"/>
      <c r="M11" s="24" t="str">
        <f>IFERROR(VLOOKUP(Feb[[#This Row],[Hour]],Shifts[],2,FALSE),"")</f>
        <v/>
      </c>
      <c r="N11" s="2"/>
      <c r="O11" s="24" t="str">
        <f>IFERROR(VLOOKUP(Feb[[#This Row],[BIMS Score]],BIMS[],2,FALSE),"")</f>
        <v/>
      </c>
      <c r="P11" s="3"/>
      <c r="Q11" s="3"/>
      <c r="R11" s="2"/>
      <c r="S11" s="168"/>
      <c r="T11" s="3"/>
      <c r="U11" s="3"/>
      <c r="V11" s="3"/>
    </row>
    <row r="12" spans="1:22" ht="20.85" customHeight="1" x14ac:dyDescent="0.25">
      <c r="A12" s="21"/>
      <c r="B12" s="267"/>
      <c r="C12" s="5"/>
      <c r="D12" s="264"/>
      <c r="E12" s="263"/>
      <c r="F12" s="267"/>
      <c r="G12" s="267"/>
      <c r="H12" s="2"/>
      <c r="I12" s="2"/>
      <c r="J12" s="2"/>
      <c r="K12" s="24" t="str">
        <f>IF(Feb[[#This Row],[Date of Incident]]="","",TEXT(Feb[[#This Row],[Date of Incident]],"ddd"))</f>
        <v/>
      </c>
      <c r="L12" s="1"/>
      <c r="M12" s="24" t="str">
        <f>IFERROR(VLOOKUP(Feb[[#This Row],[Hour]],Shifts[],2,FALSE),"")</f>
        <v/>
      </c>
      <c r="N12" s="2"/>
      <c r="O12" s="24" t="str">
        <f>IFERROR(VLOOKUP(Feb[[#This Row],[BIMS Score]],BIMS[],2,FALSE),"")</f>
        <v/>
      </c>
      <c r="P12" s="3"/>
      <c r="Q12" s="3"/>
      <c r="R12" s="2"/>
      <c r="S12" s="168"/>
      <c r="T12" s="3"/>
      <c r="U12" s="3"/>
      <c r="V12" s="3"/>
    </row>
    <row r="13" spans="1:22" ht="20.85" customHeight="1" x14ac:dyDescent="0.25">
      <c r="A13" s="21"/>
      <c r="B13" s="267"/>
      <c r="C13" s="5"/>
      <c r="D13" s="264"/>
      <c r="E13" s="263"/>
      <c r="F13" s="267"/>
      <c r="G13" s="267"/>
      <c r="H13" s="2"/>
      <c r="I13" s="2"/>
      <c r="J13" s="2"/>
      <c r="K13" s="24" t="str">
        <f>IF(Feb[[#This Row],[Date of Incident]]="","",TEXT(Feb[[#This Row],[Date of Incident]],"ddd"))</f>
        <v/>
      </c>
      <c r="L13" s="1"/>
      <c r="M13" s="24" t="str">
        <f>IFERROR(VLOOKUP(Feb[[#This Row],[Hour]],Shifts[],2,FALSE),"")</f>
        <v/>
      </c>
      <c r="N13" s="2"/>
      <c r="O13" s="24" t="str">
        <f>IFERROR(VLOOKUP(Feb[[#This Row],[BIMS Score]],BIMS[],2,FALSE),"")</f>
        <v/>
      </c>
      <c r="P13" s="3"/>
      <c r="Q13" s="3"/>
      <c r="R13" s="2"/>
      <c r="S13" s="168"/>
      <c r="T13" s="3"/>
      <c r="U13" s="3"/>
      <c r="V13" s="3"/>
    </row>
    <row r="14" spans="1:22" ht="20.85" customHeight="1" x14ac:dyDescent="0.25">
      <c r="A14" s="21"/>
      <c r="B14" s="267"/>
      <c r="C14" s="5"/>
      <c r="D14" s="264"/>
      <c r="E14" s="263"/>
      <c r="F14" s="267"/>
      <c r="G14" s="267"/>
      <c r="H14" s="2"/>
      <c r="I14" s="2"/>
      <c r="J14" s="2"/>
      <c r="K14" s="24" t="str">
        <f>IF(Feb[[#This Row],[Date of Incident]]="","",TEXT(Feb[[#This Row],[Date of Incident]],"ddd"))</f>
        <v/>
      </c>
      <c r="L14" s="1"/>
      <c r="M14" s="24" t="str">
        <f>IFERROR(VLOOKUP(Feb[[#This Row],[Hour]],Shifts[],2,FALSE),"")</f>
        <v/>
      </c>
      <c r="N14" s="2"/>
      <c r="O14" s="24" t="str">
        <f>IFERROR(VLOOKUP(Feb[[#This Row],[BIMS Score]],BIMS[],2,FALSE),"")</f>
        <v/>
      </c>
      <c r="P14" s="3"/>
      <c r="Q14" s="3"/>
      <c r="R14" s="2"/>
      <c r="S14" s="168"/>
      <c r="T14" s="3"/>
      <c r="U14" s="3"/>
      <c r="V14" s="3"/>
    </row>
    <row r="15" spans="1:22" ht="20.85" customHeight="1" x14ac:dyDescent="0.25">
      <c r="A15" s="21"/>
      <c r="B15" s="267"/>
      <c r="C15" s="5"/>
      <c r="D15" s="264"/>
      <c r="E15" s="263"/>
      <c r="F15" s="267"/>
      <c r="G15" s="267"/>
      <c r="H15" s="2"/>
      <c r="I15" s="2"/>
      <c r="J15" s="2"/>
      <c r="K15" s="24" t="str">
        <f>IF(Feb[[#This Row],[Date of Incident]]="","",TEXT(Feb[[#This Row],[Date of Incident]],"ddd"))</f>
        <v/>
      </c>
      <c r="L15" s="1"/>
      <c r="M15" s="24" t="str">
        <f>IFERROR(VLOOKUP(Feb[[#This Row],[Hour]],Shifts[],2,FALSE),"")</f>
        <v/>
      </c>
      <c r="N15" s="2"/>
      <c r="O15" s="24" t="str">
        <f>IFERROR(VLOOKUP(Feb[[#This Row],[BIMS Score]],BIMS[],2,FALSE),"")</f>
        <v/>
      </c>
      <c r="P15" s="3"/>
      <c r="Q15" s="3"/>
      <c r="R15" s="2"/>
      <c r="S15" s="168"/>
      <c r="T15" s="3"/>
      <c r="U15" s="3"/>
      <c r="V15" s="3"/>
    </row>
    <row r="16" spans="1:22" ht="20.85" customHeight="1" x14ac:dyDescent="0.25">
      <c r="A16" s="21"/>
      <c r="B16" s="267"/>
      <c r="C16" s="3"/>
      <c r="D16" s="264"/>
      <c r="E16" s="264"/>
      <c r="F16" s="267"/>
      <c r="G16" s="267"/>
      <c r="H16" s="2"/>
      <c r="I16" s="2"/>
      <c r="J16" s="2"/>
      <c r="K16" s="24" t="str">
        <f>IF(Feb[[#This Row],[Date of Incident]]="","",TEXT(Feb[[#This Row],[Date of Incident]],"ddd"))</f>
        <v/>
      </c>
      <c r="L16" s="1"/>
      <c r="M16" s="24" t="str">
        <f>IFERROR(VLOOKUP(Feb[[#This Row],[Hour]],Shifts[],2,FALSE),"")</f>
        <v/>
      </c>
      <c r="N16" s="2"/>
      <c r="O16" s="24" t="str">
        <f>IFERROR(VLOOKUP(Feb[[#This Row],[BIMS Score]],BIMS[],2,FALSE),"")</f>
        <v/>
      </c>
      <c r="P16" s="3"/>
      <c r="Q16" s="3"/>
      <c r="R16" s="2"/>
      <c r="S16" s="168"/>
      <c r="T16" s="3"/>
      <c r="U16" s="3"/>
      <c r="V16" s="3"/>
    </row>
    <row r="17" spans="1:22" ht="20.85" customHeight="1" x14ac:dyDescent="0.25">
      <c r="A17" s="21"/>
      <c r="B17" s="267"/>
      <c r="C17" s="3"/>
      <c r="D17" s="264"/>
      <c r="E17" s="264"/>
      <c r="F17" s="267"/>
      <c r="G17" s="267"/>
      <c r="H17" s="2"/>
      <c r="I17" s="2"/>
      <c r="J17" s="2"/>
      <c r="K17" s="24" t="str">
        <f>IF(Feb[[#This Row],[Date of Incident]]="","",TEXT(Feb[[#This Row],[Date of Incident]],"ddd"))</f>
        <v/>
      </c>
      <c r="L17" s="1"/>
      <c r="M17" s="24" t="str">
        <f>IFERROR(VLOOKUP(Feb[[#This Row],[Hour]],Shifts[],2,FALSE),"")</f>
        <v/>
      </c>
      <c r="N17" s="2"/>
      <c r="O17" s="24" t="str">
        <f>IFERROR(VLOOKUP(Feb[[#This Row],[BIMS Score]],BIMS[],2,FALSE),"")</f>
        <v/>
      </c>
      <c r="P17" s="3"/>
      <c r="Q17" s="3"/>
      <c r="R17" s="2"/>
      <c r="S17" s="168"/>
      <c r="T17" s="3"/>
      <c r="U17" s="3"/>
      <c r="V17" s="3"/>
    </row>
    <row r="18" spans="1:22" ht="20.85" customHeight="1" x14ac:dyDescent="0.25">
      <c r="A18" s="21"/>
      <c r="B18" s="267"/>
      <c r="C18" s="3"/>
      <c r="D18" s="264"/>
      <c r="E18" s="264"/>
      <c r="F18" s="267"/>
      <c r="G18" s="267"/>
      <c r="H18" s="2"/>
      <c r="I18" s="2"/>
      <c r="J18" s="2"/>
      <c r="K18" s="24" t="str">
        <f>IF(Feb[[#This Row],[Date of Incident]]="","",TEXT(Feb[[#This Row],[Date of Incident]],"ddd"))</f>
        <v/>
      </c>
      <c r="L18" s="1"/>
      <c r="M18" s="24" t="str">
        <f>IFERROR(VLOOKUP(Feb[[#This Row],[Hour]],Shifts[],2,FALSE),"")</f>
        <v/>
      </c>
      <c r="N18" s="2"/>
      <c r="O18" s="24" t="str">
        <f>IFERROR(VLOOKUP(Feb[[#This Row],[BIMS Score]],BIMS[],2,FALSE),"")</f>
        <v/>
      </c>
      <c r="P18" s="3"/>
      <c r="Q18" s="3"/>
      <c r="R18" s="2"/>
      <c r="S18" s="168"/>
      <c r="T18" s="3"/>
      <c r="U18" s="3"/>
      <c r="V18" s="3"/>
    </row>
    <row r="19" spans="1:22" ht="20.85" customHeight="1" x14ac:dyDescent="0.25">
      <c r="A19" s="21"/>
      <c r="B19" s="267"/>
      <c r="C19" s="3"/>
      <c r="D19" s="264"/>
      <c r="E19" s="264"/>
      <c r="F19" s="267"/>
      <c r="G19" s="267"/>
      <c r="H19" s="2"/>
      <c r="I19" s="2"/>
      <c r="J19" s="2"/>
      <c r="K19" s="24" t="str">
        <f>IF(Feb[[#This Row],[Date of Incident]]="","",TEXT(Feb[[#This Row],[Date of Incident]],"ddd"))</f>
        <v/>
      </c>
      <c r="L19" s="1"/>
      <c r="M19" s="24" t="str">
        <f>IFERROR(VLOOKUP(Feb[[#This Row],[Hour]],Shifts[],2,FALSE),"")</f>
        <v/>
      </c>
      <c r="N19" s="2"/>
      <c r="O19" s="24" t="str">
        <f>IFERROR(VLOOKUP(Feb[[#This Row],[BIMS Score]],BIMS[],2,FALSE),"")</f>
        <v/>
      </c>
      <c r="P19" s="3"/>
      <c r="Q19" s="3"/>
      <c r="R19" s="2"/>
      <c r="S19" s="168"/>
      <c r="T19" s="3"/>
      <c r="U19" s="3"/>
      <c r="V19" s="3"/>
    </row>
    <row r="20" spans="1:22" ht="20.85" customHeight="1" x14ac:dyDescent="0.25">
      <c r="A20" s="21"/>
      <c r="B20" s="267"/>
      <c r="C20" s="3"/>
      <c r="D20" s="264"/>
      <c r="E20" s="264"/>
      <c r="F20" s="267"/>
      <c r="G20" s="267"/>
      <c r="H20" s="2"/>
      <c r="I20" s="2"/>
      <c r="J20" s="2"/>
      <c r="K20" s="24" t="str">
        <f>IF(Feb[[#This Row],[Date of Incident]]="","",TEXT(Feb[[#This Row],[Date of Incident]],"ddd"))</f>
        <v/>
      </c>
      <c r="L20" s="1"/>
      <c r="M20" s="24" t="str">
        <f>IFERROR(VLOOKUP(Feb[[#This Row],[Hour]],Shifts[],2,FALSE),"")</f>
        <v/>
      </c>
      <c r="N20" s="2"/>
      <c r="O20" s="24" t="str">
        <f>IFERROR(VLOOKUP(Feb[[#This Row],[BIMS Score]],BIMS[],2,FALSE),"")</f>
        <v/>
      </c>
      <c r="P20" s="3"/>
      <c r="Q20" s="3"/>
      <c r="R20" s="2"/>
      <c r="S20" s="168"/>
      <c r="T20" s="3"/>
      <c r="U20" s="3"/>
      <c r="V20" s="3"/>
    </row>
    <row r="21" spans="1:22" ht="20.85" customHeight="1" x14ac:dyDescent="0.25">
      <c r="A21" s="21"/>
      <c r="B21" s="267"/>
      <c r="C21" s="3"/>
      <c r="D21" s="264"/>
      <c r="E21" s="264"/>
      <c r="F21" s="267"/>
      <c r="G21" s="267"/>
      <c r="H21" s="2"/>
      <c r="I21" s="2"/>
      <c r="J21" s="2"/>
      <c r="K21" s="24" t="str">
        <f>IF(Feb[[#This Row],[Date of Incident]]="","",TEXT(Feb[[#This Row],[Date of Incident]],"ddd"))</f>
        <v/>
      </c>
      <c r="L21" s="1"/>
      <c r="M21" s="24" t="str">
        <f>IFERROR(VLOOKUP(Feb[[#This Row],[Hour]],Shifts[],2,FALSE),"")</f>
        <v/>
      </c>
      <c r="N21" s="2"/>
      <c r="O21" s="24" t="str">
        <f>IFERROR(VLOOKUP(Feb[[#This Row],[BIMS Score]],BIMS[],2,FALSE),"")</f>
        <v/>
      </c>
      <c r="P21" s="3"/>
      <c r="Q21" s="3"/>
      <c r="R21" s="2"/>
      <c r="S21" s="168"/>
      <c r="T21" s="3"/>
      <c r="U21" s="3"/>
      <c r="V21" s="3"/>
    </row>
    <row r="22" spans="1:22" ht="20.85" customHeight="1" x14ac:dyDescent="0.25">
      <c r="A22" s="21"/>
      <c r="B22" s="267"/>
      <c r="C22" s="3"/>
      <c r="D22" s="264"/>
      <c r="E22" s="264"/>
      <c r="F22" s="267"/>
      <c r="G22" s="267"/>
      <c r="H22" s="2"/>
      <c r="I22" s="2"/>
      <c r="J22" s="2"/>
      <c r="K22" s="24" t="str">
        <f>IF(Feb[[#This Row],[Date of Incident]]="","",TEXT(Feb[[#This Row],[Date of Incident]],"ddd"))</f>
        <v/>
      </c>
      <c r="L22" s="1"/>
      <c r="M22" s="24" t="str">
        <f>IFERROR(VLOOKUP(Feb[[#This Row],[Hour]],Shifts[],2,FALSE),"")</f>
        <v/>
      </c>
      <c r="N22" s="1"/>
      <c r="O22" s="24" t="str">
        <f>IFERROR(VLOOKUP(Feb[[#This Row],[BIMS Score]],BIMS[],2,FALSE),"")</f>
        <v/>
      </c>
      <c r="P22" s="3"/>
      <c r="Q22" s="3"/>
      <c r="R22" s="2"/>
      <c r="S22" s="168"/>
      <c r="T22" s="3"/>
      <c r="U22" s="3"/>
      <c r="V22" s="3"/>
    </row>
    <row r="23" spans="1:22" ht="20.85" customHeight="1" x14ac:dyDescent="0.25">
      <c r="A23" s="21"/>
      <c r="B23" s="267"/>
      <c r="C23" s="3"/>
      <c r="D23" s="264"/>
      <c r="E23" s="264"/>
      <c r="F23" s="267"/>
      <c r="G23" s="267"/>
      <c r="H23" s="2"/>
      <c r="I23" s="2"/>
      <c r="J23" s="2"/>
      <c r="K23" s="24" t="str">
        <f>IF(Feb[[#This Row],[Date of Incident]]="","",TEXT(Feb[[#This Row],[Date of Incident]],"ddd"))</f>
        <v/>
      </c>
      <c r="L23" s="1"/>
      <c r="M23" s="24" t="str">
        <f>IFERROR(VLOOKUP(Feb[[#This Row],[Hour]],Shifts[],2,FALSE),"")</f>
        <v/>
      </c>
      <c r="N23" s="1"/>
      <c r="O23" s="24" t="str">
        <f>IFERROR(VLOOKUP(Feb[[#This Row],[BIMS Score]],BIMS[],2,FALSE),"")</f>
        <v/>
      </c>
      <c r="P23" s="3"/>
      <c r="Q23" s="3"/>
      <c r="R23" s="2"/>
      <c r="S23" s="168"/>
      <c r="T23" s="3"/>
      <c r="U23" s="3"/>
      <c r="V23" s="3"/>
    </row>
    <row r="24" spans="1:22" s="10" customFormat="1" ht="20.85" customHeight="1" x14ac:dyDescent="0.25">
      <c r="A24" s="26"/>
      <c r="B24" s="266"/>
      <c r="C24" s="5"/>
      <c r="D24" s="263"/>
      <c r="E24" s="263"/>
      <c r="F24" s="267"/>
      <c r="G24" s="267"/>
      <c r="H24" s="1"/>
      <c r="I24" s="1"/>
      <c r="J24" s="1"/>
      <c r="K24" s="24" t="str">
        <f>IF(Feb[[#This Row],[Date of Incident]]="","",TEXT(Feb[[#This Row],[Date of Incident]],"ddd"))</f>
        <v/>
      </c>
      <c r="L24" s="1"/>
      <c r="M24" s="24" t="str">
        <f>IFERROR(VLOOKUP(Feb[[#This Row],[Hour]],Shifts[],2,FALSE),"")</f>
        <v/>
      </c>
      <c r="N24" s="1"/>
      <c r="O24" s="24" t="str">
        <f>IFERROR(VLOOKUP(Feb[[#This Row],[BIMS Score]],BIMS[],2,FALSE),"")</f>
        <v/>
      </c>
      <c r="P24" s="3"/>
      <c r="Q24" s="3"/>
      <c r="R24" s="2"/>
      <c r="S24" s="168"/>
      <c r="T24" s="5"/>
      <c r="U24" s="5"/>
      <c r="V24" s="3"/>
    </row>
    <row r="25" spans="1:22" ht="20.85" customHeight="1" x14ac:dyDescent="0.25">
      <c r="A25" s="21"/>
      <c r="B25" s="266"/>
      <c r="C25" s="5"/>
      <c r="D25" s="263"/>
      <c r="E25" s="263"/>
      <c r="F25" s="267"/>
      <c r="G25" s="267"/>
      <c r="H25" s="1"/>
      <c r="I25" s="1"/>
      <c r="J25" s="1"/>
      <c r="K25" s="24" t="str">
        <f>IF(Feb[[#This Row],[Date of Incident]]="","",TEXT(Feb[[#This Row],[Date of Incident]],"ddd"))</f>
        <v/>
      </c>
      <c r="L25" s="1"/>
      <c r="M25" s="24" t="str">
        <f>IFERROR(VLOOKUP(Feb[[#This Row],[Hour]],Shifts[],2,FALSE),"")</f>
        <v/>
      </c>
      <c r="N25" s="1"/>
      <c r="O25" s="24" t="str">
        <f>IFERROR(VLOOKUP(Feb[[#This Row],[BIMS Score]],BIMS[],2,FALSE),"")</f>
        <v/>
      </c>
      <c r="P25" s="3"/>
      <c r="Q25" s="3"/>
      <c r="R25" s="2"/>
      <c r="S25" s="168"/>
      <c r="T25" s="5"/>
      <c r="U25" s="5"/>
      <c r="V25" s="3"/>
    </row>
    <row r="26" spans="1:22" ht="20.85" customHeight="1" x14ac:dyDescent="0.25">
      <c r="A26" s="21"/>
      <c r="B26" s="266"/>
      <c r="C26" s="5"/>
      <c r="D26" s="263"/>
      <c r="E26" s="263"/>
      <c r="F26" s="267"/>
      <c r="G26" s="267"/>
      <c r="H26" s="1"/>
      <c r="I26" s="1"/>
      <c r="J26" s="1"/>
      <c r="K26" s="24" t="str">
        <f>IF(Feb[[#This Row],[Date of Incident]]="","",TEXT(Feb[[#This Row],[Date of Incident]],"ddd"))</f>
        <v/>
      </c>
      <c r="L26" s="1"/>
      <c r="M26" s="24" t="str">
        <f>IFERROR(VLOOKUP(Feb[[#This Row],[Hour]],Shifts[],2,FALSE),"")</f>
        <v/>
      </c>
      <c r="N26" s="1"/>
      <c r="O26" s="24" t="str">
        <f>IFERROR(VLOOKUP(Feb[[#This Row],[BIMS Score]],BIMS[],2,FALSE),"")</f>
        <v/>
      </c>
      <c r="P26" s="3"/>
      <c r="Q26" s="3"/>
      <c r="R26" s="2"/>
      <c r="S26" s="168"/>
      <c r="T26" s="5"/>
      <c r="U26" s="5"/>
      <c r="V26" s="3"/>
    </row>
    <row r="27" spans="1:22" ht="20.85" customHeight="1" x14ac:dyDescent="0.25">
      <c r="A27" s="21"/>
      <c r="B27" s="266"/>
      <c r="C27" s="5"/>
      <c r="D27" s="263"/>
      <c r="E27" s="263"/>
      <c r="F27" s="267"/>
      <c r="G27" s="267"/>
      <c r="H27" s="1"/>
      <c r="I27" s="1"/>
      <c r="J27" s="1"/>
      <c r="K27" s="24" t="str">
        <f>IF(Feb[[#This Row],[Date of Incident]]="","",TEXT(Feb[[#This Row],[Date of Incident]],"ddd"))</f>
        <v/>
      </c>
      <c r="L27" s="1"/>
      <c r="M27" s="24" t="str">
        <f>IFERROR(VLOOKUP(Feb[[#This Row],[Hour]],Shifts[],2,FALSE),"")</f>
        <v/>
      </c>
      <c r="N27" s="1"/>
      <c r="O27" s="24" t="str">
        <f>IFERROR(VLOOKUP(Feb[[#This Row],[BIMS Score]],BIMS[],2,FALSE),"")</f>
        <v/>
      </c>
      <c r="P27" s="3"/>
      <c r="Q27" s="3"/>
      <c r="R27" s="2"/>
      <c r="S27" s="168"/>
      <c r="T27" s="5"/>
      <c r="U27" s="5"/>
      <c r="V27" s="3"/>
    </row>
    <row r="28" spans="1:22" ht="20.85" customHeight="1" x14ac:dyDescent="0.25">
      <c r="A28" s="21"/>
      <c r="B28" s="266"/>
      <c r="C28" s="5"/>
      <c r="D28" s="263"/>
      <c r="E28" s="263"/>
      <c r="F28" s="267"/>
      <c r="G28" s="267"/>
      <c r="H28" s="1"/>
      <c r="I28" s="1"/>
      <c r="J28" s="1"/>
      <c r="K28" s="24" t="str">
        <f>IF(Feb[[#This Row],[Date of Incident]]="","",TEXT(Feb[[#This Row],[Date of Incident]],"ddd"))</f>
        <v/>
      </c>
      <c r="L28" s="1"/>
      <c r="M28" s="24" t="str">
        <f>IFERROR(VLOOKUP(Feb[[#This Row],[Hour]],Shifts[],2,FALSE),"")</f>
        <v/>
      </c>
      <c r="N28" s="1"/>
      <c r="O28" s="24" t="str">
        <f>IFERROR(VLOOKUP(Feb[[#This Row],[BIMS Score]],BIMS[],2,FALSE),"")</f>
        <v/>
      </c>
      <c r="P28" s="3"/>
      <c r="Q28" s="3"/>
      <c r="R28" s="2"/>
      <c r="S28" s="168"/>
      <c r="T28" s="5"/>
      <c r="U28" s="5"/>
      <c r="V28" s="3"/>
    </row>
    <row r="29" spans="1:22" ht="20.85" customHeight="1" x14ac:dyDescent="0.25">
      <c r="B29" s="266"/>
      <c r="C29" s="5"/>
      <c r="D29" s="263"/>
      <c r="E29" s="263"/>
      <c r="F29" s="267"/>
      <c r="G29" s="267"/>
      <c r="H29" s="1"/>
      <c r="I29" s="1"/>
      <c r="J29" s="1"/>
      <c r="K29" s="27" t="str">
        <f>IF(Feb[[#This Row],[Date of Incident]]="","",TEXT(Feb[[#This Row],[Date of Incident]],"ddd"))</f>
        <v/>
      </c>
      <c r="L29" s="1"/>
      <c r="M29" s="27" t="str">
        <f>IFERROR(VLOOKUP(Feb[[#This Row],[Hour]],Shifts[],2,FALSE),"")</f>
        <v/>
      </c>
      <c r="N29" s="2"/>
      <c r="O29" s="24" t="str">
        <f>IFERROR(VLOOKUP(Feb[[#This Row],[BIMS Score]],BIMS[],2,FALSE),"")</f>
        <v/>
      </c>
      <c r="P29" s="3"/>
      <c r="Q29" s="3"/>
      <c r="R29" s="2"/>
      <c r="S29" s="168"/>
      <c r="T29" s="5"/>
      <c r="U29" s="5"/>
      <c r="V29" s="5"/>
    </row>
    <row r="30" spans="1:22" ht="20.85" customHeight="1" x14ac:dyDescent="0.25">
      <c r="B30" s="266"/>
      <c r="C30" s="5"/>
      <c r="D30" s="263"/>
      <c r="E30" s="263"/>
      <c r="F30" s="267"/>
      <c r="G30" s="267"/>
      <c r="H30" s="1"/>
      <c r="I30" s="1"/>
      <c r="J30" s="1"/>
      <c r="K30" s="27" t="str">
        <f>IF(Feb[[#This Row],[Date of Incident]]="","",TEXT(Feb[[#This Row],[Date of Incident]],"ddd"))</f>
        <v/>
      </c>
      <c r="L30" s="1"/>
      <c r="M30" s="27" t="str">
        <f>IFERROR(VLOOKUP(Feb[[#This Row],[Hour]],Shifts[],2,FALSE),"")</f>
        <v/>
      </c>
      <c r="N30" s="2"/>
      <c r="O30" s="24" t="str">
        <f>IFERROR(VLOOKUP(Feb[[#This Row],[BIMS Score]],BIMS[],2,FALSE),"")</f>
        <v/>
      </c>
      <c r="P30" s="3"/>
      <c r="Q30" s="3"/>
      <c r="R30" s="2"/>
      <c r="S30" s="168"/>
      <c r="T30" s="5"/>
      <c r="U30" s="5"/>
      <c r="V30" s="5"/>
    </row>
    <row r="31" spans="1:22" ht="20.85" customHeight="1" x14ac:dyDescent="0.25">
      <c r="B31" s="266"/>
      <c r="C31" s="5"/>
      <c r="D31" s="263"/>
      <c r="E31" s="263"/>
      <c r="F31" s="267"/>
      <c r="G31" s="267"/>
      <c r="H31" s="1"/>
      <c r="I31" s="1"/>
      <c r="J31" s="1"/>
      <c r="K31" s="27" t="str">
        <f>IF(Feb[[#This Row],[Date of Incident]]="","",TEXT(Feb[[#This Row],[Date of Incident]],"ddd"))</f>
        <v/>
      </c>
      <c r="L31" s="1"/>
      <c r="M31" s="27" t="str">
        <f>IFERROR(VLOOKUP(Feb[[#This Row],[Hour]],Shifts[],2,FALSE),"")</f>
        <v/>
      </c>
      <c r="N31" s="2"/>
      <c r="O31" s="24" t="str">
        <f>IFERROR(VLOOKUP(Feb[[#This Row],[BIMS Score]],BIMS[],2,FALSE),"")</f>
        <v/>
      </c>
      <c r="P31" s="3"/>
      <c r="Q31" s="3"/>
      <c r="R31" s="2"/>
      <c r="S31" s="168"/>
      <c r="T31" s="5"/>
      <c r="U31" s="5"/>
      <c r="V31" s="5"/>
    </row>
    <row r="32" spans="1:22" ht="20.85" customHeight="1" x14ac:dyDescent="0.25">
      <c r="B32" s="266"/>
      <c r="C32" s="5"/>
      <c r="D32" s="263"/>
      <c r="E32" s="263"/>
      <c r="F32" s="267"/>
      <c r="G32" s="267"/>
      <c r="H32" s="1"/>
      <c r="I32" s="1"/>
      <c r="J32" s="1"/>
      <c r="K32" s="27" t="str">
        <f>IF(Feb[[#This Row],[Date of Incident]]="","",TEXT(Feb[[#This Row],[Date of Incident]],"ddd"))</f>
        <v/>
      </c>
      <c r="L32" s="1"/>
      <c r="M32" s="27" t="str">
        <f>IFERROR(VLOOKUP(Feb[[#This Row],[Hour]],Shifts[],2,FALSE),"")</f>
        <v/>
      </c>
      <c r="N32" s="2"/>
      <c r="O32" s="24" t="str">
        <f>IFERROR(VLOOKUP(Feb[[#This Row],[BIMS Score]],BIMS[],2,FALSE),"")</f>
        <v/>
      </c>
      <c r="P32" s="3"/>
      <c r="Q32" s="3"/>
      <c r="R32" s="2"/>
      <c r="S32" s="168"/>
      <c r="T32" s="5"/>
      <c r="U32" s="5"/>
      <c r="V32" s="5"/>
    </row>
    <row r="33" spans="2:22" ht="20.85" customHeight="1" x14ac:dyDescent="0.25">
      <c r="B33" s="266"/>
      <c r="C33" s="5"/>
      <c r="D33" s="263"/>
      <c r="E33" s="263"/>
      <c r="F33" s="267"/>
      <c r="G33" s="267"/>
      <c r="H33" s="1"/>
      <c r="I33" s="1"/>
      <c r="J33" s="1"/>
      <c r="K33" s="27" t="str">
        <f>IF(Feb[[#This Row],[Date of Incident]]="","",TEXT(Feb[[#This Row],[Date of Incident]],"ddd"))</f>
        <v/>
      </c>
      <c r="L33" s="1"/>
      <c r="M33" s="27" t="str">
        <f>IFERROR(VLOOKUP(Feb[[#This Row],[Hour]],Shifts[],2,FALSE),"")</f>
        <v/>
      </c>
      <c r="N33" s="2"/>
      <c r="O33" s="24" t="str">
        <f>IFERROR(VLOOKUP(Feb[[#This Row],[BIMS Score]],BIMS[],2,FALSE),"")</f>
        <v/>
      </c>
      <c r="P33" s="3"/>
      <c r="Q33" s="3"/>
      <c r="R33" s="2"/>
      <c r="S33" s="168"/>
      <c r="T33" s="5"/>
      <c r="U33" s="5"/>
      <c r="V33" s="5"/>
    </row>
    <row r="34" spans="2:22" ht="20.85" customHeight="1" x14ac:dyDescent="0.25">
      <c r="B34" s="266"/>
      <c r="C34" s="5"/>
      <c r="D34" s="263"/>
      <c r="E34" s="263"/>
      <c r="F34" s="267"/>
      <c r="G34" s="267"/>
      <c r="H34" s="1"/>
      <c r="I34" s="1"/>
      <c r="J34" s="1"/>
      <c r="K34" s="27" t="str">
        <f>IF(Feb[[#This Row],[Date of Incident]]="","",TEXT(Feb[[#This Row],[Date of Incident]],"ddd"))</f>
        <v/>
      </c>
      <c r="L34" s="1"/>
      <c r="M34" s="27" t="str">
        <f>IFERROR(VLOOKUP(Feb[[#This Row],[Hour]],Shifts[],2,FALSE),"")</f>
        <v/>
      </c>
      <c r="N34" s="2"/>
      <c r="O34" s="24" t="str">
        <f>IFERROR(VLOOKUP(Feb[[#This Row],[BIMS Score]],BIMS[],2,FALSE),"")</f>
        <v/>
      </c>
      <c r="P34" s="3"/>
      <c r="Q34" s="3"/>
      <c r="R34" s="2"/>
      <c r="S34" s="168"/>
      <c r="T34" s="5"/>
      <c r="U34" s="5"/>
      <c r="V34" s="5"/>
    </row>
    <row r="35" spans="2:22" ht="20.85" customHeight="1" x14ac:dyDescent="0.25">
      <c r="B35" s="266"/>
      <c r="C35" s="5"/>
      <c r="D35" s="263"/>
      <c r="E35" s="263"/>
      <c r="F35" s="267"/>
      <c r="G35" s="267"/>
      <c r="H35" s="1"/>
      <c r="I35" s="1"/>
      <c r="J35" s="1"/>
      <c r="K35" s="27" t="str">
        <f>IF(Feb[[#This Row],[Date of Incident]]="","",TEXT(Feb[[#This Row],[Date of Incident]],"ddd"))</f>
        <v/>
      </c>
      <c r="L35" s="1"/>
      <c r="M35" s="27" t="str">
        <f>IFERROR(VLOOKUP(Feb[[#This Row],[Hour]],Shifts[],2,FALSE),"")</f>
        <v/>
      </c>
      <c r="N35" s="2"/>
      <c r="O35" s="24" t="str">
        <f>IFERROR(VLOOKUP(Feb[[#This Row],[BIMS Score]],BIMS[],2,FALSE),"")</f>
        <v/>
      </c>
      <c r="P35" s="3"/>
      <c r="Q35" s="3"/>
      <c r="R35" s="2"/>
      <c r="S35" s="168"/>
      <c r="T35" s="5"/>
      <c r="U35" s="5"/>
      <c r="V35" s="5"/>
    </row>
    <row r="36" spans="2:22" ht="20.85" customHeight="1" x14ac:dyDescent="0.25">
      <c r="B36" s="266"/>
      <c r="C36" s="5"/>
      <c r="D36" s="263"/>
      <c r="E36" s="263"/>
      <c r="F36" s="267"/>
      <c r="G36" s="267"/>
      <c r="H36" s="1"/>
      <c r="I36" s="1"/>
      <c r="J36" s="1"/>
      <c r="K36" s="27" t="str">
        <f>IF(Feb[[#This Row],[Date of Incident]]="","",TEXT(Feb[[#This Row],[Date of Incident]],"ddd"))</f>
        <v/>
      </c>
      <c r="L36" s="1"/>
      <c r="M36" s="27" t="str">
        <f>IFERROR(VLOOKUP(Feb[[#This Row],[Hour]],Shifts[],2,FALSE),"")</f>
        <v/>
      </c>
      <c r="N36" s="2"/>
      <c r="O36" s="24" t="str">
        <f>IFERROR(VLOOKUP(Feb[[#This Row],[BIMS Score]],BIMS[],2,FALSE),"")</f>
        <v/>
      </c>
      <c r="P36" s="3"/>
      <c r="Q36" s="3"/>
      <c r="R36" s="2"/>
      <c r="S36" s="168"/>
      <c r="T36" s="5"/>
      <c r="U36" s="5"/>
      <c r="V36" s="5"/>
    </row>
    <row r="37" spans="2:22" ht="20.85" customHeight="1" x14ac:dyDescent="0.25">
      <c r="B37" s="266"/>
      <c r="C37" s="5"/>
      <c r="D37" s="263"/>
      <c r="E37" s="263"/>
      <c r="F37" s="267"/>
      <c r="G37" s="267"/>
      <c r="H37" s="1"/>
      <c r="I37" s="1"/>
      <c r="J37" s="1"/>
      <c r="K37" s="27" t="str">
        <f>IF(Feb[[#This Row],[Date of Incident]]="","",TEXT(Feb[[#This Row],[Date of Incident]],"ddd"))</f>
        <v/>
      </c>
      <c r="L37" s="1"/>
      <c r="M37" s="27" t="str">
        <f>IFERROR(VLOOKUP(Feb[[#This Row],[Hour]],Shifts[],2,FALSE),"")</f>
        <v/>
      </c>
      <c r="N37" s="2"/>
      <c r="O37" s="24" t="str">
        <f>IFERROR(VLOOKUP(Feb[[#This Row],[BIMS Score]],BIMS[],2,FALSE),"")</f>
        <v/>
      </c>
      <c r="P37" s="3"/>
      <c r="Q37" s="3"/>
      <c r="R37" s="2"/>
      <c r="S37" s="168"/>
      <c r="T37" s="5"/>
      <c r="U37" s="5"/>
      <c r="V37" s="5"/>
    </row>
    <row r="38" spans="2:22" ht="20.85" customHeight="1" x14ac:dyDescent="0.25">
      <c r="B38" s="266"/>
      <c r="C38" s="5"/>
      <c r="D38" s="263"/>
      <c r="E38" s="263"/>
      <c r="F38" s="267"/>
      <c r="G38" s="267"/>
      <c r="H38" s="1"/>
      <c r="I38" s="1"/>
      <c r="J38" s="1"/>
      <c r="K38" s="27" t="str">
        <f>IF(Feb[[#This Row],[Date of Incident]]="","",TEXT(Feb[[#This Row],[Date of Incident]],"ddd"))</f>
        <v/>
      </c>
      <c r="L38" s="1"/>
      <c r="M38" s="27" t="str">
        <f>IFERROR(VLOOKUP(Feb[[#This Row],[Hour]],Shifts[],2,FALSE),"")</f>
        <v/>
      </c>
      <c r="N38" s="2"/>
      <c r="O38" s="24" t="str">
        <f>IFERROR(VLOOKUP(Feb[[#This Row],[BIMS Score]],BIMS[],2,FALSE),"")</f>
        <v/>
      </c>
      <c r="P38" s="3"/>
      <c r="Q38" s="3"/>
      <c r="R38" s="2"/>
      <c r="S38" s="168"/>
      <c r="T38" s="5"/>
      <c r="U38" s="5"/>
      <c r="V38" s="5"/>
    </row>
    <row r="39" spans="2:22" ht="20.85" customHeight="1" x14ac:dyDescent="0.25">
      <c r="B39" s="266"/>
      <c r="C39" s="5"/>
      <c r="D39" s="263"/>
      <c r="E39" s="263"/>
      <c r="F39" s="267"/>
      <c r="G39" s="267"/>
      <c r="H39" s="1"/>
      <c r="I39" s="1"/>
      <c r="J39" s="1"/>
      <c r="K39" s="27" t="str">
        <f>IF(Feb[[#This Row],[Date of Incident]]="","",TEXT(Feb[[#This Row],[Date of Incident]],"ddd"))</f>
        <v/>
      </c>
      <c r="L39" s="1"/>
      <c r="M39" s="27" t="str">
        <f>IFERROR(VLOOKUP(Feb[[#This Row],[Hour]],Shifts[],2,FALSE),"")</f>
        <v/>
      </c>
      <c r="N39" s="2"/>
      <c r="O39" s="24" t="str">
        <f>IFERROR(VLOOKUP(Feb[[#This Row],[BIMS Score]],BIMS[],2,FALSE),"")</f>
        <v/>
      </c>
      <c r="P39" s="3"/>
      <c r="Q39" s="3"/>
      <c r="R39" s="2"/>
      <c r="S39" s="168"/>
      <c r="T39" s="5"/>
      <c r="U39" s="5"/>
      <c r="V39" s="5"/>
    </row>
    <row r="40" spans="2:22" ht="20.85" customHeight="1" x14ac:dyDescent="0.25">
      <c r="B40" s="266"/>
      <c r="C40" s="5"/>
      <c r="D40" s="263"/>
      <c r="E40" s="263"/>
      <c r="F40" s="267"/>
      <c r="G40" s="267"/>
      <c r="H40" s="1"/>
      <c r="I40" s="1"/>
      <c r="J40" s="1"/>
      <c r="K40" s="27" t="str">
        <f>IF(Feb[[#This Row],[Date of Incident]]="","",TEXT(Feb[[#This Row],[Date of Incident]],"ddd"))</f>
        <v/>
      </c>
      <c r="L40" s="1"/>
      <c r="M40" s="27" t="str">
        <f>IFERROR(VLOOKUP(Feb[[#This Row],[Hour]],Shifts[],2,FALSE),"")</f>
        <v/>
      </c>
      <c r="N40" s="2"/>
      <c r="O40" s="24" t="str">
        <f>IFERROR(VLOOKUP(Feb[[#This Row],[BIMS Score]],BIMS[],2,FALSE),"")</f>
        <v/>
      </c>
      <c r="P40" s="3"/>
      <c r="Q40" s="3"/>
      <c r="R40" s="2"/>
      <c r="S40" s="168"/>
      <c r="T40" s="5"/>
      <c r="U40" s="5"/>
      <c r="V40" s="5"/>
    </row>
    <row r="41" spans="2:22" x14ac:dyDescent="0.25">
      <c r="B41" s="26"/>
      <c r="C41" s="21"/>
      <c r="D41" s="22"/>
      <c r="E41" s="23"/>
      <c r="F41" s="26"/>
      <c r="G41" s="26"/>
      <c r="H41" s="26"/>
      <c r="I41" s="26"/>
      <c r="J41" s="26"/>
      <c r="K41" s="26"/>
      <c r="L41" s="26"/>
      <c r="M41" s="26"/>
      <c r="N41" s="20"/>
      <c r="O41" s="25"/>
      <c r="P41" s="21"/>
      <c r="Q41" s="21"/>
      <c r="R41" s="25"/>
    </row>
    <row r="42" spans="2:22" x14ac:dyDescent="0.25">
      <c r="B42" s="26"/>
      <c r="C42" s="21"/>
      <c r="D42" s="22"/>
      <c r="E42" s="23"/>
      <c r="F42" s="26"/>
      <c r="G42" s="26"/>
      <c r="H42" s="26"/>
      <c r="I42" s="26"/>
      <c r="J42" s="26"/>
      <c r="K42" s="26"/>
      <c r="L42" s="26"/>
      <c r="M42" s="26"/>
      <c r="N42" s="20"/>
      <c r="O42" s="25"/>
      <c r="P42" s="21"/>
      <c r="Q42" s="21"/>
      <c r="R42" s="25"/>
    </row>
    <row r="43" spans="2:22" x14ac:dyDescent="0.25">
      <c r="B43" s="26"/>
      <c r="C43" s="21"/>
      <c r="D43" s="22"/>
      <c r="E43" s="23"/>
      <c r="F43" s="26"/>
      <c r="G43" s="26"/>
      <c r="H43" s="26"/>
      <c r="I43" s="26"/>
      <c r="J43" s="26"/>
      <c r="K43" s="26"/>
      <c r="L43" s="26"/>
      <c r="M43" s="26"/>
      <c r="N43" s="20"/>
      <c r="O43" s="25"/>
      <c r="P43" s="21"/>
      <c r="Q43" s="21"/>
      <c r="R43" s="25"/>
    </row>
    <row r="44" spans="2:22" x14ac:dyDescent="0.25">
      <c r="B44" s="26"/>
      <c r="C44" s="21"/>
      <c r="D44" s="22"/>
      <c r="E44" s="23"/>
      <c r="F44" s="26"/>
      <c r="G44" s="26"/>
      <c r="H44" s="26"/>
      <c r="I44" s="26"/>
      <c r="J44" s="26"/>
      <c r="K44" s="26"/>
      <c r="L44" s="26"/>
      <c r="M44" s="26"/>
      <c r="N44" s="20"/>
      <c r="O44" s="25"/>
      <c r="P44" s="21"/>
      <c r="Q44" s="21"/>
      <c r="R44" s="25"/>
    </row>
    <row r="45" spans="2:22" x14ac:dyDescent="0.25">
      <c r="B45" s="26"/>
      <c r="C45" s="21"/>
      <c r="D45" s="22"/>
      <c r="E45" s="23"/>
      <c r="F45" s="26"/>
      <c r="G45" s="26"/>
      <c r="H45" s="26"/>
      <c r="I45" s="26"/>
      <c r="J45" s="26"/>
      <c r="K45" s="26"/>
      <c r="L45" s="26"/>
      <c r="M45" s="26"/>
      <c r="N45" s="20"/>
      <c r="O45" s="25"/>
      <c r="P45" s="21"/>
      <c r="Q45" s="21"/>
      <c r="R45" s="25"/>
    </row>
    <row r="46" spans="2:22" x14ac:dyDescent="0.25">
      <c r="B46" s="26"/>
      <c r="C46" s="21"/>
      <c r="D46" s="22"/>
      <c r="E46" s="23"/>
      <c r="F46" s="26"/>
      <c r="G46" s="26"/>
      <c r="H46" s="26"/>
      <c r="I46" s="26"/>
      <c r="J46" s="26"/>
      <c r="K46" s="26"/>
      <c r="L46" s="26"/>
      <c r="M46" s="26"/>
      <c r="N46" s="20"/>
      <c r="O46" s="25"/>
      <c r="P46" s="21"/>
      <c r="Q46" s="21"/>
      <c r="R46" s="25"/>
    </row>
    <row r="47" spans="2:22" x14ac:dyDescent="0.25">
      <c r="B47" s="26"/>
      <c r="C47" s="21"/>
      <c r="D47" s="22"/>
      <c r="E47" s="23"/>
      <c r="F47" s="26"/>
      <c r="G47" s="26"/>
      <c r="H47" s="26"/>
      <c r="I47" s="26"/>
      <c r="J47" s="26"/>
      <c r="K47" s="26"/>
      <c r="L47" s="26"/>
      <c r="M47" s="26"/>
      <c r="N47" s="20"/>
      <c r="O47" s="25"/>
      <c r="P47" s="21"/>
      <c r="Q47" s="21"/>
      <c r="R47" s="25"/>
    </row>
    <row r="48" spans="2:22" x14ac:dyDescent="0.25">
      <c r="B48" s="26"/>
      <c r="C48" s="21"/>
      <c r="D48" s="22"/>
      <c r="E48" s="23"/>
      <c r="F48" s="26"/>
      <c r="G48" s="26"/>
      <c r="H48" s="26"/>
      <c r="I48" s="26"/>
      <c r="J48" s="26"/>
      <c r="K48" s="26"/>
      <c r="L48" s="26"/>
      <c r="M48" s="26"/>
      <c r="N48" s="20"/>
      <c r="O48" s="25"/>
      <c r="P48" s="21"/>
      <c r="Q48" s="21"/>
      <c r="R48" s="25"/>
    </row>
    <row r="49" spans="1:18" x14ac:dyDescent="0.25">
      <c r="B49" s="26"/>
      <c r="C49" s="21"/>
      <c r="D49" s="22"/>
      <c r="E49" s="23"/>
      <c r="F49" s="26"/>
      <c r="G49" s="26"/>
      <c r="H49" s="26"/>
      <c r="I49" s="26"/>
      <c r="J49" s="26"/>
      <c r="K49" s="26"/>
      <c r="L49" s="26"/>
      <c r="M49" s="26"/>
      <c r="N49" s="20"/>
      <c r="O49" s="25"/>
      <c r="P49" s="21"/>
      <c r="Q49" s="21"/>
      <c r="R49" s="25"/>
    </row>
    <row r="50" spans="1:18" ht="15.75" thickBot="1" x14ac:dyDescent="0.3">
      <c r="B50" s="26"/>
      <c r="C50" s="21"/>
      <c r="D50" s="22"/>
      <c r="E50" s="23"/>
      <c r="F50" s="26"/>
      <c r="G50" s="26"/>
      <c r="H50" s="26"/>
      <c r="I50" s="26"/>
      <c r="Q50" s="21"/>
    </row>
    <row r="51" spans="1:18" ht="22.35" customHeight="1" thickBot="1" x14ac:dyDescent="0.3">
      <c r="B51" s="282" t="s">
        <v>85</v>
      </c>
      <c r="C51" s="283"/>
      <c r="D51" s="284"/>
      <c r="F51" s="282" t="s">
        <v>100</v>
      </c>
      <c r="G51" s="283"/>
      <c r="H51" s="284"/>
    </row>
    <row r="52" spans="1:18" ht="15.6" customHeight="1" x14ac:dyDescent="0.25">
      <c r="B52" s="285" t="s">
        <v>83</v>
      </c>
      <c r="C52" s="286"/>
      <c r="D52" s="28" t="s">
        <v>35</v>
      </c>
      <c r="F52" s="285" t="s">
        <v>83</v>
      </c>
      <c r="G52" s="286"/>
      <c r="H52" s="28" t="s">
        <v>35</v>
      </c>
    </row>
    <row r="53" spans="1:18" x14ac:dyDescent="0.25">
      <c r="B53" s="29" t="s">
        <v>41</v>
      </c>
      <c r="C53" s="30"/>
      <c r="D53" s="31">
        <f>COUNTIFS(Feb[Witnessed
Fall?],$B53)</f>
        <v>0</v>
      </c>
      <c r="F53" s="29" t="s">
        <v>79</v>
      </c>
      <c r="G53" s="30"/>
      <c r="H53" s="31">
        <f>COUNTIFS(Feb[Fall Circumstances],$F53)</f>
        <v>0</v>
      </c>
    </row>
    <row r="54" spans="1:18" ht="15.75" thickBot="1" x14ac:dyDescent="0.3">
      <c r="B54" s="32" t="s">
        <v>42</v>
      </c>
      <c r="C54" s="33"/>
      <c r="D54" s="34">
        <f>COUNTIFS(Feb[Witnessed
Fall?],$B54)</f>
        <v>0</v>
      </c>
      <c r="F54" s="29" t="s">
        <v>101</v>
      </c>
      <c r="G54" s="30"/>
      <c r="H54" s="31">
        <f>COUNTIFS(Feb[Fall Circumstances],$F54)</f>
        <v>0</v>
      </c>
    </row>
    <row r="55" spans="1:18" ht="15.6" customHeight="1" thickBot="1" x14ac:dyDescent="0.3">
      <c r="B55" s="287" t="s">
        <v>16</v>
      </c>
      <c r="C55" s="288"/>
      <c r="D55" s="35">
        <f>SUM(D53:D54)</f>
        <v>0</v>
      </c>
      <c r="F55" s="32" t="s">
        <v>102</v>
      </c>
      <c r="G55" s="33"/>
      <c r="H55" s="36">
        <f>COUNTIFS(Feb[Fall Circumstances],$F55)</f>
        <v>0</v>
      </c>
    </row>
    <row r="56" spans="1:18" ht="15.6" customHeight="1" thickBot="1" x14ac:dyDescent="0.3">
      <c r="A56" s="26"/>
      <c r="B56" s="21"/>
      <c r="C56" s="22"/>
      <c r="D56" s="26"/>
      <c r="F56" s="287" t="s">
        <v>16</v>
      </c>
      <c r="G56" s="288"/>
      <c r="H56" s="37">
        <f>SUM(H53:H55)</f>
        <v>0</v>
      </c>
    </row>
    <row r="57" spans="1:18" ht="15.75" thickBot="1" x14ac:dyDescent="0.3">
      <c r="A57" s="26"/>
      <c r="B57" s="21"/>
      <c r="C57" s="22"/>
      <c r="D57" s="26"/>
      <c r="F57" s="26"/>
      <c r="G57" s="21"/>
      <c r="H57" s="22"/>
      <c r="L57" s="21"/>
      <c r="O57" s="22"/>
    </row>
    <row r="58" spans="1:18" ht="15.75" thickBot="1" x14ac:dyDescent="0.3">
      <c r="A58" s="26"/>
      <c r="B58" s="21"/>
      <c r="C58" s="22"/>
      <c r="D58" s="26"/>
      <c r="F58" s="282" t="s">
        <v>103</v>
      </c>
      <c r="G58" s="283"/>
      <c r="H58" s="284"/>
      <c r="L58" s="21"/>
      <c r="O58" s="22"/>
    </row>
    <row r="59" spans="1:18" x14ac:dyDescent="0.25">
      <c r="A59" s="26"/>
      <c r="B59" s="21"/>
      <c r="C59" s="22"/>
      <c r="D59" s="26"/>
      <c r="F59" s="285" t="s">
        <v>26</v>
      </c>
      <c r="G59" s="286"/>
      <c r="H59" s="28" t="s">
        <v>35</v>
      </c>
      <c r="L59" s="21"/>
      <c r="O59" s="22"/>
    </row>
    <row r="60" spans="1:18" ht="15.6" customHeight="1" x14ac:dyDescent="0.25">
      <c r="F60" s="29" t="s">
        <v>142</v>
      </c>
      <c r="G60" s="30"/>
      <c r="H60" s="31">
        <f>COUNTIFS(Feb[Cognitive Impairment],$F60)</f>
        <v>0</v>
      </c>
    </row>
    <row r="61" spans="1:18" x14ac:dyDescent="0.25">
      <c r="F61" s="29" t="s">
        <v>143</v>
      </c>
      <c r="G61" s="30"/>
      <c r="H61" s="31">
        <f>COUNTIFS(Feb[Cognitive Impairment],$F61)</f>
        <v>0</v>
      </c>
    </row>
    <row r="62" spans="1:18" ht="15.75" thickBot="1" x14ac:dyDescent="0.3">
      <c r="F62" s="32" t="s">
        <v>144</v>
      </c>
      <c r="G62" s="33"/>
      <c r="H62" s="31">
        <f>COUNTIFS(Feb[Cognitive Impairment],$F62)</f>
        <v>0</v>
      </c>
    </row>
    <row r="63" spans="1:18" ht="15.75" thickBot="1" x14ac:dyDescent="0.3">
      <c r="F63" s="287" t="s">
        <v>16</v>
      </c>
      <c r="G63" s="288"/>
      <c r="H63" s="37">
        <f>SUM(H60:H62)</f>
        <v>0</v>
      </c>
    </row>
    <row r="64" spans="1:18" ht="15.75" thickBot="1" x14ac:dyDescent="0.3"/>
    <row r="65" spans="1:8" ht="21.4" customHeight="1" thickBot="1" x14ac:dyDescent="0.3">
      <c r="B65" s="282" t="s">
        <v>78</v>
      </c>
      <c r="C65" s="283"/>
      <c r="D65" s="283"/>
      <c r="E65" s="283"/>
      <c r="F65" s="283"/>
      <c r="G65" s="284"/>
    </row>
    <row r="66" spans="1:8" ht="15.6" customHeight="1" x14ac:dyDescent="0.25">
      <c r="A66" s="38"/>
      <c r="B66" s="290" t="s">
        <v>86</v>
      </c>
      <c r="C66" s="291"/>
      <c r="D66" s="291"/>
      <c r="E66" s="291"/>
      <c r="F66" s="292"/>
      <c r="G66" s="28" t="s">
        <v>35</v>
      </c>
    </row>
    <row r="67" spans="1:8" x14ac:dyDescent="0.25">
      <c r="A67" s="38"/>
      <c r="B67" s="39" t="str" cm="1">
        <f t="array" ref="B67:B90">IF(_xlfn._xlws.SORT(PriortoFall[What was the resident doing prior to fall?],1,1,TRUE)=0,"",(_xlfn._xlws.SORT(PriortoFall[What was the resident doing prior to fall?],1,1,TRUE)))</f>
        <v>Ambulating with assistive device (walker, cane, wheelchair)</v>
      </c>
      <c r="C67" s="40"/>
      <c r="D67" s="40"/>
      <c r="E67" s="40"/>
      <c r="F67" s="41"/>
      <c r="G67" s="42">
        <f>IF($B67="",NA(),COUNTIFS(Feb[What was resident doing prior to fall?],$B67))</f>
        <v>0</v>
      </c>
      <c r="H67" s="43"/>
    </row>
    <row r="68" spans="1:8" x14ac:dyDescent="0.25">
      <c r="A68" s="38"/>
      <c r="B68" s="44" t="str">
        <v>Ambulating with staff assistance</v>
      </c>
      <c r="C68" s="45"/>
      <c r="D68" s="45"/>
      <c r="E68" s="45"/>
      <c r="F68" s="46"/>
      <c r="G68" s="42">
        <f>IF($B68="",NA(),COUNTIFS(Feb[What was resident doing prior to fall?],$B68))</f>
        <v>0</v>
      </c>
    </row>
    <row r="69" spans="1:8" x14ac:dyDescent="0.25">
      <c r="A69" s="38"/>
      <c r="B69" s="39" t="str">
        <v>Ambulating without assistance or assistive device</v>
      </c>
      <c r="C69" s="40"/>
      <c r="D69" s="40"/>
      <c r="E69" s="40"/>
      <c r="F69" s="41"/>
      <c r="G69" s="42">
        <f>IF($B69="",NA(),COUNTIFS(Feb[What was resident doing prior to fall?],$B69))</f>
        <v>0</v>
      </c>
    </row>
    <row r="70" spans="1:8" x14ac:dyDescent="0.25">
      <c r="A70" s="38"/>
      <c r="B70" s="44" t="str">
        <v>Changing position (e.g., in bed, chair)</v>
      </c>
      <c r="C70" s="45"/>
      <c r="D70" s="45"/>
      <c r="E70" s="45"/>
      <c r="F70" s="46"/>
      <c r="G70" s="42">
        <f>IF($B70="",NA(),COUNTIFS(Feb[What was resident doing prior to fall?],$B70))</f>
        <v>0</v>
      </c>
    </row>
    <row r="71" spans="1:8" x14ac:dyDescent="0.25">
      <c r="A71" s="38"/>
      <c r="B71" s="44" t="str">
        <v>Dressing or undressing</v>
      </c>
      <c r="C71" s="45"/>
      <c r="D71" s="45"/>
      <c r="E71" s="45"/>
      <c r="F71" s="46"/>
      <c r="G71" s="42">
        <f>IF($B71="",NA(),COUNTIFS(Feb[What was resident doing prior to fall?],$B71))</f>
        <v>0</v>
      </c>
    </row>
    <row r="72" spans="1:8" x14ac:dyDescent="0.25">
      <c r="A72" s="38"/>
      <c r="B72" s="44" t="str">
        <v>Other activity</v>
      </c>
      <c r="C72" s="45"/>
      <c r="D72" s="45"/>
      <c r="E72" s="45"/>
      <c r="F72" s="46"/>
      <c r="G72" s="42">
        <f>IF($B72="",NA(),COUNTIFS(Feb[What was resident doing prior to fall?],$B72))</f>
        <v>0</v>
      </c>
    </row>
    <row r="73" spans="1:8" x14ac:dyDescent="0.25">
      <c r="A73" s="38"/>
      <c r="B73" s="44" t="str">
        <v>Reaching for an item</v>
      </c>
      <c r="C73" s="45"/>
      <c r="D73" s="45"/>
      <c r="E73" s="45"/>
      <c r="F73" s="46"/>
      <c r="G73" s="42">
        <f>IF($B73="",NA(),COUNTIFS(Feb[What was resident doing prior to fall?],$B73))</f>
        <v>0</v>
      </c>
    </row>
    <row r="74" spans="1:8" x14ac:dyDescent="0.25">
      <c r="A74" s="38"/>
      <c r="B74" s="44" t="str">
        <v>Showering or bathing</v>
      </c>
      <c r="C74" s="45"/>
      <c r="D74" s="45"/>
      <c r="E74" s="45"/>
      <c r="F74" s="46"/>
      <c r="G74" s="42">
        <f>IF($B74="",NA(),COUNTIFS(Feb[What was resident doing prior to fall?],$B74))</f>
        <v>0</v>
      </c>
    </row>
    <row r="75" spans="1:8" x14ac:dyDescent="0.25">
      <c r="A75" s="38"/>
      <c r="B75" s="44" t="str">
        <v>Toileting</v>
      </c>
      <c r="C75" s="45"/>
      <c r="D75" s="45"/>
      <c r="E75" s="45"/>
      <c r="F75" s="46"/>
      <c r="G75" s="42">
        <f>IF($B75="",NA(),COUNTIFS(Feb[What was resident doing prior to fall?],$B75))</f>
        <v>0</v>
      </c>
    </row>
    <row r="76" spans="1:8" x14ac:dyDescent="0.25">
      <c r="A76" s="38"/>
      <c r="B76" s="44" t="str">
        <v>Transferring to or from bed, chair, wheelchair, etc.</v>
      </c>
      <c r="C76" s="45"/>
      <c r="D76" s="45"/>
      <c r="E76" s="45"/>
      <c r="F76" s="46"/>
      <c r="G76" s="42">
        <f>IF($B76="",NA(),COUNTIFS(Feb[What was resident doing prior to fall?],$B76))</f>
        <v>0</v>
      </c>
    </row>
    <row r="77" spans="1:8" x14ac:dyDescent="0.25">
      <c r="A77" s="38"/>
      <c r="B77" s="39" t="str">
        <v>Unknown</v>
      </c>
      <c r="C77" s="40"/>
      <c r="D77" s="40"/>
      <c r="E77" s="40"/>
      <c r="F77" s="41"/>
      <c r="G77" s="42">
        <f>IF($B77="",NA(),COUNTIFS(Feb[What was resident doing prior to fall?],$B77))</f>
        <v>0</v>
      </c>
    </row>
    <row r="78" spans="1:8" x14ac:dyDescent="0.25">
      <c r="A78" s="38"/>
      <c r="B78" s="44" t="str">
        <v/>
      </c>
      <c r="C78" s="45"/>
      <c r="D78" s="45"/>
      <c r="E78" s="45"/>
      <c r="F78" s="46"/>
      <c r="G78" s="42" t="e">
        <f>IF($B78="",NA(),COUNTIFS(Feb[What was resident doing prior to fall?],$B78))</f>
        <v>#N/A</v>
      </c>
    </row>
    <row r="79" spans="1:8" x14ac:dyDescent="0.25">
      <c r="A79" s="38"/>
      <c r="B79" s="39" t="str">
        <v/>
      </c>
      <c r="C79" s="40"/>
      <c r="D79" s="40"/>
      <c r="E79" s="40"/>
      <c r="F79" s="41"/>
      <c r="G79" s="42" t="e">
        <f>IF($B79="",NA(),COUNTIFS(Feb[What was resident doing prior to fall?],$B79))</f>
        <v>#N/A</v>
      </c>
    </row>
    <row r="80" spans="1:8" x14ac:dyDescent="0.25">
      <c r="A80" s="38"/>
      <c r="B80" s="44" t="str">
        <v/>
      </c>
      <c r="C80" s="45"/>
      <c r="D80" s="45"/>
      <c r="E80" s="45"/>
      <c r="F80" s="46"/>
      <c r="G80" s="42" t="e">
        <f>IF($B80="",NA(),COUNTIFS(Feb[What was resident doing prior to fall?],$B80))</f>
        <v>#N/A</v>
      </c>
    </row>
    <row r="81" spans="1:7" x14ac:dyDescent="0.25">
      <c r="A81" s="38"/>
      <c r="B81" s="39" t="str">
        <v/>
      </c>
      <c r="C81" s="40"/>
      <c r="D81" s="40"/>
      <c r="E81" s="40"/>
      <c r="F81" s="41"/>
      <c r="G81" s="42" t="e">
        <f>IF($B81="",NA(),COUNTIFS(Feb[What was resident doing prior to fall?],$B81))</f>
        <v>#N/A</v>
      </c>
    </row>
    <row r="82" spans="1:7" x14ac:dyDescent="0.25">
      <c r="A82" s="38"/>
      <c r="B82" s="44" t="str">
        <v/>
      </c>
      <c r="C82" s="45"/>
      <c r="D82" s="45"/>
      <c r="E82" s="45"/>
      <c r="F82" s="46"/>
      <c r="G82" s="42" t="e">
        <f>IF($B82="",NA(),COUNTIFS(Feb[What was resident doing prior to fall?],$B82))</f>
        <v>#N/A</v>
      </c>
    </row>
    <row r="83" spans="1:7" x14ac:dyDescent="0.25">
      <c r="A83" s="38"/>
      <c r="B83" s="39" t="str">
        <v/>
      </c>
      <c r="C83" s="40"/>
      <c r="D83" s="40"/>
      <c r="E83" s="40"/>
      <c r="F83" s="41"/>
      <c r="G83" s="42" t="e">
        <f>IF($B83="",NA(),COUNTIFS(Feb[What was resident doing prior to fall?],$B83))</f>
        <v>#N/A</v>
      </c>
    </row>
    <row r="84" spans="1:7" x14ac:dyDescent="0.25">
      <c r="A84" s="38"/>
      <c r="B84" s="44" t="str">
        <v/>
      </c>
      <c r="C84" s="45"/>
      <c r="D84" s="45"/>
      <c r="E84" s="45"/>
      <c r="F84" s="46"/>
      <c r="G84" s="42" t="e">
        <f>IF($B84="",NA(),COUNTIFS(Feb[What was resident doing prior to fall?],$B84))</f>
        <v>#N/A</v>
      </c>
    </row>
    <row r="85" spans="1:7" x14ac:dyDescent="0.25">
      <c r="A85" s="38"/>
      <c r="B85" s="44" t="str">
        <v/>
      </c>
      <c r="C85" s="45"/>
      <c r="D85" s="45"/>
      <c r="E85" s="45"/>
      <c r="F85" s="46"/>
      <c r="G85" s="42" t="e">
        <f>IF($B85="",NA(),COUNTIFS(Feb[What was resident doing prior to fall?],$B85))</f>
        <v>#N/A</v>
      </c>
    </row>
    <row r="86" spans="1:7" x14ac:dyDescent="0.25">
      <c r="A86" s="38"/>
      <c r="B86" s="39" t="str">
        <v/>
      </c>
      <c r="C86" s="40"/>
      <c r="D86" s="40"/>
      <c r="E86" s="40"/>
      <c r="F86" s="41"/>
      <c r="G86" s="42" t="e">
        <f>IF($B86="",NA(),COUNTIFS(Feb[What was resident doing prior to fall?],$B86))</f>
        <v>#N/A</v>
      </c>
    </row>
    <row r="87" spans="1:7" x14ac:dyDescent="0.25">
      <c r="A87" s="38"/>
      <c r="B87" s="44" t="str">
        <v/>
      </c>
      <c r="C87" s="45"/>
      <c r="D87" s="45"/>
      <c r="E87" s="45"/>
      <c r="F87" s="46"/>
      <c r="G87" s="42" t="e">
        <f>IF($B87="",NA(),COUNTIFS(Feb[What was resident doing prior to fall?],$B87))</f>
        <v>#N/A</v>
      </c>
    </row>
    <row r="88" spans="1:7" x14ac:dyDescent="0.25">
      <c r="A88" s="38"/>
      <c r="B88" s="39" t="str">
        <v/>
      </c>
      <c r="C88" s="40"/>
      <c r="D88" s="40"/>
      <c r="E88" s="40"/>
      <c r="F88" s="41"/>
      <c r="G88" s="42" t="e">
        <f>IF($B88="",NA(),COUNTIFS(Feb[What was resident doing prior to fall?],$B88))</f>
        <v>#N/A</v>
      </c>
    </row>
    <row r="89" spans="1:7" x14ac:dyDescent="0.25">
      <c r="A89" s="38"/>
      <c r="B89" s="44" t="str">
        <v/>
      </c>
      <c r="C89" s="45"/>
      <c r="D89" s="45"/>
      <c r="E89" s="45"/>
      <c r="F89" s="46"/>
      <c r="G89" s="42" t="e">
        <f>IF($B89="",NA(),COUNTIFS(Feb[What was resident doing prior to fall?],$B89))</f>
        <v>#N/A</v>
      </c>
    </row>
    <row r="90" spans="1:7" ht="15.75" thickBot="1" x14ac:dyDescent="0.3">
      <c r="A90" s="38"/>
      <c r="B90" s="47" t="str">
        <v/>
      </c>
      <c r="C90" s="47"/>
      <c r="D90" s="47"/>
      <c r="E90" s="47"/>
      <c r="F90" s="48"/>
      <c r="G90" s="42" t="e">
        <f>IF($B90="",NA(),COUNTIFS(Feb[What was resident doing prior to fall?],$B90))</f>
        <v>#N/A</v>
      </c>
    </row>
    <row r="91" spans="1:7" ht="15.6" customHeight="1" thickBot="1" x14ac:dyDescent="0.3">
      <c r="B91" s="287" t="s">
        <v>35</v>
      </c>
      <c r="C91" s="288"/>
      <c r="D91" s="288"/>
      <c r="E91" s="288"/>
      <c r="F91" s="289"/>
      <c r="G91" s="37">
        <f>_xlfn.AGGREGATE(9,6,G67:G90)</f>
        <v>0</v>
      </c>
    </row>
    <row r="92" spans="1:7" ht="15.75" thickBot="1" x14ac:dyDescent="0.3"/>
    <row r="93" spans="1:7" ht="22.35" customHeight="1" thickBot="1" x14ac:dyDescent="0.3">
      <c r="B93" s="295" t="s">
        <v>173</v>
      </c>
      <c r="C93" s="296"/>
      <c r="D93" s="297"/>
    </row>
    <row r="94" spans="1:7" x14ac:dyDescent="0.25">
      <c r="A94" s="38"/>
      <c r="B94" s="300" t="s">
        <v>1</v>
      </c>
      <c r="C94" s="301"/>
      <c r="D94" s="49" t="s">
        <v>35</v>
      </c>
    </row>
    <row r="95" spans="1:7" x14ac:dyDescent="0.25">
      <c r="A95" s="38"/>
      <c r="B95" s="50" t="str" cm="1">
        <f t="array" ref="B95:B105">IF(_xlfn._xlws.SORT(Location[Location],1,1,TRUE)=0,"",(_xlfn._xlws.SORT(Location[Location],1,1,TRUE)))</f>
        <v>Activity Room</v>
      </c>
      <c r="C95" s="51"/>
      <c r="D95" s="52">
        <f>IF($B95="",NA(),COUNTIFS(Feb[Location],$B95))</f>
        <v>0</v>
      </c>
    </row>
    <row r="96" spans="1:7" x14ac:dyDescent="0.25">
      <c r="A96" s="38"/>
      <c r="B96" s="50" t="str">
        <v>Bedroom</v>
      </c>
      <c r="C96" s="51"/>
      <c r="D96" s="52">
        <f>IF($B96="",NA(),COUNTIFS(Feb[Location],$B96))</f>
        <v>0</v>
      </c>
    </row>
    <row r="97" spans="1:4" x14ac:dyDescent="0.25">
      <c r="A97" s="38"/>
      <c r="B97" s="50" t="str">
        <v>Bathroom</v>
      </c>
      <c r="C97" s="51"/>
      <c r="D97" s="52">
        <f>IF($B97="",NA(),COUNTIFS(Feb[Location],$B97))</f>
        <v>0</v>
      </c>
    </row>
    <row r="98" spans="1:4" x14ac:dyDescent="0.25">
      <c r="A98" s="38"/>
      <c r="B98" s="50" t="str">
        <v>Hallway</v>
      </c>
      <c r="C98" s="51"/>
      <c r="D98" s="52">
        <f>IF($B98="",NA(),COUNTIFS(Feb[Location],$B98))</f>
        <v>0</v>
      </c>
    </row>
    <row r="99" spans="1:4" x14ac:dyDescent="0.25">
      <c r="A99" s="38"/>
      <c r="B99" s="50" t="str">
        <v>Offsite</v>
      </c>
      <c r="C99" s="51"/>
      <c r="D99" s="52">
        <f>IF($B99="",NA(),COUNTIFS(Feb[Location],$B99))</f>
        <v>0</v>
      </c>
    </row>
    <row r="100" spans="1:4" x14ac:dyDescent="0.25">
      <c r="A100" s="38"/>
      <c r="B100" s="53" t="str">
        <v>Shower Room</v>
      </c>
      <c r="C100" s="54"/>
      <c r="D100" s="52">
        <f>IF($B100="",NA(),COUNTIFS(Feb[Location],$B100))</f>
        <v>0</v>
      </c>
    </row>
    <row r="101" spans="1:4" x14ac:dyDescent="0.25">
      <c r="A101" s="38"/>
      <c r="B101" s="55" t="str">
        <v>Dining Room</v>
      </c>
      <c r="C101" s="56"/>
      <c r="D101" s="52">
        <f>IF($B101="",NA(),COUNTIFS(Feb[Location],$B101))</f>
        <v>0</v>
      </c>
    </row>
    <row r="102" spans="1:4" x14ac:dyDescent="0.25">
      <c r="A102" s="38"/>
      <c r="B102" s="57" t="str">
        <v/>
      </c>
      <c r="C102" s="58"/>
      <c r="D102" s="52" t="e">
        <f>IF($B102="",NA(),COUNTIFS(Feb[Location],$B102))</f>
        <v>#N/A</v>
      </c>
    </row>
    <row r="103" spans="1:4" x14ac:dyDescent="0.25">
      <c r="A103" s="38"/>
      <c r="B103" s="59" t="str">
        <v/>
      </c>
      <c r="C103" s="51"/>
      <c r="D103" s="52" t="e">
        <f>IF($B103="",NA(),COUNTIFS(Feb[Location],$B103))</f>
        <v>#N/A</v>
      </c>
    </row>
    <row r="104" spans="1:4" x14ac:dyDescent="0.25">
      <c r="A104" s="38"/>
      <c r="B104" s="53" t="str">
        <v/>
      </c>
      <c r="C104" s="60"/>
      <c r="D104" s="52" t="e">
        <f>IF($B104="",NA(),COUNTIFS(Feb[Location],$B104))</f>
        <v>#N/A</v>
      </c>
    </row>
    <row r="105" spans="1:4" ht="15.75" thickBot="1" x14ac:dyDescent="0.3">
      <c r="A105" s="38"/>
      <c r="B105" s="59" t="str">
        <v/>
      </c>
      <c r="C105" s="61"/>
      <c r="D105" s="52" t="e">
        <f>IF($B105="",NA(),COUNTIFS(Feb[Location],$B105))</f>
        <v>#N/A</v>
      </c>
    </row>
    <row r="106" spans="1:4" ht="15.75" thickBot="1" x14ac:dyDescent="0.3">
      <c r="B106" s="298" t="s">
        <v>16</v>
      </c>
      <c r="C106" s="299"/>
      <c r="D106" s="37">
        <f>_xlfn.AGGREGATE(9,6,D95:D105)</f>
        <v>0</v>
      </c>
    </row>
    <row r="107" spans="1:4" ht="15.75" thickBot="1" x14ac:dyDescent="0.3"/>
    <row r="108" spans="1:4" ht="21.4" customHeight="1" thickBot="1" x14ac:dyDescent="0.3">
      <c r="B108" s="282" t="str">
        <f>"Falls by Nursing Station "</f>
        <v xml:space="preserve">Falls by Nursing Station </v>
      </c>
      <c r="C108" s="283"/>
      <c r="D108" s="284"/>
    </row>
    <row r="109" spans="1:4" ht="15.75" x14ac:dyDescent="0.25">
      <c r="B109" s="293" t="s">
        <v>2</v>
      </c>
      <c r="C109" s="293"/>
      <c r="D109" s="28" t="s">
        <v>35</v>
      </c>
    </row>
    <row r="110" spans="1:4" x14ac:dyDescent="0.25">
      <c r="B110" s="62" cm="1">
        <f t="array" ref="B110:B120">IF(_xlfn._xlws.SORT(NS[Nurses Stations],1,1,TRUE)=0,"",(_xlfn._xlws.SORT(NS[Nurses Stations],1,1,TRUE)))</f>
        <v>1</v>
      </c>
      <c r="C110" s="63"/>
      <c r="D110" s="31">
        <f>IF($B110="",NA(),COUNTIFS(Feb[Station],$B110))</f>
        <v>0</v>
      </c>
    </row>
    <row r="111" spans="1:4" x14ac:dyDescent="0.25">
      <c r="B111" s="62">
        <v>2</v>
      </c>
      <c r="C111" s="63"/>
      <c r="D111" s="31">
        <f>IF($B111="",NA(),COUNTIFS(Feb[Station],$B111))</f>
        <v>0</v>
      </c>
    </row>
    <row r="112" spans="1:4" x14ac:dyDescent="0.25">
      <c r="B112" s="62">
        <v>3</v>
      </c>
      <c r="C112" s="63"/>
      <c r="D112" s="31">
        <f>IF($B112="",NA(),COUNTIFS(Feb[Station],$B112))</f>
        <v>0</v>
      </c>
    </row>
    <row r="113" spans="2:4" x14ac:dyDescent="0.25">
      <c r="B113" s="62">
        <v>4</v>
      </c>
      <c r="C113" s="63"/>
      <c r="D113" s="31">
        <f>IF($B113="",NA(),COUNTIFS(Feb[Station],$B113))</f>
        <v>0</v>
      </c>
    </row>
    <row r="114" spans="2:4" x14ac:dyDescent="0.25">
      <c r="B114" s="62">
        <v>5</v>
      </c>
      <c r="C114" s="63"/>
      <c r="D114" s="31">
        <f>IF($B114="",NA(),COUNTIFS(Feb[Station],$B114))</f>
        <v>0</v>
      </c>
    </row>
    <row r="115" spans="2:4" x14ac:dyDescent="0.25">
      <c r="B115" s="62" t="str">
        <v/>
      </c>
      <c r="C115" s="63"/>
      <c r="D115" s="31" t="e">
        <f>IF($B115="",NA(),COUNTIFS(Feb[Station],$B115))</f>
        <v>#N/A</v>
      </c>
    </row>
    <row r="116" spans="2:4" x14ac:dyDescent="0.25">
      <c r="B116" s="62" t="str">
        <v/>
      </c>
      <c r="C116" s="63"/>
      <c r="D116" s="31" t="e">
        <f>IF($B116="",NA(),COUNTIFS(Feb[Station],$B116))</f>
        <v>#N/A</v>
      </c>
    </row>
    <row r="117" spans="2:4" x14ac:dyDescent="0.25">
      <c r="B117" s="62" t="str">
        <v/>
      </c>
      <c r="C117" s="63"/>
      <c r="D117" s="31" t="e">
        <f>IF($B117="",NA(),COUNTIFS(Feb[Station],$B117))</f>
        <v>#N/A</v>
      </c>
    </row>
    <row r="118" spans="2:4" x14ac:dyDescent="0.25">
      <c r="B118" s="62" t="str">
        <v/>
      </c>
      <c r="C118" s="63"/>
      <c r="D118" s="31" t="e">
        <f>IF($B118="",NA(),COUNTIFS(Feb[Station],$B118))</f>
        <v>#N/A</v>
      </c>
    </row>
    <row r="119" spans="2:4" x14ac:dyDescent="0.25">
      <c r="B119" s="62" t="str">
        <v/>
      </c>
      <c r="C119" s="63"/>
      <c r="D119" s="31" t="e">
        <f>IF($B119="",NA(),COUNTIFS(Feb[Station],$B119))</f>
        <v>#N/A</v>
      </c>
    </row>
    <row r="120" spans="2:4" ht="15.75" thickBot="1" x14ac:dyDescent="0.3">
      <c r="B120" s="64" t="str">
        <v/>
      </c>
      <c r="C120" s="63"/>
      <c r="D120" s="31" t="e">
        <f>IF($B120="",NA(),COUNTIFS(Feb[Station],$B120))</f>
        <v>#N/A</v>
      </c>
    </row>
    <row r="121" spans="2:4" ht="15.6" customHeight="1" thickBot="1" x14ac:dyDescent="0.3">
      <c r="B121" s="287" t="s">
        <v>16</v>
      </c>
      <c r="C121" s="288"/>
      <c r="D121" s="37">
        <f>_xlfn.AGGREGATE(9,6,D110:D120)</f>
        <v>0</v>
      </c>
    </row>
    <row r="122" spans="2:4" ht="15.6" customHeight="1" thickBot="1" x14ac:dyDescent="0.3">
      <c r="B122" s="65"/>
      <c r="C122" s="66"/>
      <c r="D122" s="67"/>
    </row>
    <row r="123" spans="2:4" ht="21.95" customHeight="1" thickBot="1" x14ac:dyDescent="0.3">
      <c r="B123" s="282" t="str">
        <f>"Falls by Day of the Week "</f>
        <v xml:space="preserve">Falls by Day of the Week </v>
      </c>
      <c r="C123" s="283"/>
      <c r="D123" s="284"/>
    </row>
    <row r="124" spans="2:4" ht="15.75" x14ac:dyDescent="0.25">
      <c r="B124" s="293" t="s">
        <v>3</v>
      </c>
      <c r="C124" s="293"/>
      <c r="D124" s="28" t="s">
        <v>35</v>
      </c>
    </row>
    <row r="125" spans="2:4" x14ac:dyDescent="0.25">
      <c r="B125" s="294" t="s">
        <v>46</v>
      </c>
      <c r="C125" s="294"/>
      <c r="D125" s="31">
        <f>COUNTIFS(Feb[Day],$B125)</f>
        <v>0</v>
      </c>
    </row>
    <row r="126" spans="2:4" x14ac:dyDescent="0.25">
      <c r="B126" s="294" t="s">
        <v>47</v>
      </c>
      <c r="C126" s="294"/>
      <c r="D126" s="31">
        <f>COUNTIFS(Feb[Day],$B126)</f>
        <v>0</v>
      </c>
    </row>
    <row r="127" spans="2:4" x14ac:dyDescent="0.25">
      <c r="B127" s="294" t="s">
        <v>52</v>
      </c>
      <c r="C127" s="294"/>
      <c r="D127" s="31">
        <f>COUNTIFS(Feb[Day],$B127)</f>
        <v>0</v>
      </c>
    </row>
    <row r="128" spans="2:4" x14ac:dyDescent="0.25">
      <c r="B128" s="294" t="s">
        <v>48</v>
      </c>
      <c r="C128" s="294"/>
      <c r="D128" s="31">
        <f>COUNTIFS(Feb[Day],$B128)</f>
        <v>0</v>
      </c>
    </row>
    <row r="129" spans="2:4" x14ac:dyDescent="0.25">
      <c r="B129" s="294" t="s">
        <v>51</v>
      </c>
      <c r="C129" s="294"/>
      <c r="D129" s="31">
        <f>COUNTIFS(Feb[Day],$B129)</f>
        <v>0</v>
      </c>
    </row>
    <row r="130" spans="2:4" x14ac:dyDescent="0.25">
      <c r="B130" s="294" t="s">
        <v>49</v>
      </c>
      <c r="C130" s="294"/>
      <c r="D130" s="31">
        <f>COUNTIFS(Feb[Day],$B130)</f>
        <v>0</v>
      </c>
    </row>
    <row r="131" spans="2:4" ht="15.75" thickBot="1" x14ac:dyDescent="0.3">
      <c r="B131" s="294" t="s">
        <v>50</v>
      </c>
      <c r="C131" s="294"/>
      <c r="D131" s="34">
        <f>COUNTIFS(Feb[Day],$B131)</f>
        <v>0</v>
      </c>
    </row>
    <row r="132" spans="2:4" ht="15.6" customHeight="1" thickBot="1" x14ac:dyDescent="0.3">
      <c r="B132" s="287" t="s">
        <v>16</v>
      </c>
      <c r="C132" s="288"/>
      <c r="D132" s="35">
        <f>SUM(D125:D131)</f>
        <v>0</v>
      </c>
    </row>
    <row r="133" spans="2:4" ht="15.75" thickBot="1" x14ac:dyDescent="0.3"/>
    <row r="134" spans="2:4" ht="21.4" customHeight="1" thickBot="1" x14ac:dyDescent="0.3">
      <c r="B134" s="282" t="str">
        <f>"Falls by Shift"</f>
        <v>Falls by Shift</v>
      </c>
      <c r="C134" s="283"/>
      <c r="D134" s="284"/>
    </row>
    <row r="135" spans="2:4" ht="15.75" x14ac:dyDescent="0.25">
      <c r="B135" s="293" t="s">
        <v>34</v>
      </c>
      <c r="C135" s="293"/>
      <c r="D135" s="28" t="s">
        <v>35</v>
      </c>
    </row>
    <row r="136" spans="2:4" x14ac:dyDescent="0.25">
      <c r="B136" s="29" t="str" cm="1">
        <f t="array" ref="B136:B140">IF(_xlfn._xlws.SORT('Data Validation'!P3:P7,1,1,TRUE)=0,"",(_xlfn._xlws.SORT('Data Validation'!P3:P7,1,1,TRUE)))</f>
        <v>11-7</v>
      </c>
      <c r="C136" s="58"/>
      <c r="D136" s="31">
        <f>IF($B136="",NA(),COUNTIFS(Feb[Shift],$B136))</f>
        <v>0</v>
      </c>
    </row>
    <row r="137" spans="2:4" x14ac:dyDescent="0.25">
      <c r="B137" s="29" t="str">
        <v>11–7</v>
      </c>
      <c r="C137" s="58"/>
      <c r="D137" s="31">
        <f>IF($B137="",NA(),COUNTIFS(Feb[Shift],$B137))</f>
        <v>0</v>
      </c>
    </row>
    <row r="138" spans="2:4" x14ac:dyDescent="0.25">
      <c r="B138" s="29" t="str">
        <v>7–3</v>
      </c>
      <c r="C138" s="58"/>
      <c r="D138" s="31">
        <f>IF($B138="",NA(),COUNTIFS(Feb[Shift],$B138))</f>
        <v>0</v>
      </c>
    </row>
    <row r="139" spans="2:4" x14ac:dyDescent="0.25">
      <c r="B139" s="29" t="str">
        <v>3–11</v>
      </c>
      <c r="C139" s="58"/>
      <c r="D139" s="31">
        <f>IF($B139="",NA(),COUNTIFS(Feb[Shift],$B139))</f>
        <v>0</v>
      </c>
    </row>
    <row r="140" spans="2:4" ht="15.75" thickBot="1" x14ac:dyDescent="0.3">
      <c r="B140" s="29" t="str">
        <v/>
      </c>
      <c r="C140" s="68"/>
      <c r="D140" s="34" t="e">
        <f>IF($B140="",NA(),COUNTIFS(Feb[Shift],$B140))</f>
        <v>#N/A</v>
      </c>
    </row>
    <row r="141" spans="2:4" ht="15.75" thickBot="1" x14ac:dyDescent="0.3">
      <c r="B141" s="287" t="s">
        <v>16</v>
      </c>
      <c r="C141" s="288"/>
      <c r="D141" s="35">
        <f>_xlfn.AGGREGATE(9,6,D136:D140)</f>
        <v>0</v>
      </c>
    </row>
    <row r="142" spans="2:4" ht="15.75" thickBot="1" x14ac:dyDescent="0.3"/>
    <row r="143" spans="2:4" ht="21.4" customHeight="1" thickBot="1" x14ac:dyDescent="0.3">
      <c r="B143" s="282" t="str">
        <f>"Falls by Hour "</f>
        <v xml:space="preserve">Falls by Hour </v>
      </c>
      <c r="C143" s="283"/>
      <c r="D143" s="284"/>
    </row>
    <row r="144" spans="2:4" ht="15.75" x14ac:dyDescent="0.25">
      <c r="B144" s="293" t="s">
        <v>33</v>
      </c>
      <c r="C144" s="293"/>
      <c r="D144" s="28" t="s">
        <v>35</v>
      </c>
    </row>
    <row r="145" spans="2:4" x14ac:dyDescent="0.25">
      <c r="B145" s="294" t="s">
        <v>115</v>
      </c>
      <c r="C145" s="294"/>
      <c r="D145" s="31">
        <f>COUNTIFS(Feb[Hour],$B145)</f>
        <v>0</v>
      </c>
    </row>
    <row r="146" spans="2:4" x14ac:dyDescent="0.25">
      <c r="B146" s="294" t="s">
        <v>116</v>
      </c>
      <c r="C146" s="294"/>
      <c r="D146" s="31">
        <f>COUNTIFS(Feb[Hour],$B146)</f>
        <v>0</v>
      </c>
    </row>
    <row r="147" spans="2:4" x14ac:dyDescent="0.25">
      <c r="B147" s="294" t="s">
        <v>117</v>
      </c>
      <c r="C147" s="294"/>
      <c r="D147" s="31">
        <f>COUNTIFS(Feb[Hour],$B147)</f>
        <v>0</v>
      </c>
    </row>
    <row r="148" spans="2:4" x14ac:dyDescent="0.25">
      <c r="B148" s="294" t="s">
        <v>118</v>
      </c>
      <c r="C148" s="294"/>
      <c r="D148" s="31">
        <f>COUNTIFS(Feb[Hour],$B148)</f>
        <v>0</v>
      </c>
    </row>
    <row r="149" spans="2:4" x14ac:dyDescent="0.25">
      <c r="B149" s="294" t="s">
        <v>119</v>
      </c>
      <c r="C149" s="294"/>
      <c r="D149" s="31">
        <f>COUNTIFS(Feb[Hour],$B149)</f>
        <v>0</v>
      </c>
    </row>
    <row r="150" spans="2:4" x14ac:dyDescent="0.25">
      <c r="B150" s="294" t="s">
        <v>120</v>
      </c>
      <c r="C150" s="294"/>
      <c r="D150" s="31">
        <f>COUNTIFS(Feb[Hour],$B150)</f>
        <v>0</v>
      </c>
    </row>
    <row r="151" spans="2:4" x14ac:dyDescent="0.25">
      <c r="B151" s="294" t="s">
        <v>121</v>
      </c>
      <c r="C151" s="294"/>
      <c r="D151" s="31">
        <f>COUNTIFS(Feb[Hour],$B151)</f>
        <v>0</v>
      </c>
    </row>
    <row r="152" spans="2:4" x14ac:dyDescent="0.25">
      <c r="B152" s="294" t="s">
        <v>122</v>
      </c>
      <c r="C152" s="294"/>
      <c r="D152" s="31">
        <f>COUNTIFS(Feb[Hour],$B152)</f>
        <v>0</v>
      </c>
    </row>
    <row r="153" spans="2:4" x14ac:dyDescent="0.25">
      <c r="B153" s="294" t="s">
        <v>123</v>
      </c>
      <c r="C153" s="294"/>
      <c r="D153" s="31">
        <f>COUNTIFS(Feb[Hour],$B153)</f>
        <v>0</v>
      </c>
    </row>
    <row r="154" spans="2:4" x14ac:dyDescent="0.25">
      <c r="B154" s="294" t="s">
        <v>124</v>
      </c>
      <c r="C154" s="294"/>
      <c r="D154" s="31">
        <f>COUNTIFS(Feb[Hour],$B154)</f>
        <v>0</v>
      </c>
    </row>
    <row r="155" spans="2:4" x14ac:dyDescent="0.25">
      <c r="B155" s="294" t="s">
        <v>125</v>
      </c>
      <c r="C155" s="294"/>
      <c r="D155" s="31">
        <f>COUNTIFS(Feb[Hour],$B155)</f>
        <v>0</v>
      </c>
    </row>
    <row r="156" spans="2:4" x14ac:dyDescent="0.25">
      <c r="B156" s="294" t="s">
        <v>126</v>
      </c>
      <c r="C156" s="294"/>
      <c r="D156" s="31">
        <f>COUNTIFS(Feb[Hour],$B156)</f>
        <v>0</v>
      </c>
    </row>
    <row r="157" spans="2:4" x14ac:dyDescent="0.25">
      <c r="B157" s="294" t="s">
        <v>127</v>
      </c>
      <c r="C157" s="294"/>
      <c r="D157" s="31">
        <f>COUNTIFS(Feb[Hour],$B157)</f>
        <v>0</v>
      </c>
    </row>
    <row r="158" spans="2:4" x14ac:dyDescent="0.25">
      <c r="B158" s="294" t="s">
        <v>128</v>
      </c>
      <c r="C158" s="294"/>
      <c r="D158" s="31">
        <f>COUNTIFS(Feb[Hour],$B158)</f>
        <v>0</v>
      </c>
    </row>
    <row r="159" spans="2:4" x14ac:dyDescent="0.25">
      <c r="B159" s="294" t="s">
        <v>129</v>
      </c>
      <c r="C159" s="294"/>
      <c r="D159" s="31">
        <f>COUNTIFS(Feb[Hour],$B159)</f>
        <v>0</v>
      </c>
    </row>
    <row r="160" spans="2:4" x14ac:dyDescent="0.25">
      <c r="B160" s="294" t="s">
        <v>130</v>
      </c>
      <c r="C160" s="294"/>
      <c r="D160" s="31">
        <f>COUNTIFS(Feb[Hour],$B160)</f>
        <v>0</v>
      </c>
    </row>
    <row r="161" spans="1:8" x14ac:dyDescent="0.25">
      <c r="B161" s="294" t="s">
        <v>131</v>
      </c>
      <c r="C161" s="294"/>
      <c r="D161" s="31">
        <f>COUNTIFS(Feb[Hour],$B161)</f>
        <v>0</v>
      </c>
    </row>
    <row r="162" spans="1:8" x14ac:dyDescent="0.25">
      <c r="B162" s="294" t="s">
        <v>132</v>
      </c>
      <c r="C162" s="294"/>
      <c r="D162" s="31">
        <f>COUNTIFS(Feb[Hour],$B162)</f>
        <v>0</v>
      </c>
    </row>
    <row r="163" spans="1:8" x14ac:dyDescent="0.25">
      <c r="B163" s="294" t="s">
        <v>133</v>
      </c>
      <c r="C163" s="294"/>
      <c r="D163" s="31">
        <f>COUNTIFS(Feb[Hour],$B163)</f>
        <v>0</v>
      </c>
    </row>
    <row r="164" spans="1:8" x14ac:dyDescent="0.25">
      <c r="B164" s="294" t="s">
        <v>134</v>
      </c>
      <c r="C164" s="294"/>
      <c r="D164" s="31">
        <f>COUNTIFS(Feb[Hour],$B164)</f>
        <v>0</v>
      </c>
    </row>
    <row r="165" spans="1:8" x14ac:dyDescent="0.25">
      <c r="B165" s="294" t="s">
        <v>135</v>
      </c>
      <c r="C165" s="294"/>
      <c r="D165" s="31">
        <f>COUNTIFS(Feb[Hour],$B165)</f>
        <v>0</v>
      </c>
    </row>
    <row r="166" spans="1:8" x14ac:dyDescent="0.25">
      <c r="B166" s="294" t="s">
        <v>136</v>
      </c>
      <c r="C166" s="294"/>
      <c r="D166" s="31">
        <f>COUNTIFS(Feb[Hour],$B166)</f>
        <v>0</v>
      </c>
    </row>
    <row r="167" spans="1:8" x14ac:dyDescent="0.25">
      <c r="B167" s="294" t="s">
        <v>137</v>
      </c>
      <c r="C167" s="294"/>
      <c r="D167" s="31">
        <f>COUNTIFS(Feb[Hour],$B167)</f>
        <v>0</v>
      </c>
    </row>
    <row r="168" spans="1:8" ht="15.75" thickBot="1" x14ac:dyDescent="0.3">
      <c r="B168" s="294" t="s">
        <v>138</v>
      </c>
      <c r="C168" s="294"/>
      <c r="D168" s="34">
        <f>COUNTIFS(Feb[Hour],$B168)</f>
        <v>0</v>
      </c>
    </row>
    <row r="169" spans="1:8" ht="15.75" thickBot="1" x14ac:dyDescent="0.3">
      <c r="B169" s="287" t="s">
        <v>35</v>
      </c>
      <c r="C169" s="288"/>
      <c r="D169" s="35">
        <f>SUM(D145:D168)</f>
        <v>0</v>
      </c>
    </row>
    <row r="170" spans="1:8" ht="15.75" thickBot="1" x14ac:dyDescent="0.3"/>
    <row r="171" spans="1:8" ht="21.4" customHeight="1" thickBot="1" x14ac:dyDescent="0.3">
      <c r="B171" s="282" t="str">
        <f>"Falls by Contributing Factors"</f>
        <v>Falls by Contributing Factors</v>
      </c>
      <c r="C171" s="283"/>
      <c r="D171" s="283"/>
      <c r="E171" s="283"/>
      <c r="F171" s="283"/>
      <c r="G171" s="284"/>
    </row>
    <row r="172" spans="1:8" ht="15.6" customHeight="1" x14ac:dyDescent="0.25">
      <c r="A172" s="38"/>
      <c r="B172" s="290" t="s">
        <v>92</v>
      </c>
      <c r="C172" s="291"/>
      <c r="D172" s="291"/>
      <c r="E172" s="291"/>
      <c r="F172" s="292"/>
      <c r="G172" s="28" t="s">
        <v>35</v>
      </c>
    </row>
    <row r="173" spans="1:8" x14ac:dyDescent="0.25">
      <c r="A173" s="38"/>
      <c r="B173" s="44" t="str" cm="1">
        <f t="array" ref="B173:B196">IF(_xlfn._xlws.SORT(CF[Contributing Factors],1,1,TRUE)=0,"",(_xlfn._xlws.SORT(CF[Contributing Factors],1,1,TRUE)))</f>
        <v>Assisted/caregiver transfer</v>
      </c>
      <c r="C173" s="45"/>
      <c r="D173" s="45"/>
      <c r="E173" s="45"/>
      <c r="F173" s="46"/>
      <c r="G173" s="42">
        <f>IF($B173="",NA(),COUNTIFS(Feb[Contributing Factors],$B173))</f>
        <v>0</v>
      </c>
      <c r="H173" s="43"/>
    </row>
    <row r="174" spans="1:8" x14ac:dyDescent="0.25">
      <c r="A174" s="38"/>
      <c r="B174" s="39" t="str">
        <v>Bowel and bladder (B&amp;B) needs</v>
      </c>
      <c r="C174" s="40"/>
      <c r="D174" s="40"/>
      <c r="E174" s="40"/>
      <c r="F174" s="41"/>
      <c r="G174" s="42">
        <f>IF($B174="",NA(),COUNTIFS(Feb[Contributing Factors],$B174))</f>
        <v>0</v>
      </c>
    </row>
    <row r="175" spans="1:8" x14ac:dyDescent="0.25">
      <c r="A175" s="38"/>
      <c r="B175" s="44" t="str">
        <v>Behavioral or situational</v>
      </c>
      <c r="C175" s="45"/>
      <c r="D175" s="45"/>
      <c r="E175" s="45"/>
      <c r="F175" s="46"/>
      <c r="G175" s="42">
        <f>IF($B175="",NA(),COUNTIFS(Feb[Contributing Factors],$B175))</f>
        <v>0</v>
      </c>
    </row>
    <row r="176" spans="1:8" x14ac:dyDescent="0.25">
      <c r="A176" s="38"/>
      <c r="B176" s="39" t="str">
        <v>Change of condition</v>
      </c>
      <c r="C176" s="40"/>
      <c r="D176" s="40"/>
      <c r="E176" s="40"/>
      <c r="F176" s="41"/>
      <c r="G176" s="42">
        <f>IF($B176="",NA(),COUNTIFS(Feb[Contributing Factors],$B176))</f>
        <v>0</v>
      </c>
    </row>
    <row r="177" spans="1:7" x14ac:dyDescent="0.25">
      <c r="A177" s="38"/>
      <c r="B177" s="44" t="str">
        <v>Environmental factors</v>
      </c>
      <c r="C177" s="45"/>
      <c r="D177" s="45"/>
      <c r="E177" s="45"/>
      <c r="F177" s="46"/>
      <c r="G177" s="42">
        <f>IF($B177="",NA(),COUNTIFS(Feb[Contributing Factors],$B177))</f>
        <v>0</v>
      </c>
    </row>
    <row r="178" spans="1:7" x14ac:dyDescent="0.25">
      <c r="A178" s="38"/>
      <c r="B178" s="39" t="str">
        <v>Equipment malfunction</v>
      </c>
      <c r="C178" s="40"/>
      <c r="D178" s="40"/>
      <c r="E178" s="40"/>
      <c r="F178" s="41"/>
      <c r="G178" s="42">
        <f>IF($B178="",NA(),COUNTIFS(Feb[Contributing Factors],$B178))</f>
        <v>0</v>
      </c>
    </row>
    <row r="179" spans="1:7" x14ac:dyDescent="0.25">
      <c r="A179" s="38"/>
      <c r="B179" s="44" t="str">
        <v>Equipment or assistive device</v>
      </c>
      <c r="C179" s="45"/>
      <c r="D179" s="45"/>
      <c r="E179" s="45"/>
      <c r="F179" s="46"/>
      <c r="G179" s="42">
        <f>IF($B179="",NA(),COUNTIFS(Feb[Contributing Factors],$B179))</f>
        <v>0</v>
      </c>
    </row>
    <row r="180" spans="1:7" x14ac:dyDescent="0.25">
      <c r="A180" s="38"/>
      <c r="B180" s="39" t="str">
        <v>Medication related</v>
      </c>
      <c r="C180" s="40"/>
      <c r="D180" s="40"/>
      <c r="E180" s="40"/>
      <c r="F180" s="41"/>
      <c r="G180" s="42">
        <f>IF($B180="",NA(),COUNTIFS(Feb[Contributing Factors],$B180))</f>
        <v>0</v>
      </c>
    </row>
    <row r="181" spans="1:7" x14ac:dyDescent="0.25">
      <c r="A181" s="38"/>
      <c r="B181" s="44" t="str">
        <v>Process(s) not followed</v>
      </c>
      <c r="C181" s="45"/>
      <c r="D181" s="45"/>
      <c r="E181" s="45"/>
      <c r="F181" s="46"/>
      <c r="G181" s="42">
        <f>IF($B181="",NA(),COUNTIFS(Feb[Contributing Factors],$B181))</f>
        <v>0</v>
      </c>
    </row>
    <row r="182" spans="1:7" x14ac:dyDescent="0.25">
      <c r="A182" s="38"/>
      <c r="B182" s="39" t="str">
        <v>Resident health conditions</v>
      </c>
      <c r="C182" s="40"/>
      <c r="D182" s="40"/>
      <c r="E182" s="40"/>
      <c r="F182" s="41"/>
      <c r="G182" s="42">
        <f>IF($B182="",NA(),COUNTIFS(Feb[Contributing Factors],$B182))</f>
        <v>0</v>
      </c>
    </row>
    <row r="183" spans="1:7" x14ac:dyDescent="0.25">
      <c r="A183" s="38"/>
      <c r="B183" s="44" t="str">
        <v>Staff</v>
      </c>
      <c r="C183" s="45"/>
      <c r="D183" s="45"/>
      <c r="E183" s="45"/>
      <c r="F183" s="46"/>
      <c r="G183" s="42">
        <f>IF($B183="",NA(),COUNTIFS(Feb[Contributing Factors],$B183))</f>
        <v>0</v>
      </c>
    </row>
    <row r="184" spans="1:7" x14ac:dyDescent="0.25">
      <c r="A184" s="38"/>
      <c r="B184" s="39" t="str">
        <v/>
      </c>
      <c r="C184" s="40"/>
      <c r="D184" s="40"/>
      <c r="E184" s="40"/>
      <c r="F184" s="41"/>
      <c r="G184" s="42" t="e">
        <f>IF($B184="",NA(),COUNTIFS(Feb[Contributing Factors],$B184))</f>
        <v>#N/A</v>
      </c>
    </row>
    <row r="185" spans="1:7" x14ac:dyDescent="0.25">
      <c r="A185" s="38"/>
      <c r="B185" s="44" t="str">
        <v/>
      </c>
      <c r="C185" s="45"/>
      <c r="D185" s="45"/>
      <c r="E185" s="45"/>
      <c r="F185" s="46"/>
      <c r="G185" s="42" t="e">
        <f>IF($B185="",NA(),COUNTIFS(Feb[Contributing Factors],$B185))</f>
        <v>#N/A</v>
      </c>
    </row>
    <row r="186" spans="1:7" x14ac:dyDescent="0.25">
      <c r="A186" s="38"/>
      <c r="B186" s="39" t="str">
        <v/>
      </c>
      <c r="C186" s="40"/>
      <c r="D186" s="40"/>
      <c r="E186" s="40"/>
      <c r="F186" s="41"/>
      <c r="G186" s="42" t="e">
        <f>IF($B186="",NA(),COUNTIFS(Feb[Contributing Factors],$B186))</f>
        <v>#N/A</v>
      </c>
    </row>
    <row r="187" spans="1:7" x14ac:dyDescent="0.25">
      <c r="A187" s="38"/>
      <c r="B187" s="44" t="str">
        <v/>
      </c>
      <c r="C187" s="45"/>
      <c r="D187" s="45"/>
      <c r="E187" s="45"/>
      <c r="F187" s="46"/>
      <c r="G187" s="42" t="e">
        <f>IF($B187="",NA(),COUNTIFS(Feb[Contributing Factors],$B187))</f>
        <v>#N/A</v>
      </c>
    </row>
    <row r="188" spans="1:7" x14ac:dyDescent="0.25">
      <c r="A188" s="38"/>
      <c r="B188" s="39" t="str">
        <v/>
      </c>
      <c r="C188" s="40"/>
      <c r="D188" s="40"/>
      <c r="E188" s="40"/>
      <c r="F188" s="41"/>
      <c r="G188" s="42" t="e">
        <f>IF($B188="",NA(),COUNTIFS(Feb[Contributing Factors],$B188))</f>
        <v>#N/A</v>
      </c>
    </row>
    <row r="189" spans="1:7" x14ac:dyDescent="0.25">
      <c r="A189" s="38"/>
      <c r="B189" s="44" t="str">
        <v/>
      </c>
      <c r="C189" s="45"/>
      <c r="D189" s="45"/>
      <c r="E189" s="45"/>
      <c r="F189" s="46"/>
      <c r="G189" s="42" t="e">
        <f>IF($B189="",NA(),COUNTIFS(Feb[Contributing Factors],$B189))</f>
        <v>#N/A</v>
      </c>
    </row>
    <row r="190" spans="1:7" x14ac:dyDescent="0.25">
      <c r="A190" s="38"/>
      <c r="B190" s="39" t="str">
        <v/>
      </c>
      <c r="C190" s="40"/>
      <c r="D190" s="40"/>
      <c r="E190" s="40"/>
      <c r="F190" s="41"/>
      <c r="G190" s="42" t="e">
        <f>IF($B190="",NA(),COUNTIFS(Feb[Contributing Factors],$B190))</f>
        <v>#N/A</v>
      </c>
    </row>
    <row r="191" spans="1:7" x14ac:dyDescent="0.25">
      <c r="A191" s="38"/>
      <c r="B191" s="44" t="str">
        <v/>
      </c>
      <c r="C191" s="45"/>
      <c r="D191" s="45"/>
      <c r="E191" s="45"/>
      <c r="F191" s="46"/>
      <c r="G191" s="42" t="e">
        <f>IF($B191="",NA(),COUNTIFS(Feb[Contributing Factors],$B191))</f>
        <v>#N/A</v>
      </c>
    </row>
    <row r="192" spans="1:7" x14ac:dyDescent="0.25">
      <c r="A192" s="38"/>
      <c r="B192" s="39" t="str">
        <v/>
      </c>
      <c r="C192" s="40"/>
      <c r="D192" s="40"/>
      <c r="E192" s="40"/>
      <c r="F192" s="41"/>
      <c r="G192" s="42" t="e">
        <f>IF($B192="",NA(),COUNTIFS(Feb[Contributing Factors],$B192))</f>
        <v>#N/A</v>
      </c>
    </row>
    <row r="193" spans="1:7" x14ac:dyDescent="0.25">
      <c r="A193" s="38"/>
      <c r="B193" s="44" t="str">
        <v/>
      </c>
      <c r="C193" s="45"/>
      <c r="D193" s="45"/>
      <c r="E193" s="45"/>
      <c r="F193" s="46"/>
      <c r="G193" s="42" t="e">
        <f>IF($B193="",NA(),COUNTIFS(Feb[Contributing Factors],$B193))</f>
        <v>#N/A</v>
      </c>
    </row>
    <row r="194" spans="1:7" x14ac:dyDescent="0.25">
      <c r="A194" s="38"/>
      <c r="B194" s="39" t="str">
        <v/>
      </c>
      <c r="C194" s="40"/>
      <c r="D194" s="40"/>
      <c r="E194" s="40"/>
      <c r="F194" s="41"/>
      <c r="G194" s="42" t="e">
        <f>IF($B194="",NA(),COUNTIFS(Feb[Contributing Factors],$B194))</f>
        <v>#N/A</v>
      </c>
    </row>
    <row r="195" spans="1:7" x14ac:dyDescent="0.25">
      <c r="A195" s="38"/>
      <c r="B195" s="44" t="str">
        <v/>
      </c>
      <c r="C195" s="45"/>
      <c r="D195" s="45"/>
      <c r="E195" s="45"/>
      <c r="F195" s="46"/>
      <c r="G195" s="42" t="e">
        <f>IF($B195="",NA(),COUNTIFS(Feb[Contributing Factors],$B195))</f>
        <v>#N/A</v>
      </c>
    </row>
    <row r="196" spans="1:7" ht="15.75" thickBot="1" x14ac:dyDescent="0.3">
      <c r="A196" s="38"/>
      <c r="B196" s="39" t="str">
        <v/>
      </c>
      <c r="C196" s="40"/>
      <c r="D196" s="40"/>
      <c r="E196" s="40"/>
      <c r="F196" s="41"/>
      <c r="G196" s="42" t="e">
        <f>IF($B196="",NA(),COUNTIFS(Feb[Contributing Factors],$B196))</f>
        <v>#N/A</v>
      </c>
    </row>
    <row r="197" spans="1:7" ht="15.6" customHeight="1" thickBot="1" x14ac:dyDescent="0.3">
      <c r="B197" s="287" t="s">
        <v>35</v>
      </c>
      <c r="C197" s="288"/>
      <c r="D197" s="288"/>
      <c r="E197" s="288"/>
      <c r="F197" s="289"/>
      <c r="G197" s="37">
        <f>_xlfn.AGGREGATE(9,6,G173:G196)</f>
        <v>0</v>
      </c>
    </row>
  </sheetData>
  <sheetProtection algorithmName="SHA-512" hashValue="L+xpbHVznuIRiFyrsE3BM+v0fqX49UUd4KVAjxrgxa/5u7wyqob9ZgpM5w+2YzTnjU1N+I9pynmDb+lN2X+nrQ==" saltValue="hxHlmOZSbfN8vYyNjaUJKA==" spinCount="100000" sheet="1" formatCells="0" formatColumns="0" formatRows="0" sort="0" autoFilter="0"/>
  <mergeCells count="61">
    <mergeCell ref="F56:G56"/>
    <mergeCell ref="B51:D51"/>
    <mergeCell ref="F51:H51"/>
    <mergeCell ref="B52:C52"/>
    <mergeCell ref="F52:G52"/>
    <mergeCell ref="B55:C55"/>
    <mergeCell ref="B121:C121"/>
    <mergeCell ref="F58:H58"/>
    <mergeCell ref="F59:G59"/>
    <mergeCell ref="F63:G63"/>
    <mergeCell ref="B65:G65"/>
    <mergeCell ref="B66:F66"/>
    <mergeCell ref="B91:F91"/>
    <mergeCell ref="B93:D93"/>
    <mergeCell ref="B94:C94"/>
    <mergeCell ref="B106:C106"/>
    <mergeCell ref="B108:D108"/>
    <mergeCell ref="B109:C109"/>
    <mergeCell ref="B135:C135"/>
    <mergeCell ref="B123:D123"/>
    <mergeCell ref="B124:C124"/>
    <mergeCell ref="B125:C125"/>
    <mergeCell ref="B126:C126"/>
    <mergeCell ref="B127:C127"/>
    <mergeCell ref="B128:C128"/>
    <mergeCell ref="B129:C129"/>
    <mergeCell ref="B130:C130"/>
    <mergeCell ref="B131:C131"/>
    <mergeCell ref="B132:C132"/>
    <mergeCell ref="B134:D134"/>
    <mergeCell ref="B143:D143"/>
    <mergeCell ref="B144:C144"/>
    <mergeCell ref="B145:C145"/>
    <mergeCell ref="B146:C146"/>
    <mergeCell ref="B147:C147"/>
    <mergeCell ref="B156:C156"/>
    <mergeCell ref="B157:C157"/>
    <mergeCell ref="B158:C158"/>
    <mergeCell ref="B159:C159"/>
    <mergeCell ref="B148:C148"/>
    <mergeCell ref="B149:C149"/>
    <mergeCell ref="B150:C150"/>
    <mergeCell ref="B151:C151"/>
    <mergeCell ref="B152:C152"/>
    <mergeCell ref="B153:C153"/>
    <mergeCell ref="B197:F197"/>
    <mergeCell ref="B141:C141"/>
    <mergeCell ref="B166:C166"/>
    <mergeCell ref="B167:C167"/>
    <mergeCell ref="B168:C168"/>
    <mergeCell ref="B169:C169"/>
    <mergeCell ref="B171:G171"/>
    <mergeCell ref="B172:F172"/>
    <mergeCell ref="B160:C160"/>
    <mergeCell ref="B161:C161"/>
    <mergeCell ref="B162:C162"/>
    <mergeCell ref="B163:C163"/>
    <mergeCell ref="B164:C164"/>
    <mergeCell ref="B165:C165"/>
    <mergeCell ref="B154:C154"/>
    <mergeCell ref="B155:C155"/>
  </mergeCells>
  <conditionalFormatting sqref="C1">
    <cfRule type="expression" dxfId="319" priority="20">
      <formula>OR($C$1="",$C$1=0)</formula>
    </cfRule>
  </conditionalFormatting>
  <conditionalFormatting sqref="D1">
    <cfRule type="cellIs" dxfId="318" priority="21" operator="equal">
      <formula>"Enter year in Data Validation tab"</formula>
    </cfRule>
  </conditionalFormatting>
  <conditionalFormatting sqref="D4:D40">
    <cfRule type="expression" dxfId="317" priority="24">
      <formula>AND($C4&lt;&gt;"",$D4="")</formula>
    </cfRule>
  </conditionalFormatting>
  <conditionalFormatting sqref="D95:D105">
    <cfRule type="expression" dxfId="316" priority="11">
      <formula>ISERROR($D95)</formula>
    </cfRule>
  </conditionalFormatting>
  <conditionalFormatting sqref="D110:D120">
    <cfRule type="expression" dxfId="315" priority="12">
      <formula>ISERROR($D110)</formula>
    </cfRule>
  </conditionalFormatting>
  <conditionalFormatting sqref="D136:D140">
    <cfRule type="expression" dxfId="314" priority="1">
      <formula>ISERROR(D136)</formula>
    </cfRule>
  </conditionalFormatting>
  <conditionalFormatting sqref="E4:E40">
    <cfRule type="expression" dxfId="313" priority="23">
      <formula>AND($C4&lt;&gt;"",$E4="")</formula>
    </cfRule>
  </conditionalFormatting>
  <conditionalFormatting sqref="F4:F40">
    <cfRule type="expression" dxfId="312" priority="16">
      <formula>AND($C4&lt;&gt;"",$F4="")</formula>
    </cfRule>
  </conditionalFormatting>
  <conditionalFormatting sqref="G4:G40">
    <cfRule type="expression" dxfId="311" priority="15">
      <formula>AND($C4&lt;&gt;"",$G4="")</formula>
    </cfRule>
  </conditionalFormatting>
  <conditionalFormatting sqref="G67:G90">
    <cfRule type="expression" dxfId="310" priority="10">
      <formula>ISERROR($G67)</formula>
    </cfRule>
  </conditionalFormatting>
  <conditionalFormatting sqref="G173:G196">
    <cfRule type="expression" dxfId="309" priority="9">
      <formula>ISERROR($G173)</formula>
    </cfRule>
  </conditionalFormatting>
  <conditionalFormatting sqref="H4:H40">
    <cfRule type="expression" dxfId="308" priority="14">
      <formula>AND($C4&lt;&gt;"",$H4="")</formula>
    </cfRule>
  </conditionalFormatting>
  <conditionalFormatting sqref="I4:I40">
    <cfRule type="expression" dxfId="307" priority="13">
      <formula>AND($C4&lt;&gt;"",$I4="")</formula>
    </cfRule>
  </conditionalFormatting>
  <conditionalFormatting sqref="J4:J40">
    <cfRule type="expression" dxfId="306" priority="25">
      <formula>AND($C4&lt;&gt;"",$J4="")</formula>
    </cfRule>
  </conditionalFormatting>
  <conditionalFormatting sqref="L4:L40">
    <cfRule type="expression" dxfId="305" priority="22">
      <formula>AND($C4&lt;&gt;"",$L4="")</formula>
    </cfRule>
  </conditionalFormatting>
  <conditionalFormatting sqref="N4:N40">
    <cfRule type="expression" dxfId="304" priority="27">
      <formula>AND($C4&lt;&gt;"",$N4="")</formula>
    </cfRule>
  </conditionalFormatting>
  <conditionalFormatting sqref="O4:O40">
    <cfRule type="expression" dxfId="303" priority="6">
      <formula>AND($C4&lt;&gt;"",$O4="")</formula>
    </cfRule>
    <cfRule type="cellIs" dxfId="302" priority="17" operator="equal">
      <formula>"Intact (13-15)"</formula>
    </cfRule>
    <cfRule type="cellIs" dxfId="301" priority="18" operator="equal">
      <formula>"Moderate (8-12)"</formula>
    </cfRule>
    <cfRule type="cellIs" dxfId="300" priority="19" operator="equal">
      <formula>"Severe (1-7)"</formula>
    </cfRule>
  </conditionalFormatting>
  <conditionalFormatting sqref="P4:P40">
    <cfRule type="expression" dxfId="299" priority="7">
      <formula>AND($C4&lt;&gt;"",$P4="")</formula>
    </cfRule>
  </conditionalFormatting>
  <conditionalFormatting sqref="Q4:Q40">
    <cfRule type="expression" dxfId="298" priority="5">
      <formula>AND($C4&lt;&gt;"",$Q4="")</formula>
    </cfRule>
  </conditionalFormatting>
  <conditionalFormatting sqref="R4:R40">
    <cfRule type="expression" dxfId="297" priority="28">
      <formula>AND($C4&lt;&gt;"",$R4="")</formula>
    </cfRule>
  </conditionalFormatting>
  <conditionalFormatting sqref="S4:S40">
    <cfRule type="expression" dxfId="296" priority="8">
      <formula>AND($C4&lt;&gt;"",$S4="")</formula>
    </cfRule>
  </conditionalFormatting>
  <conditionalFormatting sqref="T4:T40">
    <cfRule type="expression" dxfId="295" priority="29">
      <formula>AND($C4&lt;&gt;"",$T4="")</formula>
    </cfRule>
  </conditionalFormatting>
  <conditionalFormatting sqref="U4:U40">
    <cfRule type="expression" dxfId="294" priority="26">
      <formula>AND($C4&lt;&gt;"",$U4="")</formula>
    </cfRule>
  </conditionalFormatting>
  <conditionalFormatting sqref="V4:V40">
    <cfRule type="expression" dxfId="293" priority="4">
      <formula>AND($C4&lt;&gt;"",$V4="")</formula>
    </cfRule>
  </conditionalFormatting>
  <dataValidations count="9">
    <dataValidation type="list" allowBlank="1" showInputMessage="1" showErrorMessage="1" sqref="R4:R40" xr:uid="{00000000-0002-0000-0300-000000000000}">
      <formula1>DV_RCAComp</formula1>
    </dataValidation>
    <dataValidation type="list" allowBlank="1" showInputMessage="1" showErrorMessage="1" sqref="G4:G40" xr:uid="{00000000-0002-0000-0300-000001000000}">
      <formula1>DV_FallCircumstances</formula1>
    </dataValidation>
    <dataValidation type="list" allowBlank="1" showInputMessage="1" showErrorMessage="1" sqref="P4:P40" xr:uid="{00000000-0002-0000-0300-000002000000}">
      <formula1>DV_PriortoFall</formula1>
    </dataValidation>
    <dataValidation type="list" allowBlank="1" showInputMessage="1" showErrorMessage="1" sqref="F4:F40" xr:uid="{00000000-0002-0000-0300-000003000000}">
      <formula1>DV_Witnessed</formula1>
    </dataValidation>
    <dataValidation type="list" allowBlank="1" showInputMessage="1" showErrorMessage="1" sqref="N4:N40" xr:uid="{00000000-0002-0000-0300-000004000000}">
      <formula1>DV_BIMSScore</formula1>
    </dataValidation>
    <dataValidation type="list" allowBlank="1" showInputMessage="1" showErrorMessage="1" sqref="L4:L40" xr:uid="{00000000-0002-0000-0300-000005000000}">
      <formula1>DV_Shifts</formula1>
    </dataValidation>
    <dataValidation type="list" allowBlank="1" showInputMessage="1" showErrorMessage="1" sqref="J4:J40" xr:uid="{00000000-0002-0000-0300-000006000000}">
      <formula1>DV_Station</formula1>
    </dataValidation>
    <dataValidation type="list" allowBlank="1" showInputMessage="1" showErrorMessage="1" sqref="I4:I40" xr:uid="{00000000-0002-0000-0300-000007000000}">
      <formula1>DV_Location</formula1>
    </dataValidation>
    <dataValidation type="list" allowBlank="1" showInputMessage="1" showErrorMessage="1" sqref="H4:H40" xr:uid="{00000000-0002-0000-0300-000008000000}">
      <formula1>DV_FallType</formula1>
    </dataValidation>
  </dataValidations>
  <printOptions horizontalCentered="1"/>
  <pageMargins left="0.15" right="0.15" top="0.5" bottom="0.25" header="0.3" footer="0.3"/>
  <pageSetup scale="59" fitToHeight="0" orientation="landscape" r:id="rId1"/>
  <rowBreaks count="3" manualBreakCount="3">
    <brk id="49" max="16383" man="1"/>
    <brk id="91" max="16383" man="1"/>
    <brk id="141" max="16383" man="1"/>
  </rowBreaks>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9000000}">
          <x14:formula1>
            <xm:f>'Data Validation'!$K$3:$K$26</xm:f>
          </x14:formula1>
          <xm:sqref>S4:S40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V197"/>
  <sheetViews>
    <sheetView showGridLines="0" zoomScaleNormal="100" zoomScaleSheetLayoutView="98" workbookViewId="0">
      <selection activeCell="B4" sqref="B4"/>
    </sheetView>
  </sheetViews>
  <sheetFormatPr defaultRowHeight="15" x14ac:dyDescent="0.25"/>
  <cols>
    <col min="1" max="1" width="1.28515625" customWidth="1"/>
    <col min="2" max="2" width="5.85546875" customWidth="1"/>
    <col min="3" max="3" width="17.140625" customWidth="1"/>
    <col min="4" max="4" width="9.28515625" customWidth="1"/>
    <col min="5" max="5" width="11" customWidth="1"/>
    <col min="6" max="6" width="8" customWidth="1"/>
    <col min="7" max="7" width="12.140625" customWidth="1"/>
    <col min="8" max="8" width="10.5703125" customWidth="1"/>
    <col min="9" max="9" width="7.7109375" customWidth="1"/>
    <col min="10" max="10" width="6" customWidth="1"/>
    <col min="11" max="11" width="4.7109375" customWidth="1"/>
    <col min="12" max="12" width="9.28515625" customWidth="1"/>
    <col min="13" max="14" width="4.7109375" customWidth="1"/>
    <col min="15" max="15" width="12.140625" customWidth="1"/>
    <col min="16" max="17" width="23.7109375" customWidth="1"/>
    <col min="18" max="18" width="8.7109375" customWidth="1"/>
    <col min="19" max="19" width="23.7109375" customWidth="1"/>
    <col min="20" max="22" width="11.7109375" customWidth="1"/>
    <col min="23" max="24" width="10.7109375" customWidth="1"/>
  </cols>
  <sheetData>
    <row r="1" spans="1:22" ht="18.75" customHeight="1" x14ac:dyDescent="0.25">
      <c r="B1" s="13" t="s">
        <v>28</v>
      </c>
      <c r="C1" s="14">
        <f>'Data Validation'!$C$4</f>
        <v>0</v>
      </c>
      <c r="D1" s="15" t="str">
        <f>IF(OR($C$1="",$C$1=0),"Enter Year in Data Validation tab",'Data Validation'!$C$2&amp;" March ")</f>
        <v>Enter Year in Data Validation tab</v>
      </c>
      <c r="E1" s="16"/>
      <c r="F1" s="16"/>
      <c r="G1" s="16"/>
      <c r="H1" s="16"/>
      <c r="I1" s="16"/>
      <c r="J1" s="16"/>
      <c r="K1" s="16"/>
      <c r="L1" s="16"/>
      <c r="M1" s="16"/>
      <c r="N1" s="4"/>
      <c r="O1" s="16"/>
      <c r="P1" s="16"/>
      <c r="Q1" s="16"/>
      <c r="R1" s="17" t="s">
        <v>59</v>
      </c>
      <c r="S1" s="14" t="str">
        <f>IF(COUNTIFS(Mar[Resident Name],"&lt;&gt;")=0,"No Data",COUNTIFS(Mar[Resident Name],"&lt;&gt;"))</f>
        <v>No Data</v>
      </c>
      <c r="T1" s="17" t="s">
        <v>62</v>
      </c>
      <c r="U1" s="14" t="str">
        <f>'Fall Rate and Census'!$H$36</f>
        <v>No Data</v>
      </c>
    </row>
    <row r="2" spans="1:22" ht="8.1" customHeight="1" x14ac:dyDescent="0.25">
      <c r="B2" s="18"/>
      <c r="C2" s="16"/>
      <c r="D2" s="16"/>
      <c r="E2" s="16"/>
      <c r="F2" s="16"/>
      <c r="G2" s="16"/>
      <c r="H2" s="16"/>
      <c r="I2" s="16"/>
      <c r="J2" s="16"/>
      <c r="K2" s="16"/>
      <c r="L2" s="16"/>
      <c r="M2" s="16"/>
      <c r="N2" s="16"/>
      <c r="O2" s="16"/>
      <c r="P2" s="16"/>
      <c r="Q2" s="16"/>
      <c r="R2" s="16"/>
    </row>
    <row r="3" spans="1:22" ht="22.35" customHeight="1" x14ac:dyDescent="0.25">
      <c r="B3" s="19" t="s">
        <v>104</v>
      </c>
      <c r="C3" s="19" t="s">
        <v>105</v>
      </c>
      <c r="D3" s="20" t="s">
        <v>0</v>
      </c>
      <c r="E3" s="20" t="s">
        <v>89</v>
      </c>
      <c r="F3" s="20" t="s">
        <v>84</v>
      </c>
      <c r="G3" s="20" t="s">
        <v>100</v>
      </c>
      <c r="H3" s="20" t="s">
        <v>90</v>
      </c>
      <c r="I3" s="20" t="s">
        <v>1</v>
      </c>
      <c r="J3" s="20" t="s">
        <v>2</v>
      </c>
      <c r="K3" s="20" t="s">
        <v>3</v>
      </c>
      <c r="L3" s="20" t="s">
        <v>33</v>
      </c>
      <c r="M3" s="20" t="s">
        <v>34</v>
      </c>
      <c r="N3" s="20" t="s">
        <v>26</v>
      </c>
      <c r="O3" s="20" t="s">
        <v>30</v>
      </c>
      <c r="P3" s="19" t="s">
        <v>158</v>
      </c>
      <c r="Q3" s="19" t="s">
        <v>80</v>
      </c>
      <c r="R3" s="20" t="s">
        <v>81</v>
      </c>
      <c r="S3" s="20" t="s">
        <v>92</v>
      </c>
      <c r="T3" s="12" t="s">
        <v>95</v>
      </c>
      <c r="U3" s="12" t="s">
        <v>94</v>
      </c>
      <c r="V3" s="12" t="s">
        <v>96</v>
      </c>
    </row>
    <row r="4" spans="1:22" ht="20.85" customHeight="1" x14ac:dyDescent="0.25">
      <c r="A4" s="21"/>
      <c r="B4" s="266"/>
      <c r="C4" s="5"/>
      <c r="D4" s="263"/>
      <c r="E4" s="263"/>
      <c r="F4" s="266"/>
      <c r="G4" s="267"/>
      <c r="H4" s="2"/>
      <c r="I4" s="2"/>
      <c r="J4" s="2"/>
      <c r="K4" s="24" t="str">
        <f>IF(Mar[[#This Row],[Date of Incident]]="","",TEXT(Mar[[#This Row],[Date of Incident]],"ddd"))</f>
        <v/>
      </c>
      <c r="L4" s="1"/>
      <c r="M4" s="24" t="str">
        <f>IFERROR(VLOOKUP(Mar[[#This Row],[Hour]],Shifts[],2,FALSE),"")</f>
        <v/>
      </c>
      <c r="N4" s="2"/>
      <c r="O4" s="24" t="str">
        <f>IFERROR(VLOOKUP(Mar[[#This Row],[BIMS Score]],BIMS[],2,FALSE),"")</f>
        <v/>
      </c>
      <c r="P4" s="3"/>
      <c r="Q4" s="3"/>
      <c r="R4" s="2"/>
      <c r="S4" s="168"/>
      <c r="T4" s="3"/>
      <c r="U4" s="3"/>
      <c r="V4" s="3"/>
    </row>
    <row r="5" spans="1:22" ht="20.85" customHeight="1" x14ac:dyDescent="0.25">
      <c r="A5" s="21"/>
      <c r="B5" s="266"/>
      <c r="C5" s="5"/>
      <c r="D5" s="263"/>
      <c r="E5" s="263"/>
      <c r="F5" s="266"/>
      <c r="G5" s="267"/>
      <c r="H5" s="2"/>
      <c r="I5" s="2"/>
      <c r="J5" s="2"/>
      <c r="K5" s="24" t="str">
        <f>IF(Mar[[#This Row],[Date of Incident]]="","",TEXT(Mar[[#This Row],[Date of Incident]],"ddd"))</f>
        <v/>
      </c>
      <c r="L5" s="1"/>
      <c r="M5" s="24" t="str">
        <f>IFERROR(VLOOKUP(Mar[[#This Row],[Hour]],Shifts[],2,FALSE),"")</f>
        <v/>
      </c>
      <c r="N5" s="2"/>
      <c r="O5" s="24" t="str">
        <f>IFERROR(VLOOKUP(Mar[[#This Row],[BIMS Score]],BIMS[],2,FALSE),"")</f>
        <v/>
      </c>
      <c r="P5" s="3"/>
      <c r="Q5" s="3"/>
      <c r="R5" s="2"/>
      <c r="S5" s="168"/>
      <c r="T5" s="3"/>
      <c r="U5" s="3"/>
      <c r="V5" s="3"/>
    </row>
    <row r="6" spans="1:22" ht="20.85" customHeight="1" x14ac:dyDescent="0.25">
      <c r="A6" s="21"/>
      <c r="B6" s="266"/>
      <c r="C6" s="5"/>
      <c r="D6" s="263"/>
      <c r="E6" s="263"/>
      <c r="F6" s="266"/>
      <c r="G6" s="267"/>
      <c r="H6" s="2"/>
      <c r="I6" s="2"/>
      <c r="J6" s="2"/>
      <c r="K6" s="24" t="str">
        <f>IF(Mar[[#This Row],[Date of Incident]]="","",TEXT(Mar[[#This Row],[Date of Incident]],"ddd"))</f>
        <v/>
      </c>
      <c r="L6" s="1"/>
      <c r="M6" s="24" t="str">
        <f>IFERROR(VLOOKUP(Mar[[#This Row],[Hour]],Shifts[],2,FALSE),"")</f>
        <v/>
      </c>
      <c r="N6" s="2"/>
      <c r="O6" s="24" t="str">
        <f>IFERROR(VLOOKUP(Mar[[#This Row],[BIMS Score]],BIMS[],2,FALSE),"")</f>
        <v/>
      </c>
      <c r="P6" s="3"/>
      <c r="Q6" s="3"/>
      <c r="R6" s="2"/>
      <c r="S6" s="168"/>
      <c r="T6" s="3"/>
      <c r="U6" s="3"/>
      <c r="V6" s="3"/>
    </row>
    <row r="7" spans="1:22" ht="20.85" customHeight="1" x14ac:dyDescent="0.25">
      <c r="A7" s="21"/>
      <c r="B7" s="266"/>
      <c r="C7" s="5"/>
      <c r="D7" s="263"/>
      <c r="E7" s="263"/>
      <c r="F7" s="266"/>
      <c r="G7" s="267"/>
      <c r="H7" s="2"/>
      <c r="I7" s="2"/>
      <c r="J7" s="2"/>
      <c r="K7" s="24" t="str">
        <f>IF(Mar[[#This Row],[Date of Incident]]="","",TEXT(Mar[[#This Row],[Date of Incident]],"ddd"))</f>
        <v/>
      </c>
      <c r="L7" s="1"/>
      <c r="M7" s="24" t="str">
        <f>IFERROR(VLOOKUP(Mar[[#This Row],[Hour]],Shifts[],2,FALSE),"")</f>
        <v/>
      </c>
      <c r="N7" s="2"/>
      <c r="O7" s="24" t="str">
        <f>IFERROR(VLOOKUP(Mar[[#This Row],[BIMS Score]],BIMS[],2,FALSE),"")</f>
        <v/>
      </c>
      <c r="P7" s="3"/>
      <c r="Q7" s="3"/>
      <c r="R7" s="2"/>
      <c r="S7" s="168"/>
      <c r="T7" s="3"/>
      <c r="U7" s="3"/>
      <c r="V7" s="3"/>
    </row>
    <row r="8" spans="1:22" ht="20.85" customHeight="1" x14ac:dyDescent="0.25">
      <c r="A8" s="21"/>
      <c r="B8" s="266"/>
      <c r="C8" s="5"/>
      <c r="D8" s="263"/>
      <c r="E8" s="263"/>
      <c r="F8" s="266"/>
      <c r="G8" s="267"/>
      <c r="H8" s="2"/>
      <c r="I8" s="2"/>
      <c r="J8" s="2"/>
      <c r="K8" s="24" t="str">
        <f>IF(Mar[[#This Row],[Date of Incident]]="","",TEXT(Mar[[#This Row],[Date of Incident]],"ddd"))</f>
        <v/>
      </c>
      <c r="L8" s="1"/>
      <c r="M8" s="24" t="str">
        <f>IFERROR(VLOOKUP(Mar[[#This Row],[Hour]],Shifts[],2,FALSE),"")</f>
        <v/>
      </c>
      <c r="N8" s="2"/>
      <c r="O8" s="24" t="str">
        <f>IFERROR(VLOOKUP(Mar[[#This Row],[BIMS Score]],BIMS[],2,FALSE),"")</f>
        <v/>
      </c>
      <c r="P8" s="3"/>
      <c r="Q8" s="3"/>
      <c r="R8" s="2"/>
      <c r="S8" s="168"/>
      <c r="T8" s="3"/>
      <c r="U8" s="3"/>
      <c r="V8" s="3"/>
    </row>
    <row r="9" spans="1:22" ht="20.85" customHeight="1" x14ac:dyDescent="0.25">
      <c r="A9" s="21"/>
      <c r="B9" s="266"/>
      <c r="C9" s="5"/>
      <c r="D9" s="263"/>
      <c r="E9" s="263"/>
      <c r="F9" s="266"/>
      <c r="G9" s="267"/>
      <c r="H9" s="2"/>
      <c r="I9" s="2"/>
      <c r="J9" s="2"/>
      <c r="K9" s="24" t="str">
        <f>IF(Mar[[#This Row],[Date of Incident]]="","",TEXT(Mar[[#This Row],[Date of Incident]],"ddd"))</f>
        <v/>
      </c>
      <c r="L9" s="1"/>
      <c r="M9" s="24" t="str">
        <f>IFERROR(VLOOKUP(Mar[[#This Row],[Hour]],Shifts[],2,FALSE),"")</f>
        <v/>
      </c>
      <c r="N9" s="2"/>
      <c r="O9" s="24" t="str">
        <f>IFERROR(VLOOKUP(Mar[[#This Row],[BIMS Score]],BIMS[],2,FALSE),"")</f>
        <v/>
      </c>
      <c r="P9" s="3"/>
      <c r="Q9" s="3"/>
      <c r="R9" s="2"/>
      <c r="S9" s="168"/>
      <c r="T9" s="3"/>
      <c r="U9" s="3"/>
      <c r="V9" s="3"/>
    </row>
    <row r="10" spans="1:22" ht="20.85" customHeight="1" x14ac:dyDescent="0.25">
      <c r="A10" s="21"/>
      <c r="B10" s="266"/>
      <c r="C10" s="5"/>
      <c r="D10" s="263"/>
      <c r="E10" s="263"/>
      <c r="F10" s="266"/>
      <c r="G10" s="267"/>
      <c r="H10" s="2"/>
      <c r="I10" s="2"/>
      <c r="J10" s="2"/>
      <c r="K10" s="24" t="str">
        <f>IF(Mar[[#This Row],[Date of Incident]]="","",TEXT(Mar[[#This Row],[Date of Incident]],"ddd"))</f>
        <v/>
      </c>
      <c r="L10" s="1"/>
      <c r="M10" s="24" t="str">
        <f>IFERROR(VLOOKUP(Mar[[#This Row],[Hour]],Shifts[],2,FALSE),"")</f>
        <v/>
      </c>
      <c r="N10" s="2"/>
      <c r="O10" s="24" t="str">
        <f>IFERROR(VLOOKUP(Mar[[#This Row],[BIMS Score]],BIMS[],2,FALSE),"")</f>
        <v/>
      </c>
      <c r="P10" s="3"/>
      <c r="Q10" s="3"/>
      <c r="R10" s="2"/>
      <c r="S10" s="168"/>
      <c r="T10" s="3"/>
      <c r="U10" s="3"/>
      <c r="V10" s="3"/>
    </row>
    <row r="11" spans="1:22" ht="20.85" customHeight="1" x14ac:dyDescent="0.25">
      <c r="A11" s="21"/>
      <c r="B11" s="266"/>
      <c r="C11" s="5"/>
      <c r="D11" s="263"/>
      <c r="E11" s="263"/>
      <c r="F11" s="266"/>
      <c r="G11" s="267"/>
      <c r="H11" s="2"/>
      <c r="I11" s="2"/>
      <c r="J11" s="2"/>
      <c r="K11" s="24" t="str">
        <f>IF(Mar[[#This Row],[Date of Incident]]="","",TEXT(Mar[[#This Row],[Date of Incident]],"ddd"))</f>
        <v/>
      </c>
      <c r="L11" s="1"/>
      <c r="M11" s="24" t="str">
        <f>IFERROR(VLOOKUP(Mar[[#This Row],[Hour]],Shifts[],2,FALSE),"")</f>
        <v/>
      </c>
      <c r="N11" s="2"/>
      <c r="O11" s="24" t="str">
        <f>IFERROR(VLOOKUP(Mar[[#This Row],[BIMS Score]],BIMS[],2,FALSE),"")</f>
        <v/>
      </c>
      <c r="P11" s="3"/>
      <c r="Q11" s="3"/>
      <c r="R11" s="2"/>
      <c r="S11" s="168"/>
      <c r="T11" s="3"/>
      <c r="U11" s="3"/>
      <c r="V11" s="3"/>
    </row>
    <row r="12" spans="1:22" ht="20.85" customHeight="1" x14ac:dyDescent="0.25">
      <c r="A12" s="21"/>
      <c r="B12" s="267"/>
      <c r="C12" s="5"/>
      <c r="D12" s="264"/>
      <c r="E12" s="263"/>
      <c r="F12" s="267"/>
      <c r="G12" s="267"/>
      <c r="H12" s="2"/>
      <c r="I12" s="2"/>
      <c r="J12" s="2"/>
      <c r="K12" s="24" t="str">
        <f>IF(Mar[[#This Row],[Date of Incident]]="","",TEXT(Mar[[#This Row],[Date of Incident]],"ddd"))</f>
        <v/>
      </c>
      <c r="L12" s="1"/>
      <c r="M12" s="24" t="str">
        <f>IFERROR(VLOOKUP(Mar[[#This Row],[Hour]],Shifts[],2,FALSE),"")</f>
        <v/>
      </c>
      <c r="N12" s="2"/>
      <c r="O12" s="24" t="str">
        <f>IFERROR(VLOOKUP(Mar[[#This Row],[BIMS Score]],BIMS[],2,FALSE),"")</f>
        <v/>
      </c>
      <c r="P12" s="3"/>
      <c r="Q12" s="3"/>
      <c r="R12" s="2"/>
      <c r="S12" s="168"/>
      <c r="T12" s="3"/>
      <c r="U12" s="3"/>
      <c r="V12" s="3"/>
    </row>
    <row r="13" spans="1:22" ht="20.85" customHeight="1" x14ac:dyDescent="0.25">
      <c r="A13" s="21"/>
      <c r="B13" s="267"/>
      <c r="C13" s="5"/>
      <c r="D13" s="264"/>
      <c r="E13" s="263"/>
      <c r="F13" s="267"/>
      <c r="G13" s="267"/>
      <c r="H13" s="2"/>
      <c r="I13" s="2"/>
      <c r="J13" s="2"/>
      <c r="K13" s="24" t="str">
        <f>IF(Mar[[#This Row],[Date of Incident]]="","",TEXT(Mar[[#This Row],[Date of Incident]],"ddd"))</f>
        <v/>
      </c>
      <c r="L13" s="1"/>
      <c r="M13" s="24" t="str">
        <f>IFERROR(VLOOKUP(Mar[[#This Row],[Hour]],Shifts[],2,FALSE),"")</f>
        <v/>
      </c>
      <c r="N13" s="2"/>
      <c r="O13" s="24" t="str">
        <f>IFERROR(VLOOKUP(Mar[[#This Row],[BIMS Score]],BIMS[],2,FALSE),"")</f>
        <v/>
      </c>
      <c r="P13" s="3"/>
      <c r="Q13" s="3"/>
      <c r="R13" s="2"/>
      <c r="S13" s="168"/>
      <c r="T13" s="3"/>
      <c r="U13" s="3"/>
      <c r="V13" s="3"/>
    </row>
    <row r="14" spans="1:22" ht="20.85" customHeight="1" x14ac:dyDescent="0.25">
      <c r="A14" s="21"/>
      <c r="B14" s="267"/>
      <c r="C14" s="5"/>
      <c r="D14" s="264"/>
      <c r="E14" s="263"/>
      <c r="F14" s="267"/>
      <c r="G14" s="267"/>
      <c r="H14" s="2"/>
      <c r="I14" s="2"/>
      <c r="J14" s="2"/>
      <c r="K14" s="24" t="str">
        <f>IF(Mar[[#This Row],[Date of Incident]]="","",TEXT(Mar[[#This Row],[Date of Incident]],"ddd"))</f>
        <v/>
      </c>
      <c r="L14" s="1"/>
      <c r="M14" s="24" t="str">
        <f>IFERROR(VLOOKUP(Mar[[#This Row],[Hour]],Shifts[],2,FALSE),"")</f>
        <v/>
      </c>
      <c r="N14" s="2"/>
      <c r="O14" s="24" t="str">
        <f>IFERROR(VLOOKUP(Mar[[#This Row],[BIMS Score]],BIMS[],2,FALSE),"")</f>
        <v/>
      </c>
      <c r="P14" s="3"/>
      <c r="Q14" s="3"/>
      <c r="R14" s="2"/>
      <c r="S14" s="168"/>
      <c r="T14" s="3"/>
      <c r="U14" s="3"/>
      <c r="V14" s="3"/>
    </row>
    <row r="15" spans="1:22" ht="20.85" customHeight="1" x14ac:dyDescent="0.25">
      <c r="A15" s="21"/>
      <c r="B15" s="267"/>
      <c r="C15" s="5"/>
      <c r="D15" s="264"/>
      <c r="E15" s="263"/>
      <c r="F15" s="267"/>
      <c r="G15" s="267"/>
      <c r="H15" s="2"/>
      <c r="I15" s="2"/>
      <c r="J15" s="2"/>
      <c r="K15" s="24" t="str">
        <f>IF(Mar[[#This Row],[Date of Incident]]="","",TEXT(Mar[[#This Row],[Date of Incident]],"ddd"))</f>
        <v/>
      </c>
      <c r="L15" s="1"/>
      <c r="M15" s="24" t="str">
        <f>IFERROR(VLOOKUP(Mar[[#This Row],[Hour]],Shifts[],2,FALSE),"")</f>
        <v/>
      </c>
      <c r="N15" s="2"/>
      <c r="O15" s="24" t="str">
        <f>IFERROR(VLOOKUP(Mar[[#This Row],[BIMS Score]],BIMS[],2,FALSE),"")</f>
        <v/>
      </c>
      <c r="P15" s="3"/>
      <c r="Q15" s="3"/>
      <c r="R15" s="2"/>
      <c r="S15" s="168"/>
      <c r="T15" s="3"/>
      <c r="U15" s="3"/>
      <c r="V15" s="3"/>
    </row>
    <row r="16" spans="1:22" ht="20.85" customHeight="1" x14ac:dyDescent="0.25">
      <c r="A16" s="21"/>
      <c r="B16" s="267"/>
      <c r="C16" s="3"/>
      <c r="D16" s="264"/>
      <c r="E16" s="264"/>
      <c r="F16" s="267"/>
      <c r="G16" s="267"/>
      <c r="H16" s="2"/>
      <c r="I16" s="2"/>
      <c r="J16" s="2"/>
      <c r="K16" s="24" t="str">
        <f>IF(Mar[[#This Row],[Date of Incident]]="","",TEXT(Mar[[#This Row],[Date of Incident]],"ddd"))</f>
        <v/>
      </c>
      <c r="L16" s="1"/>
      <c r="M16" s="24" t="str">
        <f>IFERROR(VLOOKUP(Mar[[#This Row],[Hour]],Shifts[],2,FALSE),"")</f>
        <v/>
      </c>
      <c r="N16" s="2"/>
      <c r="O16" s="24" t="str">
        <f>IFERROR(VLOOKUP(Mar[[#This Row],[BIMS Score]],BIMS[],2,FALSE),"")</f>
        <v/>
      </c>
      <c r="P16" s="3"/>
      <c r="Q16" s="3"/>
      <c r="R16" s="2"/>
      <c r="S16" s="168"/>
      <c r="T16" s="3"/>
      <c r="U16" s="3"/>
      <c r="V16" s="3"/>
    </row>
    <row r="17" spans="1:22" ht="20.85" customHeight="1" x14ac:dyDescent="0.25">
      <c r="A17" s="21"/>
      <c r="B17" s="267"/>
      <c r="C17" s="3"/>
      <c r="D17" s="264"/>
      <c r="E17" s="264"/>
      <c r="F17" s="267"/>
      <c r="G17" s="267"/>
      <c r="H17" s="2"/>
      <c r="I17" s="2"/>
      <c r="J17" s="2"/>
      <c r="K17" s="24" t="str">
        <f>IF(Mar[[#This Row],[Date of Incident]]="","",TEXT(Mar[[#This Row],[Date of Incident]],"ddd"))</f>
        <v/>
      </c>
      <c r="L17" s="1"/>
      <c r="M17" s="24" t="str">
        <f>IFERROR(VLOOKUP(Mar[[#This Row],[Hour]],Shifts[],2,FALSE),"")</f>
        <v/>
      </c>
      <c r="N17" s="2"/>
      <c r="O17" s="24" t="str">
        <f>IFERROR(VLOOKUP(Mar[[#This Row],[BIMS Score]],BIMS[],2,FALSE),"")</f>
        <v/>
      </c>
      <c r="P17" s="3"/>
      <c r="Q17" s="3"/>
      <c r="R17" s="2"/>
      <c r="S17" s="168"/>
      <c r="T17" s="3"/>
      <c r="U17" s="3"/>
      <c r="V17" s="3"/>
    </row>
    <row r="18" spans="1:22" ht="20.85" customHeight="1" x14ac:dyDescent="0.25">
      <c r="A18" s="21"/>
      <c r="B18" s="267"/>
      <c r="C18" s="3"/>
      <c r="D18" s="264"/>
      <c r="E18" s="264"/>
      <c r="F18" s="267"/>
      <c r="G18" s="267"/>
      <c r="H18" s="2"/>
      <c r="I18" s="2"/>
      <c r="J18" s="2"/>
      <c r="K18" s="24" t="str">
        <f>IF(Mar[[#This Row],[Date of Incident]]="","",TEXT(Mar[[#This Row],[Date of Incident]],"ddd"))</f>
        <v/>
      </c>
      <c r="L18" s="1"/>
      <c r="M18" s="24" t="str">
        <f>IFERROR(VLOOKUP(Mar[[#This Row],[Hour]],Shifts[],2,FALSE),"")</f>
        <v/>
      </c>
      <c r="N18" s="2"/>
      <c r="O18" s="24" t="str">
        <f>IFERROR(VLOOKUP(Mar[[#This Row],[BIMS Score]],BIMS[],2,FALSE),"")</f>
        <v/>
      </c>
      <c r="P18" s="3"/>
      <c r="Q18" s="3"/>
      <c r="R18" s="2"/>
      <c r="S18" s="168"/>
      <c r="T18" s="3"/>
      <c r="U18" s="3"/>
      <c r="V18" s="3"/>
    </row>
    <row r="19" spans="1:22" ht="20.85" customHeight="1" x14ac:dyDescent="0.25">
      <c r="A19" s="21"/>
      <c r="B19" s="267"/>
      <c r="C19" s="3"/>
      <c r="D19" s="264"/>
      <c r="E19" s="264"/>
      <c r="F19" s="267"/>
      <c r="G19" s="267"/>
      <c r="H19" s="2"/>
      <c r="I19" s="2"/>
      <c r="J19" s="2"/>
      <c r="K19" s="24" t="str">
        <f>IF(Mar[[#This Row],[Date of Incident]]="","",TEXT(Mar[[#This Row],[Date of Incident]],"ddd"))</f>
        <v/>
      </c>
      <c r="L19" s="1"/>
      <c r="M19" s="24" t="str">
        <f>IFERROR(VLOOKUP(Mar[[#This Row],[Hour]],Shifts[],2,FALSE),"")</f>
        <v/>
      </c>
      <c r="N19" s="2"/>
      <c r="O19" s="24" t="str">
        <f>IFERROR(VLOOKUP(Mar[[#This Row],[BIMS Score]],BIMS[],2,FALSE),"")</f>
        <v/>
      </c>
      <c r="P19" s="3"/>
      <c r="Q19" s="3"/>
      <c r="R19" s="2"/>
      <c r="S19" s="168"/>
      <c r="T19" s="3"/>
      <c r="U19" s="3"/>
      <c r="V19" s="3"/>
    </row>
    <row r="20" spans="1:22" ht="20.85" customHeight="1" x14ac:dyDescent="0.25">
      <c r="A20" s="21"/>
      <c r="B20" s="267"/>
      <c r="C20" s="3"/>
      <c r="D20" s="264"/>
      <c r="E20" s="264"/>
      <c r="F20" s="267"/>
      <c r="G20" s="267"/>
      <c r="H20" s="2"/>
      <c r="I20" s="2"/>
      <c r="J20" s="2"/>
      <c r="K20" s="24" t="str">
        <f>IF(Mar[[#This Row],[Date of Incident]]="","",TEXT(Mar[[#This Row],[Date of Incident]],"ddd"))</f>
        <v/>
      </c>
      <c r="L20" s="1"/>
      <c r="M20" s="24" t="str">
        <f>IFERROR(VLOOKUP(Mar[[#This Row],[Hour]],Shifts[],2,FALSE),"")</f>
        <v/>
      </c>
      <c r="N20" s="2"/>
      <c r="O20" s="24" t="str">
        <f>IFERROR(VLOOKUP(Mar[[#This Row],[BIMS Score]],BIMS[],2,FALSE),"")</f>
        <v/>
      </c>
      <c r="P20" s="3"/>
      <c r="Q20" s="3"/>
      <c r="R20" s="2"/>
      <c r="S20" s="168"/>
      <c r="T20" s="3"/>
      <c r="U20" s="3"/>
      <c r="V20" s="3"/>
    </row>
    <row r="21" spans="1:22" ht="20.85" customHeight="1" x14ac:dyDescent="0.25">
      <c r="A21" s="21"/>
      <c r="B21" s="267"/>
      <c r="C21" s="3"/>
      <c r="D21" s="264"/>
      <c r="E21" s="264"/>
      <c r="F21" s="267"/>
      <c r="G21" s="267"/>
      <c r="H21" s="2"/>
      <c r="I21" s="2"/>
      <c r="J21" s="2"/>
      <c r="K21" s="24" t="str">
        <f>IF(Mar[[#This Row],[Date of Incident]]="","",TEXT(Mar[[#This Row],[Date of Incident]],"ddd"))</f>
        <v/>
      </c>
      <c r="L21" s="1"/>
      <c r="M21" s="24" t="str">
        <f>IFERROR(VLOOKUP(Mar[[#This Row],[Hour]],Shifts[],2,FALSE),"")</f>
        <v/>
      </c>
      <c r="N21" s="2"/>
      <c r="O21" s="24" t="str">
        <f>IFERROR(VLOOKUP(Mar[[#This Row],[BIMS Score]],BIMS[],2,FALSE),"")</f>
        <v/>
      </c>
      <c r="P21" s="3"/>
      <c r="Q21" s="3"/>
      <c r="R21" s="2"/>
      <c r="S21" s="168"/>
      <c r="T21" s="3"/>
      <c r="U21" s="3"/>
      <c r="V21" s="3"/>
    </row>
    <row r="22" spans="1:22" ht="20.85" customHeight="1" x14ac:dyDescent="0.25">
      <c r="A22" s="21"/>
      <c r="B22" s="267"/>
      <c r="C22" s="3"/>
      <c r="D22" s="264"/>
      <c r="E22" s="264"/>
      <c r="F22" s="267"/>
      <c r="G22" s="267"/>
      <c r="H22" s="2"/>
      <c r="I22" s="2"/>
      <c r="J22" s="2"/>
      <c r="K22" s="24" t="str">
        <f>IF(Mar[[#This Row],[Date of Incident]]="","",TEXT(Mar[[#This Row],[Date of Incident]],"ddd"))</f>
        <v/>
      </c>
      <c r="L22" s="1"/>
      <c r="M22" s="24" t="str">
        <f>IFERROR(VLOOKUP(Mar[[#This Row],[Hour]],Shifts[],2,FALSE),"")</f>
        <v/>
      </c>
      <c r="N22" s="1"/>
      <c r="O22" s="24" t="str">
        <f>IFERROR(VLOOKUP(Mar[[#This Row],[BIMS Score]],BIMS[],2,FALSE),"")</f>
        <v/>
      </c>
      <c r="P22" s="3"/>
      <c r="Q22" s="3"/>
      <c r="R22" s="2"/>
      <c r="S22" s="168"/>
      <c r="T22" s="3"/>
      <c r="U22" s="3"/>
      <c r="V22" s="3"/>
    </row>
    <row r="23" spans="1:22" ht="20.85" customHeight="1" x14ac:dyDescent="0.25">
      <c r="A23" s="21"/>
      <c r="B23" s="267"/>
      <c r="C23" s="3"/>
      <c r="D23" s="264"/>
      <c r="E23" s="264"/>
      <c r="F23" s="267"/>
      <c r="G23" s="267"/>
      <c r="H23" s="2"/>
      <c r="I23" s="2"/>
      <c r="J23" s="2"/>
      <c r="K23" s="24" t="str">
        <f>IF(Mar[[#This Row],[Date of Incident]]="","",TEXT(Mar[[#This Row],[Date of Incident]],"ddd"))</f>
        <v/>
      </c>
      <c r="L23" s="1"/>
      <c r="M23" s="24" t="str">
        <f>IFERROR(VLOOKUP(Mar[[#This Row],[Hour]],Shifts[],2,FALSE),"")</f>
        <v/>
      </c>
      <c r="N23" s="1"/>
      <c r="O23" s="24" t="str">
        <f>IFERROR(VLOOKUP(Mar[[#This Row],[BIMS Score]],BIMS[],2,FALSE),"")</f>
        <v/>
      </c>
      <c r="P23" s="3"/>
      <c r="Q23" s="3"/>
      <c r="R23" s="2"/>
      <c r="S23" s="168"/>
      <c r="T23" s="3"/>
      <c r="U23" s="3"/>
      <c r="V23" s="3"/>
    </row>
    <row r="24" spans="1:22" s="10" customFormat="1" ht="20.85" customHeight="1" x14ac:dyDescent="0.25">
      <c r="A24" s="26"/>
      <c r="B24" s="266"/>
      <c r="C24" s="5"/>
      <c r="D24" s="263"/>
      <c r="E24" s="263"/>
      <c r="F24" s="267"/>
      <c r="G24" s="267"/>
      <c r="H24" s="1"/>
      <c r="I24" s="1"/>
      <c r="J24" s="1"/>
      <c r="K24" s="24" t="str">
        <f>IF(Mar[[#This Row],[Date of Incident]]="","",TEXT(Mar[[#This Row],[Date of Incident]],"ddd"))</f>
        <v/>
      </c>
      <c r="L24" s="1"/>
      <c r="M24" s="24" t="str">
        <f>IFERROR(VLOOKUP(Mar[[#This Row],[Hour]],Shifts[],2,FALSE),"")</f>
        <v/>
      </c>
      <c r="N24" s="1"/>
      <c r="O24" s="24" t="str">
        <f>IFERROR(VLOOKUP(Mar[[#This Row],[BIMS Score]],BIMS[],2,FALSE),"")</f>
        <v/>
      </c>
      <c r="P24" s="3"/>
      <c r="Q24" s="3"/>
      <c r="R24" s="2"/>
      <c r="S24" s="168"/>
      <c r="T24" s="5"/>
      <c r="U24" s="5"/>
      <c r="V24" s="3"/>
    </row>
    <row r="25" spans="1:22" ht="20.85" customHeight="1" x14ac:dyDescent="0.25">
      <c r="A25" s="21"/>
      <c r="B25" s="266"/>
      <c r="C25" s="5"/>
      <c r="D25" s="263"/>
      <c r="E25" s="263"/>
      <c r="F25" s="267"/>
      <c r="G25" s="267"/>
      <c r="H25" s="1"/>
      <c r="I25" s="1"/>
      <c r="J25" s="1"/>
      <c r="K25" s="24" t="str">
        <f>IF(Mar[[#This Row],[Date of Incident]]="","",TEXT(Mar[[#This Row],[Date of Incident]],"ddd"))</f>
        <v/>
      </c>
      <c r="L25" s="1"/>
      <c r="M25" s="24" t="str">
        <f>IFERROR(VLOOKUP(Mar[[#This Row],[Hour]],Shifts[],2,FALSE),"")</f>
        <v/>
      </c>
      <c r="N25" s="1"/>
      <c r="O25" s="24" t="str">
        <f>IFERROR(VLOOKUP(Mar[[#This Row],[BIMS Score]],BIMS[],2,FALSE),"")</f>
        <v/>
      </c>
      <c r="P25" s="3"/>
      <c r="Q25" s="3"/>
      <c r="R25" s="2"/>
      <c r="S25" s="168"/>
      <c r="T25" s="5"/>
      <c r="U25" s="5"/>
      <c r="V25" s="3"/>
    </row>
    <row r="26" spans="1:22" ht="20.85" customHeight="1" x14ac:dyDescent="0.25">
      <c r="A26" s="21"/>
      <c r="B26" s="266"/>
      <c r="C26" s="5"/>
      <c r="D26" s="263"/>
      <c r="E26" s="263"/>
      <c r="F26" s="267"/>
      <c r="G26" s="267"/>
      <c r="H26" s="1"/>
      <c r="I26" s="1"/>
      <c r="J26" s="1"/>
      <c r="K26" s="24" t="str">
        <f>IF(Mar[[#This Row],[Date of Incident]]="","",TEXT(Mar[[#This Row],[Date of Incident]],"ddd"))</f>
        <v/>
      </c>
      <c r="L26" s="1"/>
      <c r="M26" s="24" t="str">
        <f>IFERROR(VLOOKUP(Mar[[#This Row],[Hour]],Shifts[],2,FALSE),"")</f>
        <v/>
      </c>
      <c r="N26" s="1"/>
      <c r="O26" s="24" t="str">
        <f>IFERROR(VLOOKUP(Mar[[#This Row],[BIMS Score]],BIMS[],2,FALSE),"")</f>
        <v/>
      </c>
      <c r="P26" s="3"/>
      <c r="Q26" s="3"/>
      <c r="R26" s="2"/>
      <c r="S26" s="168"/>
      <c r="T26" s="5"/>
      <c r="U26" s="5"/>
      <c r="V26" s="3"/>
    </row>
    <row r="27" spans="1:22" ht="20.85" customHeight="1" x14ac:dyDescent="0.25">
      <c r="A27" s="21"/>
      <c r="B27" s="266"/>
      <c r="C27" s="5"/>
      <c r="D27" s="263"/>
      <c r="E27" s="263"/>
      <c r="F27" s="267"/>
      <c r="G27" s="267"/>
      <c r="H27" s="1"/>
      <c r="I27" s="1"/>
      <c r="J27" s="1"/>
      <c r="K27" s="24" t="str">
        <f>IF(Mar[[#This Row],[Date of Incident]]="","",TEXT(Mar[[#This Row],[Date of Incident]],"ddd"))</f>
        <v/>
      </c>
      <c r="L27" s="1"/>
      <c r="M27" s="24" t="str">
        <f>IFERROR(VLOOKUP(Mar[[#This Row],[Hour]],Shifts[],2,FALSE),"")</f>
        <v/>
      </c>
      <c r="N27" s="1"/>
      <c r="O27" s="24" t="str">
        <f>IFERROR(VLOOKUP(Mar[[#This Row],[BIMS Score]],BIMS[],2,FALSE),"")</f>
        <v/>
      </c>
      <c r="P27" s="3"/>
      <c r="Q27" s="3"/>
      <c r="R27" s="2"/>
      <c r="S27" s="168"/>
      <c r="T27" s="5"/>
      <c r="U27" s="5"/>
      <c r="V27" s="3"/>
    </row>
    <row r="28" spans="1:22" ht="20.85" customHeight="1" x14ac:dyDescent="0.25">
      <c r="A28" s="21"/>
      <c r="B28" s="266"/>
      <c r="C28" s="5"/>
      <c r="D28" s="263"/>
      <c r="E28" s="263"/>
      <c r="F28" s="267"/>
      <c r="G28" s="267"/>
      <c r="H28" s="1"/>
      <c r="I28" s="1"/>
      <c r="J28" s="1"/>
      <c r="K28" s="24" t="str">
        <f>IF(Mar[[#This Row],[Date of Incident]]="","",TEXT(Mar[[#This Row],[Date of Incident]],"ddd"))</f>
        <v/>
      </c>
      <c r="L28" s="1"/>
      <c r="M28" s="24" t="str">
        <f>IFERROR(VLOOKUP(Mar[[#This Row],[Hour]],Shifts[],2,FALSE),"")</f>
        <v/>
      </c>
      <c r="N28" s="1"/>
      <c r="O28" s="24" t="str">
        <f>IFERROR(VLOOKUP(Mar[[#This Row],[BIMS Score]],BIMS[],2,FALSE),"")</f>
        <v/>
      </c>
      <c r="P28" s="3"/>
      <c r="Q28" s="3"/>
      <c r="R28" s="2"/>
      <c r="S28" s="168"/>
      <c r="T28" s="5"/>
      <c r="U28" s="5"/>
      <c r="V28" s="3"/>
    </row>
    <row r="29" spans="1:22" ht="20.85" customHeight="1" x14ac:dyDescent="0.25">
      <c r="B29" s="266"/>
      <c r="C29" s="5"/>
      <c r="D29" s="263"/>
      <c r="E29" s="263"/>
      <c r="F29" s="267"/>
      <c r="G29" s="267"/>
      <c r="H29" s="1"/>
      <c r="I29" s="1"/>
      <c r="J29" s="1"/>
      <c r="K29" s="27" t="str">
        <f>IF(Mar[[#This Row],[Date of Incident]]="","",TEXT(Mar[[#This Row],[Date of Incident]],"ddd"))</f>
        <v/>
      </c>
      <c r="L29" s="1"/>
      <c r="M29" s="27" t="str">
        <f>IFERROR(VLOOKUP(Mar[[#This Row],[Hour]],Shifts[],2,FALSE),"")</f>
        <v/>
      </c>
      <c r="N29" s="2"/>
      <c r="O29" s="24" t="str">
        <f>IFERROR(VLOOKUP(Mar[[#This Row],[BIMS Score]],BIMS[],2,FALSE),"")</f>
        <v/>
      </c>
      <c r="P29" s="3"/>
      <c r="Q29" s="3"/>
      <c r="R29" s="2"/>
      <c r="S29" s="168"/>
      <c r="T29" s="5"/>
      <c r="U29" s="5"/>
      <c r="V29" s="5"/>
    </row>
    <row r="30" spans="1:22" ht="20.85" customHeight="1" x14ac:dyDescent="0.25">
      <c r="B30" s="266"/>
      <c r="C30" s="5"/>
      <c r="D30" s="263"/>
      <c r="E30" s="263"/>
      <c r="F30" s="267"/>
      <c r="G30" s="267"/>
      <c r="H30" s="1"/>
      <c r="I30" s="1"/>
      <c r="J30" s="1"/>
      <c r="K30" s="27" t="str">
        <f>IF(Mar[[#This Row],[Date of Incident]]="","",TEXT(Mar[[#This Row],[Date of Incident]],"ddd"))</f>
        <v/>
      </c>
      <c r="L30" s="1"/>
      <c r="M30" s="27" t="str">
        <f>IFERROR(VLOOKUP(Mar[[#This Row],[Hour]],Shifts[],2,FALSE),"")</f>
        <v/>
      </c>
      <c r="N30" s="2"/>
      <c r="O30" s="24" t="str">
        <f>IFERROR(VLOOKUP(Mar[[#This Row],[BIMS Score]],BIMS[],2,FALSE),"")</f>
        <v/>
      </c>
      <c r="P30" s="3"/>
      <c r="Q30" s="3"/>
      <c r="R30" s="2"/>
      <c r="S30" s="168"/>
      <c r="T30" s="5"/>
      <c r="U30" s="5"/>
      <c r="V30" s="5"/>
    </row>
    <row r="31" spans="1:22" ht="20.85" customHeight="1" x14ac:dyDescent="0.25">
      <c r="B31" s="266"/>
      <c r="C31" s="5"/>
      <c r="D31" s="263"/>
      <c r="E31" s="263"/>
      <c r="F31" s="267"/>
      <c r="G31" s="267"/>
      <c r="H31" s="1"/>
      <c r="I31" s="1"/>
      <c r="J31" s="1"/>
      <c r="K31" s="27" t="str">
        <f>IF(Mar[[#This Row],[Date of Incident]]="","",TEXT(Mar[[#This Row],[Date of Incident]],"ddd"))</f>
        <v/>
      </c>
      <c r="L31" s="1"/>
      <c r="M31" s="27" t="str">
        <f>IFERROR(VLOOKUP(Mar[[#This Row],[Hour]],Shifts[],2,FALSE),"")</f>
        <v/>
      </c>
      <c r="N31" s="2"/>
      <c r="O31" s="24" t="str">
        <f>IFERROR(VLOOKUP(Mar[[#This Row],[BIMS Score]],BIMS[],2,FALSE),"")</f>
        <v/>
      </c>
      <c r="P31" s="3"/>
      <c r="Q31" s="3"/>
      <c r="R31" s="2"/>
      <c r="S31" s="168"/>
      <c r="T31" s="5"/>
      <c r="U31" s="5"/>
      <c r="V31" s="5"/>
    </row>
    <row r="32" spans="1:22" ht="20.85" customHeight="1" x14ac:dyDescent="0.25">
      <c r="B32" s="266"/>
      <c r="C32" s="5"/>
      <c r="D32" s="263"/>
      <c r="E32" s="263"/>
      <c r="F32" s="267"/>
      <c r="G32" s="267"/>
      <c r="H32" s="1"/>
      <c r="I32" s="1"/>
      <c r="J32" s="1"/>
      <c r="K32" s="27" t="str">
        <f>IF(Mar[[#This Row],[Date of Incident]]="","",TEXT(Mar[[#This Row],[Date of Incident]],"ddd"))</f>
        <v/>
      </c>
      <c r="L32" s="1"/>
      <c r="M32" s="27" t="str">
        <f>IFERROR(VLOOKUP(Mar[[#This Row],[Hour]],Shifts[],2,FALSE),"")</f>
        <v/>
      </c>
      <c r="N32" s="2"/>
      <c r="O32" s="24" t="str">
        <f>IFERROR(VLOOKUP(Mar[[#This Row],[BIMS Score]],BIMS[],2,FALSE),"")</f>
        <v/>
      </c>
      <c r="P32" s="3"/>
      <c r="Q32" s="3"/>
      <c r="R32" s="2"/>
      <c r="S32" s="168"/>
      <c r="T32" s="5"/>
      <c r="U32" s="5"/>
      <c r="V32" s="5"/>
    </row>
    <row r="33" spans="2:22" ht="20.85" customHeight="1" x14ac:dyDescent="0.25">
      <c r="B33" s="266"/>
      <c r="C33" s="5"/>
      <c r="D33" s="263"/>
      <c r="E33" s="263"/>
      <c r="F33" s="267"/>
      <c r="G33" s="267"/>
      <c r="H33" s="1"/>
      <c r="I33" s="1"/>
      <c r="J33" s="1"/>
      <c r="K33" s="27" t="str">
        <f>IF(Mar[[#This Row],[Date of Incident]]="","",TEXT(Mar[[#This Row],[Date of Incident]],"ddd"))</f>
        <v/>
      </c>
      <c r="L33" s="1"/>
      <c r="M33" s="27" t="str">
        <f>IFERROR(VLOOKUP(Mar[[#This Row],[Hour]],Shifts[],2,FALSE),"")</f>
        <v/>
      </c>
      <c r="N33" s="2"/>
      <c r="O33" s="24" t="str">
        <f>IFERROR(VLOOKUP(Mar[[#This Row],[BIMS Score]],BIMS[],2,FALSE),"")</f>
        <v/>
      </c>
      <c r="P33" s="3"/>
      <c r="Q33" s="3"/>
      <c r="R33" s="2"/>
      <c r="S33" s="168"/>
      <c r="T33" s="5"/>
      <c r="U33" s="5"/>
      <c r="V33" s="5"/>
    </row>
    <row r="34" spans="2:22" ht="20.85" customHeight="1" x14ac:dyDescent="0.25">
      <c r="B34" s="266"/>
      <c r="C34" s="5"/>
      <c r="D34" s="263"/>
      <c r="E34" s="263"/>
      <c r="F34" s="267"/>
      <c r="G34" s="267"/>
      <c r="H34" s="1"/>
      <c r="I34" s="1"/>
      <c r="J34" s="1"/>
      <c r="K34" s="27" t="str">
        <f>IF(Mar[[#This Row],[Date of Incident]]="","",TEXT(Mar[[#This Row],[Date of Incident]],"ddd"))</f>
        <v/>
      </c>
      <c r="L34" s="1"/>
      <c r="M34" s="27" t="str">
        <f>IFERROR(VLOOKUP(Mar[[#This Row],[Hour]],Shifts[],2,FALSE),"")</f>
        <v/>
      </c>
      <c r="N34" s="2"/>
      <c r="O34" s="24" t="str">
        <f>IFERROR(VLOOKUP(Mar[[#This Row],[BIMS Score]],BIMS[],2,FALSE),"")</f>
        <v/>
      </c>
      <c r="P34" s="3"/>
      <c r="Q34" s="3"/>
      <c r="R34" s="2"/>
      <c r="S34" s="168"/>
      <c r="T34" s="5"/>
      <c r="U34" s="5"/>
      <c r="V34" s="5"/>
    </row>
    <row r="35" spans="2:22" ht="20.85" customHeight="1" x14ac:dyDescent="0.25">
      <c r="B35" s="266"/>
      <c r="C35" s="5"/>
      <c r="D35" s="263"/>
      <c r="E35" s="263"/>
      <c r="F35" s="267"/>
      <c r="G35" s="267"/>
      <c r="H35" s="1"/>
      <c r="I35" s="1"/>
      <c r="J35" s="1"/>
      <c r="K35" s="27" t="str">
        <f>IF(Mar[[#This Row],[Date of Incident]]="","",TEXT(Mar[[#This Row],[Date of Incident]],"ddd"))</f>
        <v/>
      </c>
      <c r="L35" s="1"/>
      <c r="M35" s="27" t="str">
        <f>IFERROR(VLOOKUP(Mar[[#This Row],[Hour]],Shifts[],2,FALSE),"")</f>
        <v/>
      </c>
      <c r="N35" s="2"/>
      <c r="O35" s="24" t="str">
        <f>IFERROR(VLOOKUP(Mar[[#This Row],[BIMS Score]],BIMS[],2,FALSE),"")</f>
        <v/>
      </c>
      <c r="P35" s="3"/>
      <c r="Q35" s="3"/>
      <c r="R35" s="2"/>
      <c r="S35" s="168"/>
      <c r="T35" s="5"/>
      <c r="U35" s="5"/>
      <c r="V35" s="5"/>
    </row>
    <row r="36" spans="2:22" ht="20.85" customHeight="1" x14ac:dyDescent="0.25">
      <c r="B36" s="266"/>
      <c r="C36" s="5"/>
      <c r="D36" s="263"/>
      <c r="E36" s="263"/>
      <c r="F36" s="267"/>
      <c r="G36" s="267"/>
      <c r="H36" s="1"/>
      <c r="I36" s="1"/>
      <c r="J36" s="1"/>
      <c r="K36" s="27" t="str">
        <f>IF(Mar[[#This Row],[Date of Incident]]="","",TEXT(Mar[[#This Row],[Date of Incident]],"ddd"))</f>
        <v/>
      </c>
      <c r="L36" s="1"/>
      <c r="M36" s="27" t="str">
        <f>IFERROR(VLOOKUP(Mar[[#This Row],[Hour]],Shifts[],2,FALSE),"")</f>
        <v/>
      </c>
      <c r="N36" s="2"/>
      <c r="O36" s="24" t="str">
        <f>IFERROR(VLOOKUP(Mar[[#This Row],[BIMS Score]],BIMS[],2,FALSE),"")</f>
        <v/>
      </c>
      <c r="P36" s="3"/>
      <c r="Q36" s="3"/>
      <c r="R36" s="2"/>
      <c r="S36" s="168"/>
      <c r="T36" s="5"/>
      <c r="U36" s="5"/>
      <c r="V36" s="5"/>
    </row>
    <row r="37" spans="2:22" ht="20.85" customHeight="1" x14ac:dyDescent="0.25">
      <c r="B37" s="266"/>
      <c r="C37" s="5"/>
      <c r="D37" s="263"/>
      <c r="E37" s="263"/>
      <c r="F37" s="267"/>
      <c r="G37" s="267"/>
      <c r="H37" s="1"/>
      <c r="I37" s="1"/>
      <c r="J37" s="1"/>
      <c r="K37" s="27" t="str">
        <f>IF(Mar[[#This Row],[Date of Incident]]="","",TEXT(Mar[[#This Row],[Date of Incident]],"ddd"))</f>
        <v/>
      </c>
      <c r="L37" s="1"/>
      <c r="M37" s="27" t="str">
        <f>IFERROR(VLOOKUP(Mar[[#This Row],[Hour]],Shifts[],2,FALSE),"")</f>
        <v/>
      </c>
      <c r="N37" s="2"/>
      <c r="O37" s="24" t="str">
        <f>IFERROR(VLOOKUP(Mar[[#This Row],[BIMS Score]],BIMS[],2,FALSE),"")</f>
        <v/>
      </c>
      <c r="P37" s="3"/>
      <c r="Q37" s="3"/>
      <c r="R37" s="2"/>
      <c r="S37" s="168"/>
      <c r="T37" s="5"/>
      <c r="U37" s="5"/>
      <c r="V37" s="5"/>
    </row>
    <row r="38" spans="2:22" ht="20.85" customHeight="1" x14ac:dyDescent="0.25">
      <c r="B38" s="266"/>
      <c r="C38" s="5"/>
      <c r="D38" s="263"/>
      <c r="E38" s="263"/>
      <c r="F38" s="267"/>
      <c r="G38" s="267"/>
      <c r="H38" s="1"/>
      <c r="I38" s="1"/>
      <c r="J38" s="1"/>
      <c r="K38" s="27" t="str">
        <f>IF(Mar[[#This Row],[Date of Incident]]="","",TEXT(Mar[[#This Row],[Date of Incident]],"ddd"))</f>
        <v/>
      </c>
      <c r="L38" s="1"/>
      <c r="M38" s="27" t="str">
        <f>IFERROR(VLOOKUP(Mar[[#This Row],[Hour]],Shifts[],2,FALSE),"")</f>
        <v/>
      </c>
      <c r="N38" s="2"/>
      <c r="O38" s="24" t="str">
        <f>IFERROR(VLOOKUP(Mar[[#This Row],[BIMS Score]],BIMS[],2,FALSE),"")</f>
        <v/>
      </c>
      <c r="P38" s="3"/>
      <c r="Q38" s="3"/>
      <c r="R38" s="2"/>
      <c r="S38" s="168"/>
      <c r="T38" s="5"/>
      <c r="U38" s="5"/>
      <c r="V38" s="5"/>
    </row>
    <row r="39" spans="2:22" ht="20.85" customHeight="1" x14ac:dyDescent="0.25">
      <c r="B39" s="266"/>
      <c r="C39" s="5"/>
      <c r="D39" s="263"/>
      <c r="E39" s="263"/>
      <c r="F39" s="267"/>
      <c r="G39" s="267"/>
      <c r="H39" s="1"/>
      <c r="I39" s="1"/>
      <c r="J39" s="1"/>
      <c r="K39" s="27" t="str">
        <f>IF(Mar[[#This Row],[Date of Incident]]="","",TEXT(Mar[[#This Row],[Date of Incident]],"ddd"))</f>
        <v/>
      </c>
      <c r="L39" s="1"/>
      <c r="M39" s="27" t="str">
        <f>IFERROR(VLOOKUP(Mar[[#This Row],[Hour]],Shifts[],2,FALSE),"")</f>
        <v/>
      </c>
      <c r="N39" s="2"/>
      <c r="O39" s="24" t="str">
        <f>IFERROR(VLOOKUP(Mar[[#This Row],[BIMS Score]],BIMS[],2,FALSE),"")</f>
        <v/>
      </c>
      <c r="P39" s="3"/>
      <c r="Q39" s="3"/>
      <c r="R39" s="2"/>
      <c r="S39" s="168"/>
      <c r="T39" s="5"/>
      <c r="U39" s="5"/>
      <c r="V39" s="5"/>
    </row>
    <row r="40" spans="2:22" ht="20.85" customHeight="1" x14ac:dyDescent="0.25">
      <c r="B40" s="266"/>
      <c r="C40" s="5"/>
      <c r="D40" s="263"/>
      <c r="E40" s="263"/>
      <c r="F40" s="267"/>
      <c r="G40" s="267"/>
      <c r="H40" s="1"/>
      <c r="I40" s="1"/>
      <c r="J40" s="1"/>
      <c r="K40" s="27" t="str">
        <f>IF(Mar[[#This Row],[Date of Incident]]="","",TEXT(Mar[[#This Row],[Date of Incident]],"ddd"))</f>
        <v/>
      </c>
      <c r="L40" s="1"/>
      <c r="M40" s="27" t="str">
        <f>IFERROR(VLOOKUP(Mar[[#This Row],[Hour]],Shifts[],2,FALSE),"")</f>
        <v/>
      </c>
      <c r="N40" s="2"/>
      <c r="O40" s="24" t="str">
        <f>IFERROR(VLOOKUP(Mar[[#This Row],[BIMS Score]],BIMS[],2,FALSE),"")</f>
        <v/>
      </c>
      <c r="P40" s="3"/>
      <c r="Q40" s="3"/>
      <c r="R40" s="2"/>
      <c r="S40" s="168"/>
      <c r="T40" s="5"/>
      <c r="U40" s="5"/>
      <c r="V40" s="5"/>
    </row>
    <row r="41" spans="2:22" x14ac:dyDescent="0.25">
      <c r="B41" s="26"/>
      <c r="C41" s="21"/>
      <c r="D41" s="22"/>
      <c r="E41" s="23"/>
      <c r="F41" s="26"/>
      <c r="G41" s="26"/>
      <c r="H41" s="26"/>
      <c r="I41" s="26"/>
      <c r="J41" s="26"/>
      <c r="K41" s="26"/>
      <c r="L41" s="26"/>
      <c r="M41" s="26"/>
      <c r="N41" s="20"/>
      <c r="O41" s="25"/>
      <c r="P41" s="21"/>
      <c r="Q41" s="21"/>
      <c r="R41" s="25"/>
    </row>
    <row r="42" spans="2:22" x14ac:dyDescent="0.25">
      <c r="B42" s="26"/>
      <c r="C42" s="21"/>
      <c r="D42" s="22"/>
      <c r="E42" s="23"/>
      <c r="F42" s="26"/>
      <c r="G42" s="26"/>
      <c r="H42" s="26"/>
      <c r="I42" s="26"/>
      <c r="J42" s="26"/>
      <c r="K42" s="26"/>
      <c r="L42" s="26"/>
      <c r="M42" s="26"/>
      <c r="N42" s="20"/>
      <c r="O42" s="25"/>
      <c r="P42" s="21"/>
      <c r="Q42" s="21"/>
      <c r="R42" s="25"/>
    </row>
    <row r="43" spans="2:22" x14ac:dyDescent="0.25">
      <c r="B43" s="26"/>
      <c r="C43" s="21"/>
      <c r="D43" s="22"/>
      <c r="E43" s="23"/>
      <c r="F43" s="26"/>
      <c r="G43" s="26"/>
      <c r="H43" s="26"/>
      <c r="I43" s="26"/>
      <c r="J43" s="26"/>
      <c r="K43" s="26"/>
      <c r="L43" s="26"/>
      <c r="M43" s="26"/>
      <c r="N43" s="20"/>
      <c r="O43" s="25"/>
      <c r="P43" s="21"/>
      <c r="Q43" s="21"/>
      <c r="R43" s="25"/>
    </row>
    <row r="44" spans="2:22" x14ac:dyDescent="0.25">
      <c r="B44" s="26"/>
      <c r="C44" s="21"/>
      <c r="D44" s="22"/>
      <c r="E44" s="23"/>
      <c r="F44" s="26"/>
      <c r="G44" s="26"/>
      <c r="H44" s="26"/>
      <c r="I44" s="26"/>
      <c r="J44" s="26"/>
      <c r="K44" s="26"/>
      <c r="L44" s="26"/>
      <c r="M44" s="26"/>
      <c r="N44" s="20"/>
      <c r="O44" s="25"/>
      <c r="P44" s="21"/>
      <c r="Q44" s="21"/>
      <c r="R44" s="25"/>
    </row>
    <row r="45" spans="2:22" x14ac:dyDescent="0.25">
      <c r="B45" s="26"/>
      <c r="C45" s="21"/>
      <c r="D45" s="22"/>
      <c r="E45" s="23"/>
      <c r="F45" s="26"/>
      <c r="G45" s="26"/>
      <c r="H45" s="26"/>
      <c r="I45" s="26"/>
      <c r="J45" s="26"/>
      <c r="K45" s="26"/>
      <c r="L45" s="26"/>
      <c r="M45" s="26"/>
      <c r="N45" s="20"/>
      <c r="O45" s="25"/>
      <c r="P45" s="21"/>
      <c r="Q45" s="21"/>
      <c r="R45" s="25"/>
    </row>
    <row r="46" spans="2:22" x14ac:dyDescent="0.25">
      <c r="B46" s="26"/>
      <c r="C46" s="21"/>
      <c r="D46" s="22"/>
      <c r="E46" s="23"/>
      <c r="F46" s="26"/>
      <c r="G46" s="26"/>
      <c r="H46" s="26"/>
      <c r="I46" s="26"/>
      <c r="J46" s="26"/>
      <c r="K46" s="26"/>
      <c r="L46" s="26"/>
      <c r="M46" s="26"/>
      <c r="N46" s="20"/>
      <c r="O46" s="25"/>
      <c r="P46" s="21"/>
      <c r="Q46" s="21"/>
      <c r="R46" s="25"/>
    </row>
    <row r="47" spans="2:22" x14ac:dyDescent="0.25">
      <c r="B47" s="26"/>
      <c r="C47" s="21"/>
      <c r="D47" s="22"/>
      <c r="E47" s="23"/>
      <c r="F47" s="26"/>
      <c r="G47" s="26"/>
      <c r="H47" s="26"/>
      <c r="I47" s="26"/>
      <c r="J47" s="26"/>
      <c r="K47" s="26"/>
      <c r="L47" s="26"/>
      <c r="M47" s="26"/>
      <c r="N47" s="20"/>
      <c r="O47" s="25"/>
      <c r="P47" s="21"/>
      <c r="Q47" s="21"/>
      <c r="R47" s="25"/>
    </row>
    <row r="48" spans="2:22" x14ac:dyDescent="0.25">
      <c r="B48" s="26"/>
      <c r="C48" s="21"/>
      <c r="D48" s="22"/>
      <c r="E48" s="23"/>
      <c r="F48" s="26"/>
      <c r="G48" s="26"/>
      <c r="H48" s="26"/>
      <c r="I48" s="26"/>
      <c r="J48" s="26"/>
      <c r="K48" s="26"/>
      <c r="L48" s="26"/>
      <c r="M48" s="26"/>
      <c r="N48" s="20"/>
      <c r="O48" s="25"/>
      <c r="P48" s="21"/>
      <c r="Q48" s="21"/>
      <c r="R48" s="25"/>
    </row>
    <row r="49" spans="1:18" x14ac:dyDescent="0.25">
      <c r="B49" s="26"/>
      <c r="C49" s="21"/>
      <c r="D49" s="22"/>
      <c r="E49" s="23"/>
      <c r="F49" s="26"/>
      <c r="G49" s="26"/>
      <c r="H49" s="26"/>
      <c r="I49" s="26"/>
      <c r="J49" s="26"/>
      <c r="K49" s="26"/>
      <c r="L49" s="26"/>
      <c r="M49" s="26"/>
      <c r="N49" s="20"/>
      <c r="O49" s="25"/>
      <c r="P49" s="21"/>
      <c r="Q49" s="21"/>
      <c r="R49" s="25"/>
    </row>
    <row r="50" spans="1:18" ht="15.75" thickBot="1" x14ac:dyDescent="0.3">
      <c r="B50" s="26"/>
      <c r="C50" s="21"/>
      <c r="D50" s="22"/>
      <c r="E50" s="23"/>
      <c r="F50" s="26"/>
      <c r="G50" s="26"/>
      <c r="H50" s="26"/>
      <c r="I50" s="26"/>
      <c r="Q50" s="21"/>
    </row>
    <row r="51" spans="1:18" ht="22.35" customHeight="1" thickBot="1" x14ac:dyDescent="0.3">
      <c r="B51" s="282" t="s">
        <v>85</v>
      </c>
      <c r="C51" s="283"/>
      <c r="D51" s="284"/>
      <c r="F51" s="282" t="s">
        <v>100</v>
      </c>
      <c r="G51" s="283"/>
      <c r="H51" s="284"/>
    </row>
    <row r="52" spans="1:18" ht="15.6" customHeight="1" x14ac:dyDescent="0.25">
      <c r="B52" s="285" t="s">
        <v>83</v>
      </c>
      <c r="C52" s="286"/>
      <c r="D52" s="28" t="s">
        <v>35</v>
      </c>
      <c r="F52" s="285" t="s">
        <v>83</v>
      </c>
      <c r="G52" s="286"/>
      <c r="H52" s="28" t="s">
        <v>35</v>
      </c>
    </row>
    <row r="53" spans="1:18" x14ac:dyDescent="0.25">
      <c r="B53" s="29" t="s">
        <v>41</v>
      </c>
      <c r="C53" s="30"/>
      <c r="D53" s="31">
        <f>COUNTIFS(Mar[Witnessed
Fall?],$B53)</f>
        <v>0</v>
      </c>
      <c r="F53" s="29" t="s">
        <v>79</v>
      </c>
      <c r="G53" s="30"/>
      <c r="H53" s="31">
        <f>COUNTIFS(Mar[Fall Circumstances],$F53)</f>
        <v>0</v>
      </c>
    </row>
    <row r="54" spans="1:18" ht="15.75" thickBot="1" x14ac:dyDescent="0.3">
      <c r="B54" s="32" t="s">
        <v>42</v>
      </c>
      <c r="C54" s="33"/>
      <c r="D54" s="34">
        <f>COUNTIFS(Mar[Witnessed
Fall?],$B54)</f>
        <v>0</v>
      </c>
      <c r="F54" s="29" t="s">
        <v>101</v>
      </c>
      <c r="G54" s="30"/>
      <c r="H54" s="31">
        <f>COUNTIFS(Mar[Fall Circumstances],$F54)</f>
        <v>0</v>
      </c>
    </row>
    <row r="55" spans="1:18" ht="15.6" customHeight="1" thickBot="1" x14ac:dyDescent="0.3">
      <c r="B55" s="287" t="s">
        <v>16</v>
      </c>
      <c r="C55" s="288"/>
      <c r="D55" s="35">
        <f>SUM(D53:D54)</f>
        <v>0</v>
      </c>
      <c r="F55" s="32" t="s">
        <v>102</v>
      </c>
      <c r="G55" s="33"/>
      <c r="H55" s="36">
        <f>COUNTIFS(Mar[Fall Circumstances],$F55)</f>
        <v>0</v>
      </c>
    </row>
    <row r="56" spans="1:18" ht="15.6" customHeight="1" thickBot="1" x14ac:dyDescent="0.3">
      <c r="A56" s="26"/>
      <c r="B56" s="21"/>
      <c r="C56" s="22"/>
      <c r="D56" s="26"/>
      <c r="F56" s="287" t="s">
        <v>16</v>
      </c>
      <c r="G56" s="288"/>
      <c r="H56" s="37">
        <f>SUM(H53:H55)</f>
        <v>0</v>
      </c>
    </row>
    <row r="57" spans="1:18" ht="15.75" thickBot="1" x14ac:dyDescent="0.3">
      <c r="A57" s="26"/>
      <c r="B57" s="21"/>
      <c r="C57" s="22"/>
      <c r="D57" s="26"/>
      <c r="F57" s="26"/>
      <c r="G57" s="21"/>
      <c r="H57" s="22"/>
      <c r="L57" s="21"/>
      <c r="O57" s="22"/>
    </row>
    <row r="58" spans="1:18" ht="15.75" thickBot="1" x14ac:dyDescent="0.3">
      <c r="A58" s="26"/>
      <c r="B58" s="21"/>
      <c r="C58" s="22"/>
      <c r="D58" s="26"/>
      <c r="F58" s="282" t="s">
        <v>103</v>
      </c>
      <c r="G58" s="283"/>
      <c r="H58" s="284"/>
      <c r="L58" s="21"/>
      <c r="O58" s="22"/>
    </row>
    <row r="59" spans="1:18" x14ac:dyDescent="0.25">
      <c r="A59" s="26"/>
      <c r="B59" s="21"/>
      <c r="C59" s="22"/>
      <c r="D59" s="26"/>
      <c r="F59" s="285" t="s">
        <v>26</v>
      </c>
      <c r="G59" s="286"/>
      <c r="H59" s="28" t="s">
        <v>35</v>
      </c>
      <c r="L59" s="21"/>
      <c r="O59" s="22"/>
    </row>
    <row r="60" spans="1:18" ht="15.6" customHeight="1" x14ac:dyDescent="0.25">
      <c r="F60" s="29" t="s">
        <v>142</v>
      </c>
      <c r="G60" s="30"/>
      <c r="H60" s="31">
        <f>COUNTIFS(Mar[Cognitive Impairment],$F60)</f>
        <v>0</v>
      </c>
    </row>
    <row r="61" spans="1:18" x14ac:dyDescent="0.25">
      <c r="F61" s="29" t="s">
        <v>143</v>
      </c>
      <c r="G61" s="30"/>
      <c r="H61" s="31">
        <f>COUNTIFS(Mar[Cognitive Impairment],$F61)</f>
        <v>0</v>
      </c>
    </row>
    <row r="62" spans="1:18" ht="15.75" thickBot="1" x14ac:dyDescent="0.3">
      <c r="F62" s="32" t="s">
        <v>144</v>
      </c>
      <c r="G62" s="33"/>
      <c r="H62" s="31">
        <f>COUNTIFS(Mar[Cognitive Impairment],$F62)</f>
        <v>0</v>
      </c>
    </row>
    <row r="63" spans="1:18" ht="15.75" thickBot="1" x14ac:dyDescent="0.3">
      <c r="F63" s="287" t="s">
        <v>16</v>
      </c>
      <c r="G63" s="288"/>
      <c r="H63" s="37">
        <f>SUM(H60:H62)</f>
        <v>0</v>
      </c>
    </row>
    <row r="64" spans="1:18" ht="15.75" thickBot="1" x14ac:dyDescent="0.3"/>
    <row r="65" spans="1:8" ht="21.4" customHeight="1" thickBot="1" x14ac:dyDescent="0.3">
      <c r="B65" s="282" t="s">
        <v>78</v>
      </c>
      <c r="C65" s="283"/>
      <c r="D65" s="283"/>
      <c r="E65" s="283"/>
      <c r="F65" s="283"/>
      <c r="G65" s="284"/>
    </row>
    <row r="66" spans="1:8" ht="15.6" customHeight="1" x14ac:dyDescent="0.25">
      <c r="A66" s="38"/>
      <c r="B66" s="290" t="s">
        <v>86</v>
      </c>
      <c r="C66" s="291"/>
      <c r="D66" s="291"/>
      <c r="E66" s="291"/>
      <c r="F66" s="292"/>
      <c r="G66" s="28" t="s">
        <v>35</v>
      </c>
    </row>
    <row r="67" spans="1:8" x14ac:dyDescent="0.25">
      <c r="A67" s="38"/>
      <c r="B67" s="39" t="str" cm="1">
        <f t="array" ref="B67:B90">IF(_xlfn._xlws.SORT(PriortoFall[What was the resident doing prior to fall?],1,1,TRUE)=0,"",(_xlfn._xlws.SORT(PriortoFall[What was the resident doing prior to fall?],1,1,TRUE)))</f>
        <v>Ambulating with assistive device (walker, cane, wheelchair)</v>
      </c>
      <c r="C67" s="40"/>
      <c r="D67" s="40"/>
      <c r="E67" s="40"/>
      <c r="F67" s="41"/>
      <c r="G67" s="42">
        <f>IF($B67="",NA(),COUNTIFS(Mar[What was resident doing prior to fall?],$B67))</f>
        <v>0</v>
      </c>
      <c r="H67" s="43"/>
    </row>
    <row r="68" spans="1:8" x14ac:dyDescent="0.25">
      <c r="A68" s="38"/>
      <c r="B68" s="44" t="str">
        <v>Ambulating with staff assistance</v>
      </c>
      <c r="C68" s="45"/>
      <c r="D68" s="45"/>
      <c r="E68" s="45"/>
      <c r="F68" s="46"/>
      <c r="G68" s="42">
        <f>IF($B68="",NA(),COUNTIFS(Mar[What was resident doing prior to fall?],$B68))</f>
        <v>0</v>
      </c>
    </row>
    <row r="69" spans="1:8" x14ac:dyDescent="0.25">
      <c r="A69" s="38"/>
      <c r="B69" s="39" t="str">
        <v>Ambulating without assistance or assistive device</v>
      </c>
      <c r="C69" s="40"/>
      <c r="D69" s="40"/>
      <c r="E69" s="40"/>
      <c r="F69" s="41"/>
      <c r="G69" s="42">
        <f>IF($B69="",NA(),COUNTIFS(Mar[What was resident doing prior to fall?],$B69))</f>
        <v>0</v>
      </c>
    </row>
    <row r="70" spans="1:8" x14ac:dyDescent="0.25">
      <c r="A70" s="38"/>
      <c r="B70" s="44" t="str">
        <v>Changing position (e.g., in bed, chair)</v>
      </c>
      <c r="C70" s="45"/>
      <c r="D70" s="45"/>
      <c r="E70" s="45"/>
      <c r="F70" s="46"/>
      <c r="G70" s="42">
        <f>IF($B70="",NA(),COUNTIFS(Mar[What was resident doing prior to fall?],$B70))</f>
        <v>0</v>
      </c>
    </row>
    <row r="71" spans="1:8" x14ac:dyDescent="0.25">
      <c r="A71" s="38"/>
      <c r="B71" s="44" t="str">
        <v>Dressing or undressing</v>
      </c>
      <c r="C71" s="45"/>
      <c r="D71" s="45"/>
      <c r="E71" s="45"/>
      <c r="F71" s="46"/>
      <c r="G71" s="42">
        <f>IF($B71="",NA(),COUNTIFS(Mar[What was resident doing prior to fall?],$B71))</f>
        <v>0</v>
      </c>
    </row>
    <row r="72" spans="1:8" x14ac:dyDescent="0.25">
      <c r="A72" s="38"/>
      <c r="B72" s="44" t="str">
        <v>Other activity</v>
      </c>
      <c r="C72" s="45"/>
      <c r="D72" s="45"/>
      <c r="E72" s="45"/>
      <c r="F72" s="46"/>
      <c r="G72" s="42">
        <f>IF($B72="",NA(),COUNTIFS(Mar[What was resident doing prior to fall?],$B72))</f>
        <v>0</v>
      </c>
    </row>
    <row r="73" spans="1:8" x14ac:dyDescent="0.25">
      <c r="A73" s="38"/>
      <c r="B73" s="44" t="str">
        <v>Reaching for an item</v>
      </c>
      <c r="C73" s="45"/>
      <c r="D73" s="45"/>
      <c r="E73" s="45"/>
      <c r="F73" s="46"/>
      <c r="G73" s="42">
        <f>IF($B73="",NA(),COUNTIFS(Mar[What was resident doing prior to fall?],$B73))</f>
        <v>0</v>
      </c>
    </row>
    <row r="74" spans="1:8" x14ac:dyDescent="0.25">
      <c r="A74" s="38"/>
      <c r="B74" s="44" t="str">
        <v>Showering or bathing</v>
      </c>
      <c r="C74" s="45"/>
      <c r="D74" s="45"/>
      <c r="E74" s="45"/>
      <c r="F74" s="46"/>
      <c r="G74" s="42">
        <f>IF($B74="",NA(),COUNTIFS(Mar[What was resident doing prior to fall?],$B74))</f>
        <v>0</v>
      </c>
    </row>
    <row r="75" spans="1:8" x14ac:dyDescent="0.25">
      <c r="A75" s="38"/>
      <c r="B75" s="44" t="str">
        <v>Toileting</v>
      </c>
      <c r="C75" s="45"/>
      <c r="D75" s="45"/>
      <c r="E75" s="45"/>
      <c r="F75" s="46"/>
      <c r="G75" s="42">
        <f>IF($B75="",NA(),COUNTIFS(Mar[What was resident doing prior to fall?],$B75))</f>
        <v>0</v>
      </c>
    </row>
    <row r="76" spans="1:8" x14ac:dyDescent="0.25">
      <c r="A76" s="38"/>
      <c r="B76" s="44" t="str">
        <v>Transferring to or from bed, chair, wheelchair, etc.</v>
      </c>
      <c r="C76" s="45"/>
      <c r="D76" s="45"/>
      <c r="E76" s="45"/>
      <c r="F76" s="46"/>
      <c r="G76" s="42">
        <f>IF($B76="",NA(),COUNTIFS(Mar[What was resident doing prior to fall?],$B76))</f>
        <v>0</v>
      </c>
    </row>
    <row r="77" spans="1:8" x14ac:dyDescent="0.25">
      <c r="A77" s="38"/>
      <c r="B77" s="39" t="str">
        <v>Unknown</v>
      </c>
      <c r="C77" s="40"/>
      <c r="D77" s="40"/>
      <c r="E77" s="40"/>
      <c r="F77" s="41"/>
      <c r="G77" s="42">
        <f>IF($B77="",NA(),COUNTIFS(Mar[What was resident doing prior to fall?],$B77))</f>
        <v>0</v>
      </c>
    </row>
    <row r="78" spans="1:8" x14ac:dyDescent="0.25">
      <c r="A78" s="38"/>
      <c r="B78" s="44" t="str">
        <v/>
      </c>
      <c r="C78" s="45"/>
      <c r="D78" s="45"/>
      <c r="E78" s="45"/>
      <c r="F78" s="46"/>
      <c r="G78" s="42" t="e">
        <f>IF($B78="",NA(),COUNTIFS(Mar[What was resident doing prior to fall?],$B78))</f>
        <v>#N/A</v>
      </c>
    </row>
    <row r="79" spans="1:8" x14ac:dyDescent="0.25">
      <c r="A79" s="38"/>
      <c r="B79" s="39" t="str">
        <v/>
      </c>
      <c r="C79" s="40"/>
      <c r="D79" s="40"/>
      <c r="E79" s="40"/>
      <c r="F79" s="41"/>
      <c r="G79" s="42" t="e">
        <f>IF($B79="",NA(),COUNTIFS(Mar[What was resident doing prior to fall?],$B79))</f>
        <v>#N/A</v>
      </c>
    </row>
    <row r="80" spans="1:8" x14ac:dyDescent="0.25">
      <c r="A80" s="38"/>
      <c r="B80" s="44" t="str">
        <v/>
      </c>
      <c r="C80" s="45"/>
      <c r="D80" s="45"/>
      <c r="E80" s="45"/>
      <c r="F80" s="46"/>
      <c r="G80" s="42" t="e">
        <f>IF($B80="",NA(),COUNTIFS(Mar[What was resident doing prior to fall?],$B80))</f>
        <v>#N/A</v>
      </c>
    </row>
    <row r="81" spans="1:7" x14ac:dyDescent="0.25">
      <c r="A81" s="38"/>
      <c r="B81" s="39" t="str">
        <v/>
      </c>
      <c r="C81" s="40"/>
      <c r="D81" s="40"/>
      <c r="E81" s="40"/>
      <c r="F81" s="41"/>
      <c r="G81" s="42" t="e">
        <f>IF($B81="",NA(),COUNTIFS(Mar[What was resident doing prior to fall?],$B81))</f>
        <v>#N/A</v>
      </c>
    </row>
    <row r="82" spans="1:7" x14ac:dyDescent="0.25">
      <c r="A82" s="38"/>
      <c r="B82" s="44" t="str">
        <v/>
      </c>
      <c r="C82" s="45"/>
      <c r="D82" s="45"/>
      <c r="E82" s="45"/>
      <c r="F82" s="46"/>
      <c r="G82" s="42" t="e">
        <f>IF($B82="",NA(),COUNTIFS(Mar[What was resident doing prior to fall?],$B82))</f>
        <v>#N/A</v>
      </c>
    </row>
    <row r="83" spans="1:7" x14ac:dyDescent="0.25">
      <c r="A83" s="38"/>
      <c r="B83" s="39" t="str">
        <v/>
      </c>
      <c r="C83" s="40"/>
      <c r="D83" s="40"/>
      <c r="E83" s="40"/>
      <c r="F83" s="41"/>
      <c r="G83" s="42" t="e">
        <f>IF($B83="",NA(),COUNTIFS(Mar[What was resident doing prior to fall?],$B83))</f>
        <v>#N/A</v>
      </c>
    </row>
    <row r="84" spans="1:7" x14ac:dyDescent="0.25">
      <c r="A84" s="38"/>
      <c r="B84" s="44" t="str">
        <v/>
      </c>
      <c r="C84" s="45"/>
      <c r="D84" s="45"/>
      <c r="E84" s="45"/>
      <c r="F84" s="46"/>
      <c r="G84" s="42" t="e">
        <f>IF($B84="",NA(),COUNTIFS(Mar[What was resident doing prior to fall?],$B84))</f>
        <v>#N/A</v>
      </c>
    </row>
    <row r="85" spans="1:7" x14ac:dyDescent="0.25">
      <c r="A85" s="38"/>
      <c r="B85" s="44" t="str">
        <v/>
      </c>
      <c r="C85" s="45"/>
      <c r="D85" s="45"/>
      <c r="E85" s="45"/>
      <c r="F85" s="46"/>
      <c r="G85" s="42" t="e">
        <f>IF($B85="",NA(),COUNTIFS(Mar[What was resident doing prior to fall?],$B85))</f>
        <v>#N/A</v>
      </c>
    </row>
    <row r="86" spans="1:7" x14ac:dyDescent="0.25">
      <c r="A86" s="38"/>
      <c r="B86" s="39" t="str">
        <v/>
      </c>
      <c r="C86" s="40"/>
      <c r="D86" s="40"/>
      <c r="E86" s="40"/>
      <c r="F86" s="41"/>
      <c r="G86" s="42" t="e">
        <f>IF($B86="",NA(),COUNTIFS(Mar[What was resident doing prior to fall?],$B86))</f>
        <v>#N/A</v>
      </c>
    </row>
    <row r="87" spans="1:7" x14ac:dyDescent="0.25">
      <c r="A87" s="38"/>
      <c r="B87" s="44" t="str">
        <v/>
      </c>
      <c r="C87" s="45"/>
      <c r="D87" s="45"/>
      <c r="E87" s="45"/>
      <c r="F87" s="46"/>
      <c r="G87" s="42" t="e">
        <f>IF($B87="",NA(),COUNTIFS(Mar[What was resident doing prior to fall?],$B87))</f>
        <v>#N/A</v>
      </c>
    </row>
    <row r="88" spans="1:7" x14ac:dyDescent="0.25">
      <c r="A88" s="38"/>
      <c r="B88" s="39" t="str">
        <v/>
      </c>
      <c r="C88" s="40"/>
      <c r="D88" s="40"/>
      <c r="E88" s="40"/>
      <c r="F88" s="41"/>
      <c r="G88" s="42" t="e">
        <f>IF($B88="",NA(),COUNTIFS(Mar[What was resident doing prior to fall?],$B88))</f>
        <v>#N/A</v>
      </c>
    </row>
    <row r="89" spans="1:7" x14ac:dyDescent="0.25">
      <c r="A89" s="38"/>
      <c r="B89" s="44" t="str">
        <v/>
      </c>
      <c r="C89" s="45"/>
      <c r="D89" s="45"/>
      <c r="E89" s="45"/>
      <c r="F89" s="46"/>
      <c r="G89" s="42" t="e">
        <f>IF($B89="",NA(),COUNTIFS(Mar[What was resident doing prior to fall?],$B89))</f>
        <v>#N/A</v>
      </c>
    </row>
    <row r="90" spans="1:7" ht="15.75" thickBot="1" x14ac:dyDescent="0.3">
      <c r="A90" s="38"/>
      <c r="B90" s="47" t="str">
        <v/>
      </c>
      <c r="C90" s="47"/>
      <c r="D90" s="47"/>
      <c r="E90" s="47"/>
      <c r="F90" s="48"/>
      <c r="G90" s="42" t="e">
        <f>IF($B90="",NA(),COUNTIFS(Mar[What was resident doing prior to fall?],$B90))</f>
        <v>#N/A</v>
      </c>
    </row>
    <row r="91" spans="1:7" ht="15.6" customHeight="1" thickBot="1" x14ac:dyDescent="0.3">
      <c r="B91" s="287" t="s">
        <v>35</v>
      </c>
      <c r="C91" s="288"/>
      <c r="D91" s="288"/>
      <c r="E91" s="288"/>
      <c r="F91" s="289"/>
      <c r="G91" s="37">
        <f>_xlfn.AGGREGATE(9,6,G67:G90)</f>
        <v>0</v>
      </c>
    </row>
    <row r="92" spans="1:7" ht="15.75" thickBot="1" x14ac:dyDescent="0.3"/>
    <row r="93" spans="1:7" ht="22.35" customHeight="1" thickBot="1" x14ac:dyDescent="0.3">
      <c r="B93" s="295" t="s">
        <v>173</v>
      </c>
      <c r="C93" s="296"/>
      <c r="D93" s="297"/>
    </row>
    <row r="94" spans="1:7" x14ac:dyDescent="0.25">
      <c r="A94" s="38"/>
      <c r="B94" s="300" t="s">
        <v>1</v>
      </c>
      <c r="C94" s="301"/>
      <c r="D94" s="49" t="s">
        <v>35</v>
      </c>
    </row>
    <row r="95" spans="1:7" x14ac:dyDescent="0.25">
      <c r="A95" s="38"/>
      <c r="B95" s="50" t="str" cm="1">
        <f t="array" ref="B95:B105">IF(_xlfn._xlws.SORT(Location[Location],1,1,TRUE)=0,"",(_xlfn._xlws.SORT(Location[Location],1,1,TRUE)))</f>
        <v>Activity Room</v>
      </c>
      <c r="C95" s="51"/>
      <c r="D95" s="52">
        <f>IF($B95="",NA(),COUNTIFS(Mar[Location],$B95))</f>
        <v>0</v>
      </c>
    </row>
    <row r="96" spans="1:7" x14ac:dyDescent="0.25">
      <c r="A96" s="38"/>
      <c r="B96" s="50" t="str">
        <v>Bedroom</v>
      </c>
      <c r="C96" s="51"/>
      <c r="D96" s="52">
        <f>IF($B96="",NA(),COUNTIFS(Mar[Location],$B96))</f>
        <v>0</v>
      </c>
    </row>
    <row r="97" spans="1:4" x14ac:dyDescent="0.25">
      <c r="A97" s="38"/>
      <c r="B97" s="50" t="str">
        <v>Bathroom</v>
      </c>
      <c r="C97" s="51"/>
      <c r="D97" s="52">
        <f>IF($B97="",NA(),COUNTIFS(Mar[Location],$B97))</f>
        <v>0</v>
      </c>
    </row>
    <row r="98" spans="1:4" x14ac:dyDescent="0.25">
      <c r="A98" s="38"/>
      <c r="B98" s="50" t="str">
        <v>Hallway</v>
      </c>
      <c r="C98" s="51"/>
      <c r="D98" s="52">
        <f>IF($B98="",NA(),COUNTIFS(Mar[Location],$B98))</f>
        <v>0</v>
      </c>
    </row>
    <row r="99" spans="1:4" x14ac:dyDescent="0.25">
      <c r="A99" s="38"/>
      <c r="B99" s="50" t="str">
        <v>Offsite</v>
      </c>
      <c r="C99" s="51"/>
      <c r="D99" s="52">
        <f>IF($B99="",NA(),COUNTIFS(Mar[Location],$B99))</f>
        <v>0</v>
      </c>
    </row>
    <row r="100" spans="1:4" x14ac:dyDescent="0.25">
      <c r="A100" s="38"/>
      <c r="B100" s="53" t="str">
        <v>Shower Room</v>
      </c>
      <c r="C100" s="54"/>
      <c r="D100" s="52">
        <f>IF($B100="",NA(),COUNTIFS(Mar[Location],$B100))</f>
        <v>0</v>
      </c>
    </row>
    <row r="101" spans="1:4" x14ac:dyDescent="0.25">
      <c r="A101" s="38"/>
      <c r="B101" s="55" t="str">
        <v>Dining Room</v>
      </c>
      <c r="C101" s="56"/>
      <c r="D101" s="52">
        <f>IF($B101="",NA(),COUNTIFS(Mar[Location],$B101))</f>
        <v>0</v>
      </c>
    </row>
    <row r="102" spans="1:4" x14ac:dyDescent="0.25">
      <c r="A102" s="38"/>
      <c r="B102" s="57" t="str">
        <v/>
      </c>
      <c r="C102" s="58"/>
      <c r="D102" s="52" t="e">
        <f>IF($B102="",NA(),COUNTIFS(Mar[Location],$B102))</f>
        <v>#N/A</v>
      </c>
    </row>
    <row r="103" spans="1:4" x14ac:dyDescent="0.25">
      <c r="A103" s="38"/>
      <c r="B103" s="59" t="str">
        <v/>
      </c>
      <c r="C103" s="51"/>
      <c r="D103" s="52" t="e">
        <f>IF($B103="",NA(),COUNTIFS(Mar[Location],$B103))</f>
        <v>#N/A</v>
      </c>
    </row>
    <row r="104" spans="1:4" x14ac:dyDescent="0.25">
      <c r="A104" s="38"/>
      <c r="B104" s="53" t="str">
        <v/>
      </c>
      <c r="C104" s="60"/>
      <c r="D104" s="52" t="e">
        <f>IF($B104="",NA(),COUNTIFS(Mar[Location],$B104))</f>
        <v>#N/A</v>
      </c>
    </row>
    <row r="105" spans="1:4" ht="15.75" thickBot="1" x14ac:dyDescent="0.3">
      <c r="A105" s="38"/>
      <c r="B105" s="59" t="str">
        <v/>
      </c>
      <c r="C105" s="61"/>
      <c r="D105" s="52" t="e">
        <f>IF($B105="",NA(),COUNTIFS(Mar[Location],$B105))</f>
        <v>#N/A</v>
      </c>
    </row>
    <row r="106" spans="1:4" ht="15.75" thickBot="1" x14ac:dyDescent="0.3">
      <c r="B106" s="298" t="s">
        <v>16</v>
      </c>
      <c r="C106" s="299"/>
      <c r="D106" s="37">
        <f>_xlfn.AGGREGATE(9,6,D95:D105)</f>
        <v>0</v>
      </c>
    </row>
    <row r="107" spans="1:4" ht="15.75" thickBot="1" x14ac:dyDescent="0.3"/>
    <row r="108" spans="1:4" ht="21.4" customHeight="1" thickBot="1" x14ac:dyDescent="0.3">
      <c r="B108" s="282" t="str">
        <f>"Falls by Nursing Station "</f>
        <v xml:space="preserve">Falls by Nursing Station </v>
      </c>
      <c r="C108" s="283"/>
      <c r="D108" s="284"/>
    </row>
    <row r="109" spans="1:4" ht="15.75" x14ac:dyDescent="0.25">
      <c r="B109" s="293" t="s">
        <v>2</v>
      </c>
      <c r="C109" s="293"/>
      <c r="D109" s="28" t="s">
        <v>35</v>
      </c>
    </row>
    <row r="110" spans="1:4" x14ac:dyDescent="0.25">
      <c r="B110" s="62" cm="1">
        <f t="array" ref="B110:B120">IF(_xlfn._xlws.SORT(NS[Nurses Stations],1,1,TRUE)=0,"",(_xlfn._xlws.SORT(NS[Nurses Stations],1,1,TRUE)))</f>
        <v>1</v>
      </c>
      <c r="C110" s="63"/>
      <c r="D110" s="31">
        <f>IF($B110="",NA(),COUNTIFS(Mar[Station],$B110))</f>
        <v>0</v>
      </c>
    </row>
    <row r="111" spans="1:4" x14ac:dyDescent="0.25">
      <c r="B111" s="62">
        <v>2</v>
      </c>
      <c r="C111" s="63"/>
      <c r="D111" s="31">
        <f>IF($B111="",NA(),COUNTIFS(Mar[Station],$B111))</f>
        <v>0</v>
      </c>
    </row>
    <row r="112" spans="1:4" x14ac:dyDescent="0.25">
      <c r="B112" s="62">
        <v>3</v>
      </c>
      <c r="C112" s="63"/>
      <c r="D112" s="31">
        <f>IF($B112="",NA(),COUNTIFS(Mar[Station],$B112))</f>
        <v>0</v>
      </c>
    </row>
    <row r="113" spans="2:4" x14ac:dyDescent="0.25">
      <c r="B113" s="62">
        <v>4</v>
      </c>
      <c r="C113" s="63"/>
      <c r="D113" s="31">
        <f>IF($B113="",NA(),COUNTIFS(Mar[Station],$B113))</f>
        <v>0</v>
      </c>
    </row>
    <row r="114" spans="2:4" x14ac:dyDescent="0.25">
      <c r="B114" s="62">
        <v>5</v>
      </c>
      <c r="C114" s="63"/>
      <c r="D114" s="31">
        <f>IF($B114="",NA(),COUNTIFS(Mar[Station],$B114))</f>
        <v>0</v>
      </c>
    </row>
    <row r="115" spans="2:4" x14ac:dyDescent="0.25">
      <c r="B115" s="62" t="str">
        <v/>
      </c>
      <c r="C115" s="63"/>
      <c r="D115" s="31" t="e">
        <f>IF($B115="",NA(),COUNTIFS(Mar[Station],$B115))</f>
        <v>#N/A</v>
      </c>
    </row>
    <row r="116" spans="2:4" x14ac:dyDescent="0.25">
      <c r="B116" s="62" t="str">
        <v/>
      </c>
      <c r="C116" s="63"/>
      <c r="D116" s="31" t="e">
        <f>IF($B116="",NA(),COUNTIFS(Mar[Station],$B116))</f>
        <v>#N/A</v>
      </c>
    </row>
    <row r="117" spans="2:4" x14ac:dyDescent="0.25">
      <c r="B117" s="62" t="str">
        <v/>
      </c>
      <c r="C117" s="63"/>
      <c r="D117" s="31" t="e">
        <f>IF($B117="",NA(),COUNTIFS(Mar[Station],$B117))</f>
        <v>#N/A</v>
      </c>
    </row>
    <row r="118" spans="2:4" x14ac:dyDescent="0.25">
      <c r="B118" s="62" t="str">
        <v/>
      </c>
      <c r="C118" s="63"/>
      <c r="D118" s="31" t="e">
        <f>IF($B118="",NA(),COUNTIFS(Mar[Station],$B118))</f>
        <v>#N/A</v>
      </c>
    </row>
    <row r="119" spans="2:4" x14ac:dyDescent="0.25">
      <c r="B119" s="62" t="str">
        <v/>
      </c>
      <c r="C119" s="63"/>
      <c r="D119" s="31" t="e">
        <f>IF($B119="",NA(),COUNTIFS(Mar[Station],$B119))</f>
        <v>#N/A</v>
      </c>
    </row>
    <row r="120" spans="2:4" ht="15.75" thickBot="1" x14ac:dyDescent="0.3">
      <c r="B120" s="64" t="str">
        <v/>
      </c>
      <c r="C120" s="63"/>
      <c r="D120" s="31" t="e">
        <f>IF($B120="",NA(),COUNTIFS(Mar[Station],$B120))</f>
        <v>#N/A</v>
      </c>
    </row>
    <row r="121" spans="2:4" ht="15.6" customHeight="1" thickBot="1" x14ac:dyDescent="0.3">
      <c r="B121" s="287" t="s">
        <v>16</v>
      </c>
      <c r="C121" s="288"/>
      <c r="D121" s="37">
        <f>_xlfn.AGGREGATE(9,6,D110:D120)</f>
        <v>0</v>
      </c>
    </row>
    <row r="122" spans="2:4" ht="15.6" customHeight="1" thickBot="1" x14ac:dyDescent="0.3">
      <c r="B122" s="65"/>
      <c r="C122" s="66"/>
      <c r="D122" s="67"/>
    </row>
    <row r="123" spans="2:4" ht="21.95" customHeight="1" thickBot="1" x14ac:dyDescent="0.3">
      <c r="B123" s="282" t="str">
        <f>"Falls by Day of the Week "</f>
        <v xml:space="preserve">Falls by Day of the Week </v>
      </c>
      <c r="C123" s="283"/>
      <c r="D123" s="284"/>
    </row>
    <row r="124" spans="2:4" ht="15.75" x14ac:dyDescent="0.25">
      <c r="B124" s="293" t="s">
        <v>3</v>
      </c>
      <c r="C124" s="293"/>
      <c r="D124" s="28" t="s">
        <v>35</v>
      </c>
    </row>
    <row r="125" spans="2:4" x14ac:dyDescent="0.25">
      <c r="B125" s="294" t="s">
        <v>46</v>
      </c>
      <c r="C125" s="294"/>
      <c r="D125" s="31">
        <f>COUNTIFS(Mar[Day],$B125)</f>
        <v>0</v>
      </c>
    </row>
    <row r="126" spans="2:4" x14ac:dyDescent="0.25">
      <c r="B126" s="294" t="s">
        <v>47</v>
      </c>
      <c r="C126" s="294"/>
      <c r="D126" s="31">
        <f>COUNTIFS(Mar[Day],$B126)</f>
        <v>0</v>
      </c>
    </row>
    <row r="127" spans="2:4" x14ac:dyDescent="0.25">
      <c r="B127" s="294" t="s">
        <v>52</v>
      </c>
      <c r="C127" s="294"/>
      <c r="D127" s="31">
        <f>COUNTIFS(Mar[Day],$B127)</f>
        <v>0</v>
      </c>
    </row>
    <row r="128" spans="2:4" x14ac:dyDescent="0.25">
      <c r="B128" s="294" t="s">
        <v>48</v>
      </c>
      <c r="C128" s="294"/>
      <c r="D128" s="31">
        <f>COUNTIFS(Mar[Day],$B128)</f>
        <v>0</v>
      </c>
    </row>
    <row r="129" spans="2:4" x14ac:dyDescent="0.25">
      <c r="B129" s="294" t="s">
        <v>51</v>
      </c>
      <c r="C129" s="294"/>
      <c r="D129" s="31">
        <f>COUNTIFS(Mar[Day],$B129)</f>
        <v>0</v>
      </c>
    </row>
    <row r="130" spans="2:4" x14ac:dyDescent="0.25">
      <c r="B130" s="294" t="s">
        <v>49</v>
      </c>
      <c r="C130" s="294"/>
      <c r="D130" s="31">
        <f>COUNTIFS(Mar[Day],$B130)</f>
        <v>0</v>
      </c>
    </row>
    <row r="131" spans="2:4" ht="15.75" thickBot="1" x14ac:dyDescent="0.3">
      <c r="B131" s="294" t="s">
        <v>50</v>
      </c>
      <c r="C131" s="294"/>
      <c r="D131" s="34">
        <f>COUNTIFS(Mar[Day],$B131)</f>
        <v>0</v>
      </c>
    </row>
    <row r="132" spans="2:4" ht="15.6" customHeight="1" thickBot="1" x14ac:dyDescent="0.3">
      <c r="B132" s="287" t="s">
        <v>16</v>
      </c>
      <c r="C132" s="288"/>
      <c r="D132" s="35">
        <f>SUM(D125:D131)</f>
        <v>0</v>
      </c>
    </row>
    <row r="133" spans="2:4" ht="15.75" thickBot="1" x14ac:dyDescent="0.3"/>
    <row r="134" spans="2:4" ht="21.4" customHeight="1" thickBot="1" x14ac:dyDescent="0.3">
      <c r="B134" s="282" t="str">
        <f>"Falls by Shift"</f>
        <v>Falls by Shift</v>
      </c>
      <c r="C134" s="283"/>
      <c r="D134" s="284"/>
    </row>
    <row r="135" spans="2:4" ht="15.75" x14ac:dyDescent="0.25">
      <c r="B135" s="293" t="s">
        <v>34</v>
      </c>
      <c r="C135" s="293"/>
      <c r="D135" s="28" t="s">
        <v>35</v>
      </c>
    </row>
    <row r="136" spans="2:4" x14ac:dyDescent="0.25">
      <c r="B136" s="29" t="str" cm="1">
        <f t="array" ref="B136:B140">IF(_xlfn._xlws.SORT('Data Validation'!P3:P7,1,1,TRUE)=0,"",(_xlfn._xlws.SORT('Data Validation'!P3:P7,1,1,TRUE)))</f>
        <v>11-7</v>
      </c>
      <c r="C136" s="58"/>
      <c r="D136" s="31">
        <f>IF($B136="",NA(),COUNTIFS(Mar[Shift],$B136))</f>
        <v>0</v>
      </c>
    </row>
    <row r="137" spans="2:4" x14ac:dyDescent="0.25">
      <c r="B137" s="29" t="str">
        <v>11–7</v>
      </c>
      <c r="C137" s="58"/>
      <c r="D137" s="31">
        <f>IF($B137="",NA(),COUNTIFS(Mar[Shift],$B137))</f>
        <v>0</v>
      </c>
    </row>
    <row r="138" spans="2:4" x14ac:dyDescent="0.25">
      <c r="B138" s="29" t="str">
        <v>7–3</v>
      </c>
      <c r="C138" s="58"/>
      <c r="D138" s="31">
        <f>IF($B138="",NA(),COUNTIFS(Mar[Shift],$B138))</f>
        <v>0</v>
      </c>
    </row>
    <row r="139" spans="2:4" x14ac:dyDescent="0.25">
      <c r="B139" s="29" t="str">
        <v>3–11</v>
      </c>
      <c r="C139" s="58"/>
      <c r="D139" s="31">
        <f>IF($B139="",NA(),COUNTIFS(Mar[Shift],$B139))</f>
        <v>0</v>
      </c>
    </row>
    <row r="140" spans="2:4" ht="15.75" thickBot="1" x14ac:dyDescent="0.3">
      <c r="B140" s="29" t="str">
        <v/>
      </c>
      <c r="C140" s="68"/>
      <c r="D140" s="34" t="e">
        <f>IF($B140="",NA(),COUNTIFS(Mar[Shift],$B140))</f>
        <v>#N/A</v>
      </c>
    </row>
    <row r="141" spans="2:4" ht="15.75" thickBot="1" x14ac:dyDescent="0.3">
      <c r="B141" s="287" t="s">
        <v>16</v>
      </c>
      <c r="C141" s="288"/>
      <c r="D141" s="35">
        <f>_xlfn.AGGREGATE(9,6,D136:D140)</f>
        <v>0</v>
      </c>
    </row>
    <row r="142" spans="2:4" ht="15.75" thickBot="1" x14ac:dyDescent="0.3"/>
    <row r="143" spans="2:4" ht="21.4" customHeight="1" thickBot="1" x14ac:dyDescent="0.3">
      <c r="B143" s="282" t="str">
        <f>"Falls by Hour "</f>
        <v xml:space="preserve">Falls by Hour </v>
      </c>
      <c r="C143" s="283"/>
      <c r="D143" s="284"/>
    </row>
    <row r="144" spans="2:4" ht="15.75" x14ac:dyDescent="0.25">
      <c r="B144" s="293" t="s">
        <v>33</v>
      </c>
      <c r="C144" s="293"/>
      <c r="D144" s="28" t="s">
        <v>35</v>
      </c>
    </row>
    <row r="145" spans="2:4" x14ac:dyDescent="0.25">
      <c r="B145" s="294" t="s">
        <v>115</v>
      </c>
      <c r="C145" s="294"/>
      <c r="D145" s="31">
        <f>COUNTIFS(Mar[Hour],$B145)</f>
        <v>0</v>
      </c>
    </row>
    <row r="146" spans="2:4" x14ac:dyDescent="0.25">
      <c r="B146" s="294" t="s">
        <v>116</v>
      </c>
      <c r="C146" s="294"/>
      <c r="D146" s="31">
        <f>COUNTIFS(Mar[Hour],$B146)</f>
        <v>0</v>
      </c>
    </row>
    <row r="147" spans="2:4" x14ac:dyDescent="0.25">
      <c r="B147" s="294" t="s">
        <v>117</v>
      </c>
      <c r="C147" s="294"/>
      <c r="D147" s="31">
        <f>COUNTIFS(Mar[Hour],$B147)</f>
        <v>0</v>
      </c>
    </row>
    <row r="148" spans="2:4" x14ac:dyDescent="0.25">
      <c r="B148" s="294" t="s">
        <v>118</v>
      </c>
      <c r="C148" s="294"/>
      <c r="D148" s="31">
        <f>COUNTIFS(Mar[Hour],$B148)</f>
        <v>0</v>
      </c>
    </row>
    <row r="149" spans="2:4" x14ac:dyDescent="0.25">
      <c r="B149" s="294" t="s">
        <v>119</v>
      </c>
      <c r="C149" s="294"/>
      <c r="D149" s="31">
        <f>COUNTIFS(Mar[Hour],$B149)</f>
        <v>0</v>
      </c>
    </row>
    <row r="150" spans="2:4" x14ac:dyDescent="0.25">
      <c r="B150" s="294" t="s">
        <v>120</v>
      </c>
      <c r="C150" s="294"/>
      <c r="D150" s="31">
        <f>COUNTIFS(Mar[Hour],$B150)</f>
        <v>0</v>
      </c>
    </row>
    <row r="151" spans="2:4" x14ac:dyDescent="0.25">
      <c r="B151" s="294" t="s">
        <v>121</v>
      </c>
      <c r="C151" s="294"/>
      <c r="D151" s="31">
        <f>COUNTIFS(Mar[Hour],$B151)</f>
        <v>0</v>
      </c>
    </row>
    <row r="152" spans="2:4" x14ac:dyDescent="0.25">
      <c r="B152" s="294" t="s">
        <v>122</v>
      </c>
      <c r="C152" s="294"/>
      <c r="D152" s="31">
        <f>COUNTIFS(Mar[Hour],$B152)</f>
        <v>0</v>
      </c>
    </row>
    <row r="153" spans="2:4" x14ac:dyDescent="0.25">
      <c r="B153" s="294" t="s">
        <v>123</v>
      </c>
      <c r="C153" s="294"/>
      <c r="D153" s="31">
        <f>COUNTIFS(Mar[Hour],$B153)</f>
        <v>0</v>
      </c>
    </row>
    <row r="154" spans="2:4" x14ac:dyDescent="0.25">
      <c r="B154" s="294" t="s">
        <v>124</v>
      </c>
      <c r="C154" s="294"/>
      <c r="D154" s="31">
        <f>COUNTIFS(Mar[Hour],$B154)</f>
        <v>0</v>
      </c>
    </row>
    <row r="155" spans="2:4" x14ac:dyDescent="0.25">
      <c r="B155" s="294" t="s">
        <v>125</v>
      </c>
      <c r="C155" s="294"/>
      <c r="D155" s="31">
        <f>COUNTIFS(Mar[Hour],$B155)</f>
        <v>0</v>
      </c>
    </row>
    <row r="156" spans="2:4" x14ac:dyDescent="0.25">
      <c r="B156" s="294" t="s">
        <v>126</v>
      </c>
      <c r="C156" s="294"/>
      <c r="D156" s="31">
        <f>COUNTIFS(Mar[Hour],$B156)</f>
        <v>0</v>
      </c>
    </row>
    <row r="157" spans="2:4" x14ac:dyDescent="0.25">
      <c r="B157" s="294" t="s">
        <v>127</v>
      </c>
      <c r="C157" s="294"/>
      <c r="D157" s="31">
        <f>COUNTIFS(Mar[Hour],$B157)</f>
        <v>0</v>
      </c>
    </row>
    <row r="158" spans="2:4" x14ac:dyDescent="0.25">
      <c r="B158" s="294" t="s">
        <v>128</v>
      </c>
      <c r="C158" s="294"/>
      <c r="D158" s="31">
        <f>COUNTIFS(Mar[Hour],$B158)</f>
        <v>0</v>
      </c>
    </row>
    <row r="159" spans="2:4" x14ac:dyDescent="0.25">
      <c r="B159" s="294" t="s">
        <v>129</v>
      </c>
      <c r="C159" s="294"/>
      <c r="D159" s="31">
        <f>COUNTIFS(Mar[Hour],$B159)</f>
        <v>0</v>
      </c>
    </row>
    <row r="160" spans="2:4" x14ac:dyDescent="0.25">
      <c r="B160" s="294" t="s">
        <v>130</v>
      </c>
      <c r="C160" s="294"/>
      <c r="D160" s="31">
        <f>COUNTIFS(Mar[Hour],$B160)</f>
        <v>0</v>
      </c>
    </row>
    <row r="161" spans="1:8" x14ac:dyDescent="0.25">
      <c r="B161" s="294" t="s">
        <v>131</v>
      </c>
      <c r="C161" s="294"/>
      <c r="D161" s="31">
        <f>COUNTIFS(Mar[Hour],$B161)</f>
        <v>0</v>
      </c>
    </row>
    <row r="162" spans="1:8" x14ac:dyDescent="0.25">
      <c r="B162" s="294" t="s">
        <v>132</v>
      </c>
      <c r="C162" s="294"/>
      <c r="D162" s="31">
        <f>COUNTIFS(Mar[Hour],$B162)</f>
        <v>0</v>
      </c>
    </row>
    <row r="163" spans="1:8" x14ac:dyDescent="0.25">
      <c r="B163" s="294" t="s">
        <v>133</v>
      </c>
      <c r="C163" s="294"/>
      <c r="D163" s="31">
        <f>COUNTIFS(Mar[Hour],$B163)</f>
        <v>0</v>
      </c>
    </row>
    <row r="164" spans="1:8" x14ac:dyDescent="0.25">
      <c r="B164" s="294" t="s">
        <v>134</v>
      </c>
      <c r="C164" s="294"/>
      <c r="D164" s="31">
        <f>COUNTIFS(Mar[Hour],$B164)</f>
        <v>0</v>
      </c>
    </row>
    <row r="165" spans="1:8" x14ac:dyDescent="0.25">
      <c r="B165" s="294" t="s">
        <v>135</v>
      </c>
      <c r="C165" s="294"/>
      <c r="D165" s="31">
        <f>COUNTIFS(Mar[Hour],$B165)</f>
        <v>0</v>
      </c>
    </row>
    <row r="166" spans="1:8" x14ac:dyDescent="0.25">
      <c r="B166" s="294" t="s">
        <v>136</v>
      </c>
      <c r="C166" s="294"/>
      <c r="D166" s="31">
        <f>COUNTIFS(Mar[Hour],$B166)</f>
        <v>0</v>
      </c>
    </row>
    <row r="167" spans="1:8" x14ac:dyDescent="0.25">
      <c r="B167" s="294" t="s">
        <v>137</v>
      </c>
      <c r="C167" s="294"/>
      <c r="D167" s="31">
        <f>COUNTIFS(Mar[Hour],$B167)</f>
        <v>0</v>
      </c>
    </row>
    <row r="168" spans="1:8" ht="15.75" thickBot="1" x14ac:dyDescent="0.3">
      <c r="B168" s="294" t="s">
        <v>138</v>
      </c>
      <c r="C168" s="294"/>
      <c r="D168" s="34">
        <f>COUNTIFS(Mar[Hour],$B168)</f>
        <v>0</v>
      </c>
    </row>
    <row r="169" spans="1:8" ht="15.75" thickBot="1" x14ac:dyDescent="0.3">
      <c r="B169" s="287" t="s">
        <v>35</v>
      </c>
      <c r="C169" s="288"/>
      <c r="D169" s="35">
        <f>SUM(D145:D168)</f>
        <v>0</v>
      </c>
    </row>
    <row r="170" spans="1:8" ht="15.75" thickBot="1" x14ac:dyDescent="0.3"/>
    <row r="171" spans="1:8" ht="21.4" customHeight="1" thickBot="1" x14ac:dyDescent="0.3">
      <c r="B171" s="282" t="str">
        <f>"Falls by Contributing Factors"</f>
        <v>Falls by Contributing Factors</v>
      </c>
      <c r="C171" s="283"/>
      <c r="D171" s="283"/>
      <c r="E171" s="283"/>
      <c r="F171" s="283"/>
      <c r="G171" s="284"/>
    </row>
    <row r="172" spans="1:8" ht="15.6" customHeight="1" x14ac:dyDescent="0.25">
      <c r="A172" s="38"/>
      <c r="B172" s="290" t="s">
        <v>92</v>
      </c>
      <c r="C172" s="291"/>
      <c r="D172" s="291"/>
      <c r="E172" s="291"/>
      <c r="F172" s="292"/>
      <c r="G172" s="28" t="s">
        <v>35</v>
      </c>
    </row>
    <row r="173" spans="1:8" x14ac:dyDescent="0.25">
      <c r="A173" s="38"/>
      <c r="B173" s="44" t="str" cm="1">
        <f t="array" ref="B173:B196">IF(_xlfn._xlws.SORT(CF[Contributing Factors],1,1,TRUE)=0,"",(_xlfn._xlws.SORT(CF[Contributing Factors],1,1,TRUE)))</f>
        <v>Assisted/caregiver transfer</v>
      </c>
      <c r="C173" s="45"/>
      <c r="D173" s="45"/>
      <c r="E173" s="45"/>
      <c r="F173" s="46"/>
      <c r="G173" s="42">
        <f>IF($B173="",NA(),COUNTIFS(Mar[Contributing Factors],$B173))</f>
        <v>0</v>
      </c>
      <c r="H173" s="43"/>
    </row>
    <row r="174" spans="1:8" x14ac:dyDescent="0.25">
      <c r="A174" s="38"/>
      <c r="B174" s="39" t="str">
        <v>Bowel and bladder (B&amp;B) needs</v>
      </c>
      <c r="C174" s="40"/>
      <c r="D174" s="40"/>
      <c r="E174" s="40"/>
      <c r="F174" s="41"/>
      <c r="G174" s="42">
        <f>IF($B174="",NA(),COUNTIFS(Mar[Contributing Factors],$B174))</f>
        <v>0</v>
      </c>
    </row>
    <row r="175" spans="1:8" x14ac:dyDescent="0.25">
      <c r="A175" s="38"/>
      <c r="B175" s="44" t="str">
        <v>Behavioral or situational</v>
      </c>
      <c r="C175" s="45"/>
      <c r="D175" s="45"/>
      <c r="E175" s="45"/>
      <c r="F175" s="46"/>
      <c r="G175" s="42">
        <f>IF($B175="",NA(),COUNTIFS(Mar[Contributing Factors],$B175))</f>
        <v>0</v>
      </c>
    </row>
    <row r="176" spans="1:8" x14ac:dyDescent="0.25">
      <c r="A176" s="38"/>
      <c r="B176" s="39" t="str">
        <v>Change of condition</v>
      </c>
      <c r="C176" s="40"/>
      <c r="D176" s="40"/>
      <c r="E176" s="40"/>
      <c r="F176" s="41"/>
      <c r="G176" s="42">
        <f>IF($B176="",NA(),COUNTIFS(Mar[Contributing Factors],$B176))</f>
        <v>0</v>
      </c>
    </row>
    <row r="177" spans="1:7" x14ac:dyDescent="0.25">
      <c r="A177" s="38"/>
      <c r="B177" s="44" t="str">
        <v>Environmental factors</v>
      </c>
      <c r="C177" s="45"/>
      <c r="D177" s="45"/>
      <c r="E177" s="45"/>
      <c r="F177" s="46"/>
      <c r="G177" s="42">
        <f>IF($B177="",NA(),COUNTIFS(Mar[Contributing Factors],$B177))</f>
        <v>0</v>
      </c>
    </row>
    <row r="178" spans="1:7" x14ac:dyDescent="0.25">
      <c r="A178" s="38"/>
      <c r="B178" s="39" t="str">
        <v>Equipment malfunction</v>
      </c>
      <c r="C178" s="40"/>
      <c r="D178" s="40"/>
      <c r="E178" s="40"/>
      <c r="F178" s="41"/>
      <c r="G178" s="42">
        <f>IF($B178="",NA(),COUNTIFS(Mar[Contributing Factors],$B178))</f>
        <v>0</v>
      </c>
    </row>
    <row r="179" spans="1:7" x14ac:dyDescent="0.25">
      <c r="A179" s="38"/>
      <c r="B179" s="44" t="str">
        <v>Equipment or assistive device</v>
      </c>
      <c r="C179" s="45"/>
      <c r="D179" s="45"/>
      <c r="E179" s="45"/>
      <c r="F179" s="46"/>
      <c r="G179" s="42">
        <f>IF($B179="",NA(),COUNTIFS(Mar[Contributing Factors],$B179))</f>
        <v>0</v>
      </c>
    </row>
    <row r="180" spans="1:7" x14ac:dyDescent="0.25">
      <c r="A180" s="38"/>
      <c r="B180" s="39" t="str">
        <v>Medication related</v>
      </c>
      <c r="C180" s="40"/>
      <c r="D180" s="40"/>
      <c r="E180" s="40"/>
      <c r="F180" s="41"/>
      <c r="G180" s="42">
        <f>IF($B180="",NA(),COUNTIFS(Mar[Contributing Factors],$B180))</f>
        <v>0</v>
      </c>
    </row>
    <row r="181" spans="1:7" x14ac:dyDescent="0.25">
      <c r="A181" s="38"/>
      <c r="B181" s="44" t="str">
        <v>Process(s) not followed</v>
      </c>
      <c r="C181" s="45"/>
      <c r="D181" s="45"/>
      <c r="E181" s="45"/>
      <c r="F181" s="46"/>
      <c r="G181" s="42">
        <f>IF($B181="",NA(),COUNTIFS(Mar[Contributing Factors],$B181))</f>
        <v>0</v>
      </c>
    </row>
    <row r="182" spans="1:7" x14ac:dyDescent="0.25">
      <c r="A182" s="38"/>
      <c r="B182" s="39" t="str">
        <v>Resident health conditions</v>
      </c>
      <c r="C182" s="40"/>
      <c r="D182" s="40"/>
      <c r="E182" s="40"/>
      <c r="F182" s="41"/>
      <c r="G182" s="42">
        <f>IF($B182="",NA(),COUNTIFS(Mar[Contributing Factors],$B182))</f>
        <v>0</v>
      </c>
    </row>
    <row r="183" spans="1:7" x14ac:dyDescent="0.25">
      <c r="A183" s="38"/>
      <c r="B183" s="44" t="str">
        <v>Staff</v>
      </c>
      <c r="C183" s="45"/>
      <c r="D183" s="45"/>
      <c r="E183" s="45"/>
      <c r="F183" s="46"/>
      <c r="G183" s="42">
        <f>IF($B183="",NA(),COUNTIFS(Mar[Contributing Factors],$B183))</f>
        <v>0</v>
      </c>
    </row>
    <row r="184" spans="1:7" x14ac:dyDescent="0.25">
      <c r="A184" s="38"/>
      <c r="B184" s="39" t="str">
        <v/>
      </c>
      <c r="C184" s="40"/>
      <c r="D184" s="40"/>
      <c r="E184" s="40"/>
      <c r="F184" s="41"/>
      <c r="G184" s="42" t="e">
        <f>IF($B184="",NA(),COUNTIFS(Mar[Contributing Factors],$B184))</f>
        <v>#N/A</v>
      </c>
    </row>
    <row r="185" spans="1:7" x14ac:dyDescent="0.25">
      <c r="A185" s="38"/>
      <c r="B185" s="44" t="str">
        <v/>
      </c>
      <c r="C185" s="45"/>
      <c r="D185" s="45"/>
      <c r="E185" s="45"/>
      <c r="F185" s="46"/>
      <c r="G185" s="42" t="e">
        <f>IF($B185="",NA(),COUNTIFS(Mar[Contributing Factors],$B185))</f>
        <v>#N/A</v>
      </c>
    </row>
    <row r="186" spans="1:7" x14ac:dyDescent="0.25">
      <c r="A186" s="38"/>
      <c r="B186" s="39" t="str">
        <v/>
      </c>
      <c r="C186" s="40"/>
      <c r="D186" s="40"/>
      <c r="E186" s="40"/>
      <c r="F186" s="41"/>
      <c r="G186" s="42" t="e">
        <f>IF($B186="",NA(),COUNTIFS(Mar[Contributing Factors],$B186))</f>
        <v>#N/A</v>
      </c>
    </row>
    <row r="187" spans="1:7" x14ac:dyDescent="0.25">
      <c r="A187" s="38"/>
      <c r="B187" s="44" t="str">
        <v/>
      </c>
      <c r="C187" s="45"/>
      <c r="D187" s="45"/>
      <c r="E187" s="45"/>
      <c r="F187" s="46"/>
      <c r="G187" s="42" t="e">
        <f>IF($B187="",NA(),COUNTIFS(Mar[Contributing Factors],$B187))</f>
        <v>#N/A</v>
      </c>
    </row>
    <row r="188" spans="1:7" x14ac:dyDescent="0.25">
      <c r="A188" s="38"/>
      <c r="B188" s="39" t="str">
        <v/>
      </c>
      <c r="C188" s="40"/>
      <c r="D188" s="40"/>
      <c r="E188" s="40"/>
      <c r="F188" s="41"/>
      <c r="G188" s="42" t="e">
        <f>IF($B188="",NA(),COUNTIFS(Mar[Contributing Factors],$B188))</f>
        <v>#N/A</v>
      </c>
    </row>
    <row r="189" spans="1:7" x14ac:dyDescent="0.25">
      <c r="A189" s="38"/>
      <c r="B189" s="44" t="str">
        <v/>
      </c>
      <c r="C189" s="45"/>
      <c r="D189" s="45"/>
      <c r="E189" s="45"/>
      <c r="F189" s="46"/>
      <c r="G189" s="42" t="e">
        <f>IF($B189="",NA(),COUNTIFS(Mar[Contributing Factors],$B189))</f>
        <v>#N/A</v>
      </c>
    </row>
    <row r="190" spans="1:7" x14ac:dyDescent="0.25">
      <c r="A190" s="38"/>
      <c r="B190" s="39" t="str">
        <v/>
      </c>
      <c r="C190" s="40"/>
      <c r="D190" s="40"/>
      <c r="E190" s="40"/>
      <c r="F190" s="41"/>
      <c r="G190" s="42" t="e">
        <f>IF($B190="",NA(),COUNTIFS(Mar[Contributing Factors],$B190))</f>
        <v>#N/A</v>
      </c>
    </row>
    <row r="191" spans="1:7" x14ac:dyDescent="0.25">
      <c r="A191" s="38"/>
      <c r="B191" s="44" t="str">
        <v/>
      </c>
      <c r="C191" s="45"/>
      <c r="D191" s="45"/>
      <c r="E191" s="45"/>
      <c r="F191" s="46"/>
      <c r="G191" s="42" t="e">
        <f>IF($B191="",NA(),COUNTIFS(Mar[Contributing Factors],$B191))</f>
        <v>#N/A</v>
      </c>
    </row>
    <row r="192" spans="1:7" x14ac:dyDescent="0.25">
      <c r="A192" s="38"/>
      <c r="B192" s="39" t="str">
        <v/>
      </c>
      <c r="C192" s="40"/>
      <c r="D192" s="40"/>
      <c r="E192" s="40"/>
      <c r="F192" s="41"/>
      <c r="G192" s="42" t="e">
        <f>IF($B192="",NA(),COUNTIFS(Mar[Contributing Factors],$B192))</f>
        <v>#N/A</v>
      </c>
    </row>
    <row r="193" spans="1:7" x14ac:dyDescent="0.25">
      <c r="A193" s="38"/>
      <c r="B193" s="44" t="str">
        <v/>
      </c>
      <c r="C193" s="45"/>
      <c r="D193" s="45"/>
      <c r="E193" s="45"/>
      <c r="F193" s="46"/>
      <c r="G193" s="42" t="e">
        <f>IF($B193="",NA(),COUNTIFS(Mar[Contributing Factors],$B193))</f>
        <v>#N/A</v>
      </c>
    </row>
    <row r="194" spans="1:7" x14ac:dyDescent="0.25">
      <c r="A194" s="38"/>
      <c r="B194" s="39" t="str">
        <v/>
      </c>
      <c r="C194" s="40"/>
      <c r="D194" s="40"/>
      <c r="E194" s="40"/>
      <c r="F194" s="41"/>
      <c r="G194" s="42" t="e">
        <f>IF($B194="",NA(),COUNTIFS(Mar[Contributing Factors],$B194))</f>
        <v>#N/A</v>
      </c>
    </row>
    <row r="195" spans="1:7" x14ac:dyDescent="0.25">
      <c r="A195" s="38"/>
      <c r="B195" s="44" t="str">
        <v/>
      </c>
      <c r="C195" s="45"/>
      <c r="D195" s="45"/>
      <c r="E195" s="45"/>
      <c r="F195" s="46"/>
      <c r="G195" s="42" t="e">
        <f>IF($B195="",NA(),COUNTIFS(Mar[Contributing Factors],$B195))</f>
        <v>#N/A</v>
      </c>
    </row>
    <row r="196" spans="1:7" ht="15.75" thickBot="1" x14ac:dyDescent="0.3">
      <c r="A196" s="38"/>
      <c r="B196" s="39" t="str">
        <v/>
      </c>
      <c r="C196" s="40"/>
      <c r="D196" s="40"/>
      <c r="E196" s="40"/>
      <c r="F196" s="41"/>
      <c r="G196" s="42" t="e">
        <f>IF($B196="",NA(),COUNTIFS(Mar[Contributing Factors],$B196))</f>
        <v>#N/A</v>
      </c>
    </row>
    <row r="197" spans="1:7" ht="15.6" customHeight="1" thickBot="1" x14ac:dyDescent="0.3">
      <c r="B197" s="287" t="s">
        <v>35</v>
      </c>
      <c r="C197" s="288"/>
      <c r="D197" s="288"/>
      <c r="E197" s="288"/>
      <c r="F197" s="289"/>
      <c r="G197" s="37">
        <f>_xlfn.AGGREGATE(9,6,G173:G196)</f>
        <v>0</v>
      </c>
    </row>
  </sheetData>
  <sheetProtection algorithmName="SHA-512" hashValue="eYkMsIiaTTx2BTEJNbZi3TSf4lqYJEPi1sV5eZVyf7ex0jXXyLG4PpHSTMS9brC4gNxJvMi/i5n68lOgpWELuw==" saltValue="fUbhJtlwNTw3Lcb6PDmVtw==" spinCount="100000" sheet="1" formatCells="0" formatColumns="0" formatRows="0" sort="0" autoFilter="0"/>
  <mergeCells count="61">
    <mergeCell ref="F56:G56"/>
    <mergeCell ref="B51:D51"/>
    <mergeCell ref="F51:H51"/>
    <mergeCell ref="B52:C52"/>
    <mergeCell ref="F52:G52"/>
    <mergeCell ref="B55:C55"/>
    <mergeCell ref="B121:C121"/>
    <mergeCell ref="F58:H58"/>
    <mergeCell ref="F59:G59"/>
    <mergeCell ref="F63:G63"/>
    <mergeCell ref="B65:G65"/>
    <mergeCell ref="B66:F66"/>
    <mergeCell ref="B91:F91"/>
    <mergeCell ref="B93:D93"/>
    <mergeCell ref="B94:C94"/>
    <mergeCell ref="B106:C106"/>
    <mergeCell ref="B108:D108"/>
    <mergeCell ref="B109:C109"/>
    <mergeCell ref="B135:C135"/>
    <mergeCell ref="B123:D123"/>
    <mergeCell ref="B124:C124"/>
    <mergeCell ref="B125:C125"/>
    <mergeCell ref="B126:C126"/>
    <mergeCell ref="B127:C127"/>
    <mergeCell ref="B128:C128"/>
    <mergeCell ref="B129:C129"/>
    <mergeCell ref="B130:C130"/>
    <mergeCell ref="B131:C131"/>
    <mergeCell ref="B132:C132"/>
    <mergeCell ref="B134:D134"/>
    <mergeCell ref="B153:C153"/>
    <mergeCell ref="B141:C141"/>
    <mergeCell ref="B143:D143"/>
    <mergeCell ref="B144:C144"/>
    <mergeCell ref="B145:C145"/>
    <mergeCell ref="B146:C146"/>
    <mergeCell ref="B147:C147"/>
    <mergeCell ref="B148:C148"/>
    <mergeCell ref="B149:C149"/>
    <mergeCell ref="B150:C150"/>
    <mergeCell ref="B151:C151"/>
    <mergeCell ref="B152:C152"/>
    <mergeCell ref="B165:C165"/>
    <mergeCell ref="B154:C154"/>
    <mergeCell ref="B155:C155"/>
    <mergeCell ref="B156:C156"/>
    <mergeCell ref="B157:C157"/>
    <mergeCell ref="B158:C158"/>
    <mergeCell ref="B159:C159"/>
    <mergeCell ref="B160:C160"/>
    <mergeCell ref="B161:C161"/>
    <mergeCell ref="B162:C162"/>
    <mergeCell ref="B163:C163"/>
    <mergeCell ref="B164:C164"/>
    <mergeCell ref="B197:F197"/>
    <mergeCell ref="B166:C166"/>
    <mergeCell ref="B167:C167"/>
    <mergeCell ref="B168:C168"/>
    <mergeCell ref="B169:C169"/>
    <mergeCell ref="B171:G171"/>
    <mergeCell ref="B172:F172"/>
  </mergeCells>
  <conditionalFormatting sqref="C1">
    <cfRule type="expression" dxfId="292" priority="18">
      <formula>OR($C$1="",$C$1=0)</formula>
    </cfRule>
  </conditionalFormatting>
  <conditionalFormatting sqref="D1">
    <cfRule type="cellIs" dxfId="291" priority="19" operator="equal">
      <formula>"Enter year in Data Validation tab"</formula>
    </cfRule>
  </conditionalFormatting>
  <conditionalFormatting sqref="D4:D40">
    <cfRule type="expression" dxfId="290" priority="22">
      <formula>AND($C4&lt;&gt;"",$D4="")</formula>
    </cfRule>
  </conditionalFormatting>
  <conditionalFormatting sqref="D95:D105">
    <cfRule type="expression" dxfId="289" priority="9">
      <formula>ISERROR($D95)</formula>
    </cfRule>
  </conditionalFormatting>
  <conditionalFormatting sqref="D110:D120">
    <cfRule type="expression" dxfId="288" priority="10">
      <formula>ISERROR($D110)</formula>
    </cfRule>
  </conditionalFormatting>
  <conditionalFormatting sqref="D136:D140">
    <cfRule type="expression" dxfId="287" priority="1">
      <formula>ISERROR(D136)</formula>
    </cfRule>
  </conditionalFormatting>
  <conditionalFormatting sqref="E4:E40">
    <cfRule type="expression" dxfId="286" priority="21">
      <formula>AND($C4&lt;&gt;"",$E4="")</formula>
    </cfRule>
  </conditionalFormatting>
  <conditionalFormatting sqref="F4:F40">
    <cfRule type="expression" dxfId="285" priority="14">
      <formula>AND($C4&lt;&gt;"",$F4="")</formula>
    </cfRule>
  </conditionalFormatting>
  <conditionalFormatting sqref="G4:G40">
    <cfRule type="expression" dxfId="284" priority="13">
      <formula>AND($C4&lt;&gt;"",$G4="")</formula>
    </cfRule>
  </conditionalFormatting>
  <conditionalFormatting sqref="G67:G90">
    <cfRule type="expression" dxfId="283" priority="8">
      <formula>ISERROR($G67)</formula>
    </cfRule>
  </conditionalFormatting>
  <conditionalFormatting sqref="G173:G196">
    <cfRule type="expression" dxfId="282" priority="7">
      <formula>ISERROR($G173)</formula>
    </cfRule>
  </conditionalFormatting>
  <conditionalFormatting sqref="H4:H40">
    <cfRule type="expression" dxfId="281" priority="12">
      <formula>AND($C4&lt;&gt;"",$H4="")</formula>
    </cfRule>
  </conditionalFormatting>
  <conditionalFormatting sqref="I4:I40">
    <cfRule type="expression" dxfId="280" priority="11">
      <formula>AND($C4&lt;&gt;"",$I4="")</formula>
    </cfRule>
  </conditionalFormatting>
  <conditionalFormatting sqref="J4:J40">
    <cfRule type="expression" dxfId="279" priority="23">
      <formula>AND($C4&lt;&gt;"",$J4="")</formula>
    </cfRule>
  </conditionalFormatting>
  <conditionalFormatting sqref="L4:L40">
    <cfRule type="expression" dxfId="278" priority="20">
      <formula>AND($C4&lt;&gt;"",$L4="")</formula>
    </cfRule>
  </conditionalFormatting>
  <conditionalFormatting sqref="N4:N40">
    <cfRule type="expression" dxfId="277" priority="25">
      <formula>AND($C4&lt;&gt;"",$N4="")</formula>
    </cfRule>
  </conditionalFormatting>
  <conditionalFormatting sqref="O4:O40">
    <cfRule type="expression" dxfId="276" priority="4">
      <formula>AND($C4&lt;&gt;"",$O4="")</formula>
    </cfRule>
    <cfRule type="cellIs" dxfId="275" priority="15" operator="equal">
      <formula>"Intact (13-15)"</formula>
    </cfRule>
    <cfRule type="cellIs" dxfId="274" priority="16" operator="equal">
      <formula>"Moderate (8-12)"</formula>
    </cfRule>
    <cfRule type="cellIs" dxfId="273" priority="17" operator="equal">
      <formula>"Severe (1-7)"</formula>
    </cfRule>
  </conditionalFormatting>
  <conditionalFormatting sqref="P4:P40">
    <cfRule type="expression" dxfId="272" priority="5">
      <formula>AND($C4&lt;&gt;"",$P4="")</formula>
    </cfRule>
  </conditionalFormatting>
  <conditionalFormatting sqref="Q4:Q40">
    <cfRule type="expression" dxfId="271" priority="3">
      <formula>AND($C4&lt;&gt;"",$Q4="")</formula>
    </cfRule>
  </conditionalFormatting>
  <conditionalFormatting sqref="R4:R40">
    <cfRule type="expression" dxfId="270" priority="26">
      <formula>AND($C4&lt;&gt;"",$R4="")</formula>
    </cfRule>
  </conditionalFormatting>
  <conditionalFormatting sqref="S4:S40">
    <cfRule type="expression" dxfId="269" priority="6">
      <formula>AND($C4&lt;&gt;"",$S4="")</formula>
    </cfRule>
  </conditionalFormatting>
  <conditionalFormatting sqref="T4:T40">
    <cfRule type="expression" dxfId="268" priority="27">
      <formula>AND($C4&lt;&gt;"",$T4="")</formula>
    </cfRule>
  </conditionalFormatting>
  <conditionalFormatting sqref="U4:U40">
    <cfRule type="expression" dxfId="267" priority="24">
      <formula>AND($C4&lt;&gt;"",$U4="")</formula>
    </cfRule>
  </conditionalFormatting>
  <conditionalFormatting sqref="V4:V40">
    <cfRule type="expression" dxfId="266" priority="2">
      <formula>AND($C4&lt;&gt;"",$V4="")</formula>
    </cfRule>
  </conditionalFormatting>
  <dataValidations count="9">
    <dataValidation type="list" allowBlank="1" showInputMessage="1" showErrorMessage="1" sqref="R4:R40" xr:uid="{00000000-0002-0000-0400-000000000000}">
      <formula1>DV_RCAComp</formula1>
    </dataValidation>
    <dataValidation type="list" allowBlank="1" showInputMessage="1" showErrorMessage="1" sqref="G4:G40" xr:uid="{00000000-0002-0000-0400-000001000000}">
      <formula1>DV_FallCircumstances</formula1>
    </dataValidation>
    <dataValidation type="list" allowBlank="1" showInputMessage="1" showErrorMessage="1" sqref="P4:P40" xr:uid="{00000000-0002-0000-0400-000002000000}">
      <formula1>DV_PriortoFall</formula1>
    </dataValidation>
    <dataValidation type="list" allowBlank="1" showInputMessage="1" showErrorMessage="1" sqref="F4:F40" xr:uid="{00000000-0002-0000-0400-000003000000}">
      <formula1>DV_Witnessed</formula1>
    </dataValidation>
    <dataValidation type="list" allowBlank="1" showInputMessage="1" showErrorMessage="1" sqref="N4:N40" xr:uid="{00000000-0002-0000-0400-000004000000}">
      <formula1>DV_BIMSScore</formula1>
    </dataValidation>
    <dataValidation type="list" allowBlank="1" showInputMessage="1" showErrorMessage="1" sqref="L4:L40" xr:uid="{00000000-0002-0000-0400-000005000000}">
      <formula1>DV_Shifts</formula1>
    </dataValidation>
    <dataValidation type="list" allowBlank="1" showInputMessage="1" showErrorMessage="1" sqref="J4:J40" xr:uid="{00000000-0002-0000-0400-000006000000}">
      <formula1>DV_Station</formula1>
    </dataValidation>
    <dataValidation type="list" allowBlank="1" showInputMessage="1" showErrorMessage="1" sqref="I4:I40" xr:uid="{00000000-0002-0000-0400-000007000000}">
      <formula1>DV_Location</formula1>
    </dataValidation>
    <dataValidation type="list" allowBlank="1" showInputMessage="1" showErrorMessage="1" sqref="H4:H40" xr:uid="{00000000-0002-0000-0400-000008000000}">
      <formula1>DV_FallType</formula1>
    </dataValidation>
  </dataValidations>
  <printOptions horizontalCentered="1"/>
  <pageMargins left="0.15" right="0.15" top="0.5" bottom="0.25" header="0.3" footer="0.3"/>
  <pageSetup scale="59" fitToHeight="0" orientation="landscape" r:id="rId1"/>
  <rowBreaks count="3" manualBreakCount="3">
    <brk id="49" max="16383" man="1"/>
    <brk id="91" max="16383" man="1"/>
    <brk id="141" max="16383" man="1"/>
  </rowBreaks>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9000000}">
          <x14:formula1>
            <xm:f>'Data Validation'!$K$3:$K$26</xm:f>
          </x14:formula1>
          <xm:sqref>S4:S40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fitToPage="1"/>
  </sheetPr>
  <dimension ref="A1:V197"/>
  <sheetViews>
    <sheetView showGridLines="0" zoomScaleNormal="100" zoomScaleSheetLayoutView="98" workbookViewId="0">
      <selection activeCell="B4" sqref="B4"/>
    </sheetView>
  </sheetViews>
  <sheetFormatPr defaultRowHeight="15" x14ac:dyDescent="0.25"/>
  <cols>
    <col min="1" max="1" width="1.28515625" customWidth="1"/>
    <col min="2" max="2" width="5.85546875" customWidth="1"/>
    <col min="3" max="3" width="17.140625" customWidth="1"/>
    <col min="4" max="4" width="9.28515625" customWidth="1"/>
    <col min="5" max="5" width="11" customWidth="1"/>
    <col min="6" max="6" width="8" customWidth="1"/>
    <col min="7" max="7" width="12.140625" customWidth="1"/>
    <col min="8" max="8" width="10.5703125" customWidth="1"/>
    <col min="9" max="9" width="7.7109375" customWidth="1"/>
    <col min="10" max="10" width="6" customWidth="1"/>
    <col min="11" max="11" width="4.7109375" customWidth="1"/>
    <col min="12" max="12" width="9.28515625" customWidth="1"/>
    <col min="13" max="14" width="4.7109375" customWidth="1"/>
    <col min="15" max="15" width="12.140625" customWidth="1"/>
    <col min="16" max="17" width="23.7109375" customWidth="1"/>
    <col min="18" max="18" width="8.7109375" customWidth="1"/>
    <col min="19" max="19" width="23.7109375" customWidth="1"/>
    <col min="20" max="22" width="11.7109375" customWidth="1"/>
    <col min="23" max="24" width="10.7109375" customWidth="1"/>
  </cols>
  <sheetData>
    <row r="1" spans="1:22" ht="18.75" customHeight="1" x14ac:dyDescent="0.25">
      <c r="B1" s="13" t="s">
        <v>28</v>
      </c>
      <c r="C1" s="14">
        <f>'Data Validation'!$C$4</f>
        <v>0</v>
      </c>
      <c r="D1" s="15" t="str">
        <f>IF(OR($C$1="",$C$1=0),"Enter Year in Data Validation tab",'Data Validation'!$C$2&amp;" April ")</f>
        <v>Enter Year in Data Validation tab</v>
      </c>
      <c r="E1" s="16"/>
      <c r="F1" s="16"/>
      <c r="G1" s="16"/>
      <c r="H1" s="16"/>
      <c r="I1" s="16"/>
      <c r="J1" s="16"/>
      <c r="K1" s="16"/>
      <c r="L1" s="16"/>
      <c r="M1" s="16"/>
      <c r="N1" s="4"/>
      <c r="O1" s="16"/>
      <c r="P1" s="16"/>
      <c r="Q1" s="16"/>
      <c r="R1" s="17" t="s">
        <v>59</v>
      </c>
      <c r="S1" s="14" t="str">
        <f>IF(COUNTIFS(Apr[Resident Name],"&lt;&gt;")=0,"No Data",COUNTIFS(Apr[Resident Name],"&lt;&gt;"))</f>
        <v>No Data</v>
      </c>
      <c r="T1" s="17" t="s">
        <v>62</v>
      </c>
      <c r="U1" s="14" t="str">
        <f>'Fall Rate and Census'!K35</f>
        <v>No Data</v>
      </c>
    </row>
    <row r="2" spans="1:22" ht="8.1" customHeight="1" x14ac:dyDescent="0.25">
      <c r="B2" s="18"/>
      <c r="C2" s="16"/>
      <c r="D2" s="16"/>
      <c r="E2" s="16"/>
      <c r="F2" s="16"/>
      <c r="G2" s="16"/>
      <c r="H2" s="16"/>
      <c r="I2" s="16"/>
      <c r="J2" s="16"/>
      <c r="K2" s="16"/>
      <c r="L2" s="16"/>
      <c r="M2" s="16"/>
      <c r="N2" s="16"/>
      <c r="O2" s="16"/>
      <c r="P2" s="16"/>
      <c r="Q2" s="16"/>
      <c r="R2" s="16"/>
    </row>
    <row r="3" spans="1:22" ht="22.35" customHeight="1" x14ac:dyDescent="0.25">
      <c r="B3" s="19" t="s">
        <v>104</v>
      </c>
      <c r="C3" s="19" t="s">
        <v>105</v>
      </c>
      <c r="D3" s="20" t="s">
        <v>0</v>
      </c>
      <c r="E3" s="20" t="s">
        <v>89</v>
      </c>
      <c r="F3" s="20" t="s">
        <v>84</v>
      </c>
      <c r="G3" s="20" t="s">
        <v>100</v>
      </c>
      <c r="H3" s="20" t="s">
        <v>90</v>
      </c>
      <c r="I3" s="20" t="s">
        <v>1</v>
      </c>
      <c r="J3" s="20" t="s">
        <v>2</v>
      </c>
      <c r="K3" s="20" t="s">
        <v>3</v>
      </c>
      <c r="L3" s="20" t="s">
        <v>33</v>
      </c>
      <c r="M3" s="20" t="s">
        <v>34</v>
      </c>
      <c r="N3" s="20" t="s">
        <v>26</v>
      </c>
      <c r="O3" s="20" t="s">
        <v>30</v>
      </c>
      <c r="P3" s="19" t="s">
        <v>158</v>
      </c>
      <c r="Q3" s="19" t="s">
        <v>80</v>
      </c>
      <c r="R3" s="20" t="s">
        <v>81</v>
      </c>
      <c r="S3" s="20" t="s">
        <v>92</v>
      </c>
      <c r="T3" s="12" t="s">
        <v>95</v>
      </c>
      <c r="U3" s="12" t="s">
        <v>94</v>
      </c>
      <c r="V3" s="12" t="s">
        <v>96</v>
      </c>
    </row>
    <row r="4" spans="1:22" ht="20.85" customHeight="1" x14ac:dyDescent="0.25">
      <c r="A4" s="21"/>
      <c r="B4" s="266"/>
      <c r="C4" s="5"/>
      <c r="D4" s="263"/>
      <c r="E4" s="263"/>
      <c r="F4" s="266"/>
      <c r="G4" s="267"/>
      <c r="H4" s="2"/>
      <c r="I4" s="2"/>
      <c r="J4" s="2"/>
      <c r="K4" s="24" t="str">
        <f>IF(Apr[[#This Row],[Date of Incident]]="","",TEXT(Apr[[#This Row],[Date of Incident]],"ddd"))</f>
        <v/>
      </c>
      <c r="L4" s="1"/>
      <c r="M4" s="24" t="str">
        <f>IFERROR(VLOOKUP(Apr[[#This Row],[Hour]],Shifts[],2,FALSE),"")</f>
        <v/>
      </c>
      <c r="N4" s="2"/>
      <c r="O4" s="24" t="str">
        <f>IFERROR(VLOOKUP(Apr[[#This Row],[BIMS Score]],BIMS[],2,FALSE),"")</f>
        <v/>
      </c>
      <c r="P4" s="3"/>
      <c r="Q4" s="3"/>
      <c r="R4" s="2"/>
      <c r="S4" s="168"/>
      <c r="T4" s="3"/>
      <c r="U4" s="3"/>
      <c r="V4" s="3"/>
    </row>
    <row r="5" spans="1:22" ht="20.85" customHeight="1" x14ac:dyDescent="0.25">
      <c r="A5" s="21"/>
      <c r="B5" s="266"/>
      <c r="C5" s="5"/>
      <c r="D5" s="263"/>
      <c r="E5" s="263"/>
      <c r="F5" s="266"/>
      <c r="G5" s="267"/>
      <c r="H5" s="2"/>
      <c r="I5" s="2"/>
      <c r="J5" s="2"/>
      <c r="K5" s="24" t="str">
        <f>IF(Apr[[#This Row],[Date of Incident]]="","",TEXT(Apr[[#This Row],[Date of Incident]],"ddd"))</f>
        <v/>
      </c>
      <c r="L5" s="1"/>
      <c r="M5" s="24" t="str">
        <f>IFERROR(VLOOKUP(Apr[[#This Row],[Hour]],Shifts[],2,FALSE),"")</f>
        <v/>
      </c>
      <c r="N5" s="2"/>
      <c r="O5" s="24" t="str">
        <f>IFERROR(VLOOKUP(Apr[[#This Row],[BIMS Score]],BIMS[],2,FALSE),"")</f>
        <v/>
      </c>
      <c r="P5" s="3"/>
      <c r="Q5" s="3"/>
      <c r="R5" s="2"/>
      <c r="S5" s="168"/>
      <c r="T5" s="3"/>
      <c r="U5" s="3"/>
      <c r="V5" s="3"/>
    </row>
    <row r="6" spans="1:22" ht="20.85" customHeight="1" x14ac:dyDescent="0.25">
      <c r="A6" s="21"/>
      <c r="B6" s="266"/>
      <c r="C6" s="5"/>
      <c r="D6" s="263"/>
      <c r="E6" s="263"/>
      <c r="F6" s="266"/>
      <c r="G6" s="267"/>
      <c r="H6" s="2"/>
      <c r="I6" s="2"/>
      <c r="J6" s="2"/>
      <c r="K6" s="24" t="str">
        <f>IF(Apr[[#This Row],[Date of Incident]]="","",TEXT(Apr[[#This Row],[Date of Incident]],"ddd"))</f>
        <v/>
      </c>
      <c r="L6" s="1"/>
      <c r="M6" s="24" t="str">
        <f>IFERROR(VLOOKUP(Apr[[#This Row],[Hour]],Shifts[],2,FALSE),"")</f>
        <v/>
      </c>
      <c r="N6" s="2"/>
      <c r="O6" s="24" t="str">
        <f>IFERROR(VLOOKUP(Apr[[#This Row],[BIMS Score]],BIMS[],2,FALSE),"")</f>
        <v/>
      </c>
      <c r="P6" s="3"/>
      <c r="Q6" s="3"/>
      <c r="R6" s="2"/>
      <c r="S6" s="168"/>
      <c r="T6" s="3"/>
      <c r="U6" s="3"/>
      <c r="V6" s="3"/>
    </row>
    <row r="7" spans="1:22" ht="20.85" customHeight="1" x14ac:dyDescent="0.25">
      <c r="A7" s="21"/>
      <c r="B7" s="266"/>
      <c r="C7" s="5"/>
      <c r="D7" s="263"/>
      <c r="E7" s="263"/>
      <c r="F7" s="266"/>
      <c r="G7" s="267"/>
      <c r="H7" s="2"/>
      <c r="I7" s="2"/>
      <c r="J7" s="2"/>
      <c r="K7" s="24" t="str">
        <f>IF(Apr[[#This Row],[Date of Incident]]="","",TEXT(Apr[[#This Row],[Date of Incident]],"ddd"))</f>
        <v/>
      </c>
      <c r="L7" s="1"/>
      <c r="M7" s="24" t="str">
        <f>IFERROR(VLOOKUP(Apr[[#This Row],[Hour]],Shifts[],2,FALSE),"")</f>
        <v/>
      </c>
      <c r="N7" s="2"/>
      <c r="O7" s="24" t="str">
        <f>IFERROR(VLOOKUP(Apr[[#This Row],[BIMS Score]],BIMS[],2,FALSE),"")</f>
        <v/>
      </c>
      <c r="P7" s="3"/>
      <c r="Q7" s="3"/>
      <c r="R7" s="2"/>
      <c r="S7" s="168"/>
      <c r="T7" s="3"/>
      <c r="U7" s="3"/>
      <c r="V7" s="3"/>
    </row>
    <row r="8" spans="1:22" ht="20.85" customHeight="1" x14ac:dyDescent="0.25">
      <c r="A8" s="21"/>
      <c r="B8" s="266"/>
      <c r="C8" s="5"/>
      <c r="D8" s="263"/>
      <c r="E8" s="263"/>
      <c r="F8" s="266"/>
      <c r="G8" s="267"/>
      <c r="H8" s="2"/>
      <c r="I8" s="2"/>
      <c r="J8" s="2"/>
      <c r="K8" s="24" t="str">
        <f>IF(Apr[[#This Row],[Date of Incident]]="","",TEXT(Apr[[#This Row],[Date of Incident]],"ddd"))</f>
        <v/>
      </c>
      <c r="L8" s="1"/>
      <c r="M8" s="24" t="str">
        <f>IFERROR(VLOOKUP(Apr[[#This Row],[Hour]],Shifts[],2,FALSE),"")</f>
        <v/>
      </c>
      <c r="N8" s="2"/>
      <c r="O8" s="24" t="str">
        <f>IFERROR(VLOOKUP(Apr[[#This Row],[BIMS Score]],BIMS[],2,FALSE),"")</f>
        <v/>
      </c>
      <c r="P8" s="3"/>
      <c r="Q8" s="3"/>
      <c r="R8" s="2"/>
      <c r="S8" s="168"/>
      <c r="T8" s="3"/>
      <c r="U8" s="3"/>
      <c r="V8" s="3"/>
    </row>
    <row r="9" spans="1:22" ht="20.85" customHeight="1" x14ac:dyDescent="0.25">
      <c r="A9" s="21"/>
      <c r="B9" s="266"/>
      <c r="C9" s="5"/>
      <c r="D9" s="263"/>
      <c r="E9" s="263"/>
      <c r="F9" s="266"/>
      <c r="G9" s="267"/>
      <c r="H9" s="2"/>
      <c r="I9" s="2"/>
      <c r="J9" s="2"/>
      <c r="K9" s="24" t="str">
        <f>IF(Apr[[#This Row],[Date of Incident]]="","",TEXT(Apr[[#This Row],[Date of Incident]],"ddd"))</f>
        <v/>
      </c>
      <c r="L9" s="1"/>
      <c r="M9" s="24" t="str">
        <f>IFERROR(VLOOKUP(Apr[[#This Row],[Hour]],Shifts[],2,FALSE),"")</f>
        <v/>
      </c>
      <c r="N9" s="2"/>
      <c r="O9" s="24" t="str">
        <f>IFERROR(VLOOKUP(Apr[[#This Row],[BIMS Score]],BIMS[],2,FALSE),"")</f>
        <v/>
      </c>
      <c r="P9" s="3"/>
      <c r="Q9" s="3"/>
      <c r="R9" s="2"/>
      <c r="S9" s="168"/>
      <c r="T9" s="3"/>
      <c r="U9" s="3"/>
      <c r="V9" s="3"/>
    </row>
    <row r="10" spans="1:22" ht="20.85" customHeight="1" x14ac:dyDescent="0.25">
      <c r="A10" s="21"/>
      <c r="B10" s="266"/>
      <c r="C10" s="5"/>
      <c r="D10" s="263"/>
      <c r="E10" s="263"/>
      <c r="F10" s="266"/>
      <c r="G10" s="267"/>
      <c r="H10" s="2"/>
      <c r="I10" s="2"/>
      <c r="J10" s="2"/>
      <c r="K10" s="24" t="str">
        <f>IF(Apr[[#This Row],[Date of Incident]]="","",TEXT(Apr[[#This Row],[Date of Incident]],"ddd"))</f>
        <v/>
      </c>
      <c r="L10" s="1"/>
      <c r="M10" s="24" t="str">
        <f>IFERROR(VLOOKUP(Apr[[#This Row],[Hour]],Shifts[],2,FALSE),"")</f>
        <v/>
      </c>
      <c r="N10" s="2"/>
      <c r="O10" s="24" t="str">
        <f>IFERROR(VLOOKUP(Apr[[#This Row],[BIMS Score]],BIMS[],2,FALSE),"")</f>
        <v/>
      </c>
      <c r="P10" s="3"/>
      <c r="Q10" s="3"/>
      <c r="R10" s="2"/>
      <c r="S10" s="168"/>
      <c r="T10" s="3"/>
      <c r="U10" s="3"/>
      <c r="V10" s="3"/>
    </row>
    <row r="11" spans="1:22" ht="20.85" customHeight="1" x14ac:dyDescent="0.25">
      <c r="A11" s="21"/>
      <c r="B11" s="266"/>
      <c r="C11" s="5"/>
      <c r="D11" s="263"/>
      <c r="E11" s="263"/>
      <c r="F11" s="266"/>
      <c r="G11" s="267"/>
      <c r="H11" s="2"/>
      <c r="I11" s="2"/>
      <c r="J11" s="2"/>
      <c r="K11" s="24" t="str">
        <f>IF(Apr[[#This Row],[Date of Incident]]="","",TEXT(Apr[[#This Row],[Date of Incident]],"ddd"))</f>
        <v/>
      </c>
      <c r="L11" s="1"/>
      <c r="M11" s="24" t="str">
        <f>IFERROR(VLOOKUP(Apr[[#This Row],[Hour]],Shifts[],2,FALSE),"")</f>
        <v/>
      </c>
      <c r="N11" s="2"/>
      <c r="O11" s="24" t="str">
        <f>IFERROR(VLOOKUP(Apr[[#This Row],[BIMS Score]],BIMS[],2,FALSE),"")</f>
        <v/>
      </c>
      <c r="P11" s="3"/>
      <c r="Q11" s="3"/>
      <c r="R11" s="2"/>
      <c r="S11" s="168"/>
      <c r="T11" s="3"/>
      <c r="U11" s="3"/>
      <c r="V11" s="3"/>
    </row>
    <row r="12" spans="1:22" ht="20.85" customHeight="1" x14ac:dyDescent="0.25">
      <c r="A12" s="21"/>
      <c r="B12" s="267"/>
      <c r="C12" s="5"/>
      <c r="D12" s="264"/>
      <c r="E12" s="263"/>
      <c r="F12" s="267"/>
      <c r="G12" s="267"/>
      <c r="H12" s="2"/>
      <c r="I12" s="2"/>
      <c r="J12" s="2"/>
      <c r="K12" s="24" t="str">
        <f>IF(Apr[[#This Row],[Date of Incident]]="","",TEXT(Apr[[#This Row],[Date of Incident]],"ddd"))</f>
        <v/>
      </c>
      <c r="L12" s="1"/>
      <c r="M12" s="24" t="str">
        <f>IFERROR(VLOOKUP(Apr[[#This Row],[Hour]],Shifts[],2,FALSE),"")</f>
        <v/>
      </c>
      <c r="N12" s="2"/>
      <c r="O12" s="24" t="str">
        <f>IFERROR(VLOOKUP(Apr[[#This Row],[BIMS Score]],BIMS[],2,FALSE),"")</f>
        <v/>
      </c>
      <c r="P12" s="3"/>
      <c r="Q12" s="3"/>
      <c r="R12" s="2"/>
      <c r="S12" s="168"/>
      <c r="T12" s="3"/>
      <c r="U12" s="3"/>
      <c r="V12" s="3"/>
    </row>
    <row r="13" spans="1:22" ht="20.85" customHeight="1" x14ac:dyDescent="0.25">
      <c r="A13" s="21"/>
      <c r="B13" s="267"/>
      <c r="C13" s="5"/>
      <c r="D13" s="264"/>
      <c r="E13" s="263"/>
      <c r="F13" s="267"/>
      <c r="G13" s="267"/>
      <c r="H13" s="2"/>
      <c r="I13" s="2"/>
      <c r="J13" s="2"/>
      <c r="K13" s="24" t="str">
        <f>IF(Apr[[#This Row],[Date of Incident]]="","",TEXT(Apr[[#This Row],[Date of Incident]],"ddd"))</f>
        <v/>
      </c>
      <c r="L13" s="1"/>
      <c r="M13" s="24" t="str">
        <f>IFERROR(VLOOKUP(Apr[[#This Row],[Hour]],Shifts[],2,FALSE),"")</f>
        <v/>
      </c>
      <c r="N13" s="2"/>
      <c r="O13" s="24" t="str">
        <f>IFERROR(VLOOKUP(Apr[[#This Row],[BIMS Score]],BIMS[],2,FALSE),"")</f>
        <v/>
      </c>
      <c r="P13" s="3"/>
      <c r="Q13" s="3"/>
      <c r="R13" s="2"/>
      <c r="S13" s="168"/>
      <c r="T13" s="3"/>
      <c r="U13" s="3"/>
      <c r="V13" s="3"/>
    </row>
    <row r="14" spans="1:22" ht="20.85" customHeight="1" x14ac:dyDescent="0.25">
      <c r="A14" s="21"/>
      <c r="B14" s="267"/>
      <c r="C14" s="5"/>
      <c r="D14" s="264"/>
      <c r="E14" s="263"/>
      <c r="F14" s="267"/>
      <c r="G14" s="267"/>
      <c r="H14" s="2"/>
      <c r="I14" s="2"/>
      <c r="J14" s="2"/>
      <c r="K14" s="24" t="str">
        <f>IF(Apr[[#This Row],[Date of Incident]]="","",TEXT(Apr[[#This Row],[Date of Incident]],"ddd"))</f>
        <v/>
      </c>
      <c r="L14" s="1"/>
      <c r="M14" s="24" t="str">
        <f>IFERROR(VLOOKUP(Apr[[#This Row],[Hour]],Shifts[],2,FALSE),"")</f>
        <v/>
      </c>
      <c r="N14" s="2"/>
      <c r="O14" s="24" t="str">
        <f>IFERROR(VLOOKUP(Apr[[#This Row],[BIMS Score]],BIMS[],2,FALSE),"")</f>
        <v/>
      </c>
      <c r="P14" s="3"/>
      <c r="Q14" s="3"/>
      <c r="R14" s="2"/>
      <c r="S14" s="168"/>
      <c r="T14" s="3"/>
      <c r="U14" s="3"/>
      <c r="V14" s="3"/>
    </row>
    <row r="15" spans="1:22" ht="20.85" customHeight="1" x14ac:dyDescent="0.25">
      <c r="A15" s="21"/>
      <c r="B15" s="267"/>
      <c r="C15" s="5"/>
      <c r="D15" s="264"/>
      <c r="E15" s="263"/>
      <c r="F15" s="267"/>
      <c r="G15" s="267"/>
      <c r="H15" s="2"/>
      <c r="I15" s="2"/>
      <c r="J15" s="2"/>
      <c r="K15" s="24" t="str">
        <f>IF(Apr[[#This Row],[Date of Incident]]="","",TEXT(Apr[[#This Row],[Date of Incident]],"ddd"))</f>
        <v/>
      </c>
      <c r="L15" s="1"/>
      <c r="M15" s="24" t="str">
        <f>IFERROR(VLOOKUP(Apr[[#This Row],[Hour]],Shifts[],2,FALSE),"")</f>
        <v/>
      </c>
      <c r="N15" s="2"/>
      <c r="O15" s="24" t="str">
        <f>IFERROR(VLOOKUP(Apr[[#This Row],[BIMS Score]],BIMS[],2,FALSE),"")</f>
        <v/>
      </c>
      <c r="P15" s="3"/>
      <c r="Q15" s="3"/>
      <c r="R15" s="2"/>
      <c r="S15" s="168"/>
      <c r="T15" s="3"/>
      <c r="U15" s="3"/>
      <c r="V15" s="3"/>
    </row>
    <row r="16" spans="1:22" ht="20.85" customHeight="1" x14ac:dyDescent="0.25">
      <c r="A16" s="21"/>
      <c r="B16" s="267"/>
      <c r="C16" s="3"/>
      <c r="D16" s="264"/>
      <c r="E16" s="264"/>
      <c r="F16" s="267"/>
      <c r="G16" s="267"/>
      <c r="H16" s="2"/>
      <c r="I16" s="2"/>
      <c r="J16" s="2"/>
      <c r="K16" s="24" t="str">
        <f>IF(Apr[[#This Row],[Date of Incident]]="","",TEXT(Apr[[#This Row],[Date of Incident]],"ddd"))</f>
        <v/>
      </c>
      <c r="L16" s="1"/>
      <c r="M16" s="24" t="str">
        <f>IFERROR(VLOOKUP(Apr[[#This Row],[Hour]],Shifts[],2,FALSE),"")</f>
        <v/>
      </c>
      <c r="N16" s="2"/>
      <c r="O16" s="24" t="str">
        <f>IFERROR(VLOOKUP(Apr[[#This Row],[BIMS Score]],BIMS[],2,FALSE),"")</f>
        <v/>
      </c>
      <c r="P16" s="3"/>
      <c r="Q16" s="3"/>
      <c r="R16" s="2"/>
      <c r="S16" s="168"/>
      <c r="T16" s="3"/>
      <c r="U16" s="3"/>
      <c r="V16" s="3"/>
    </row>
    <row r="17" spans="1:22" ht="20.85" customHeight="1" x14ac:dyDescent="0.25">
      <c r="A17" s="21"/>
      <c r="B17" s="267"/>
      <c r="C17" s="3"/>
      <c r="D17" s="264"/>
      <c r="E17" s="264"/>
      <c r="F17" s="267"/>
      <c r="G17" s="267"/>
      <c r="H17" s="2"/>
      <c r="I17" s="2"/>
      <c r="J17" s="2"/>
      <c r="K17" s="24" t="str">
        <f>IF(Apr[[#This Row],[Date of Incident]]="","",TEXT(Apr[[#This Row],[Date of Incident]],"ddd"))</f>
        <v/>
      </c>
      <c r="L17" s="1"/>
      <c r="M17" s="24" t="str">
        <f>IFERROR(VLOOKUP(Apr[[#This Row],[Hour]],Shifts[],2,FALSE),"")</f>
        <v/>
      </c>
      <c r="N17" s="2"/>
      <c r="O17" s="24" t="str">
        <f>IFERROR(VLOOKUP(Apr[[#This Row],[BIMS Score]],BIMS[],2,FALSE),"")</f>
        <v/>
      </c>
      <c r="P17" s="3"/>
      <c r="Q17" s="3"/>
      <c r="R17" s="2"/>
      <c r="S17" s="168"/>
      <c r="T17" s="3"/>
      <c r="U17" s="3"/>
      <c r="V17" s="3"/>
    </row>
    <row r="18" spans="1:22" ht="20.85" customHeight="1" x14ac:dyDescent="0.25">
      <c r="A18" s="21"/>
      <c r="B18" s="267"/>
      <c r="C18" s="3"/>
      <c r="D18" s="264"/>
      <c r="E18" s="264"/>
      <c r="F18" s="267"/>
      <c r="G18" s="267"/>
      <c r="H18" s="2"/>
      <c r="I18" s="2"/>
      <c r="J18" s="2"/>
      <c r="K18" s="24" t="str">
        <f>IF(Apr[[#This Row],[Date of Incident]]="","",TEXT(Apr[[#This Row],[Date of Incident]],"ddd"))</f>
        <v/>
      </c>
      <c r="L18" s="1"/>
      <c r="M18" s="24" t="str">
        <f>IFERROR(VLOOKUP(Apr[[#This Row],[Hour]],Shifts[],2,FALSE),"")</f>
        <v/>
      </c>
      <c r="N18" s="2"/>
      <c r="O18" s="24" t="str">
        <f>IFERROR(VLOOKUP(Apr[[#This Row],[BIMS Score]],BIMS[],2,FALSE),"")</f>
        <v/>
      </c>
      <c r="P18" s="3"/>
      <c r="Q18" s="3"/>
      <c r="R18" s="2"/>
      <c r="S18" s="168"/>
      <c r="T18" s="3"/>
      <c r="U18" s="3"/>
      <c r="V18" s="3"/>
    </row>
    <row r="19" spans="1:22" ht="20.85" customHeight="1" x14ac:dyDescent="0.25">
      <c r="A19" s="21"/>
      <c r="B19" s="267"/>
      <c r="C19" s="3"/>
      <c r="D19" s="264"/>
      <c r="E19" s="264"/>
      <c r="F19" s="267"/>
      <c r="G19" s="267"/>
      <c r="H19" s="2"/>
      <c r="I19" s="2"/>
      <c r="J19" s="2"/>
      <c r="K19" s="24" t="str">
        <f>IF(Apr[[#This Row],[Date of Incident]]="","",TEXT(Apr[[#This Row],[Date of Incident]],"ddd"))</f>
        <v/>
      </c>
      <c r="L19" s="1"/>
      <c r="M19" s="24" t="str">
        <f>IFERROR(VLOOKUP(Apr[[#This Row],[Hour]],Shifts[],2,FALSE),"")</f>
        <v/>
      </c>
      <c r="N19" s="2"/>
      <c r="O19" s="24" t="str">
        <f>IFERROR(VLOOKUP(Apr[[#This Row],[BIMS Score]],BIMS[],2,FALSE),"")</f>
        <v/>
      </c>
      <c r="P19" s="3"/>
      <c r="Q19" s="3"/>
      <c r="R19" s="2"/>
      <c r="S19" s="168"/>
      <c r="T19" s="3"/>
      <c r="U19" s="3"/>
      <c r="V19" s="3"/>
    </row>
    <row r="20" spans="1:22" ht="20.85" customHeight="1" x14ac:dyDescent="0.25">
      <c r="A20" s="21"/>
      <c r="B20" s="267"/>
      <c r="C20" s="3"/>
      <c r="D20" s="264"/>
      <c r="E20" s="264"/>
      <c r="F20" s="267"/>
      <c r="G20" s="267"/>
      <c r="H20" s="2"/>
      <c r="I20" s="2"/>
      <c r="J20" s="2"/>
      <c r="K20" s="24" t="str">
        <f>IF(Apr[[#This Row],[Date of Incident]]="","",TEXT(Apr[[#This Row],[Date of Incident]],"ddd"))</f>
        <v/>
      </c>
      <c r="L20" s="1"/>
      <c r="M20" s="24" t="str">
        <f>IFERROR(VLOOKUP(Apr[[#This Row],[Hour]],Shifts[],2,FALSE),"")</f>
        <v/>
      </c>
      <c r="N20" s="2"/>
      <c r="O20" s="24" t="str">
        <f>IFERROR(VLOOKUP(Apr[[#This Row],[BIMS Score]],BIMS[],2,FALSE),"")</f>
        <v/>
      </c>
      <c r="P20" s="3"/>
      <c r="Q20" s="3"/>
      <c r="R20" s="2"/>
      <c r="S20" s="168"/>
      <c r="T20" s="3"/>
      <c r="U20" s="3"/>
      <c r="V20" s="3"/>
    </row>
    <row r="21" spans="1:22" ht="20.85" customHeight="1" x14ac:dyDescent="0.25">
      <c r="A21" s="21"/>
      <c r="B21" s="267"/>
      <c r="C21" s="3"/>
      <c r="D21" s="264"/>
      <c r="E21" s="264"/>
      <c r="F21" s="267"/>
      <c r="G21" s="267"/>
      <c r="H21" s="2"/>
      <c r="I21" s="2"/>
      <c r="J21" s="2"/>
      <c r="K21" s="24" t="str">
        <f>IF(Apr[[#This Row],[Date of Incident]]="","",TEXT(Apr[[#This Row],[Date of Incident]],"ddd"))</f>
        <v/>
      </c>
      <c r="L21" s="1"/>
      <c r="M21" s="24" t="str">
        <f>IFERROR(VLOOKUP(Apr[[#This Row],[Hour]],Shifts[],2,FALSE),"")</f>
        <v/>
      </c>
      <c r="N21" s="2"/>
      <c r="O21" s="24" t="str">
        <f>IFERROR(VLOOKUP(Apr[[#This Row],[BIMS Score]],BIMS[],2,FALSE),"")</f>
        <v/>
      </c>
      <c r="P21" s="3"/>
      <c r="Q21" s="3"/>
      <c r="R21" s="2"/>
      <c r="S21" s="168"/>
      <c r="T21" s="3"/>
      <c r="U21" s="3"/>
      <c r="V21" s="3"/>
    </row>
    <row r="22" spans="1:22" ht="20.85" customHeight="1" x14ac:dyDescent="0.25">
      <c r="A22" s="21"/>
      <c r="B22" s="267"/>
      <c r="C22" s="3"/>
      <c r="D22" s="264"/>
      <c r="E22" s="264"/>
      <c r="F22" s="267"/>
      <c r="G22" s="267"/>
      <c r="H22" s="2"/>
      <c r="I22" s="2"/>
      <c r="J22" s="2"/>
      <c r="K22" s="24" t="str">
        <f>IF(Apr[[#This Row],[Date of Incident]]="","",TEXT(Apr[[#This Row],[Date of Incident]],"ddd"))</f>
        <v/>
      </c>
      <c r="L22" s="1"/>
      <c r="M22" s="24" t="str">
        <f>IFERROR(VLOOKUP(Apr[[#This Row],[Hour]],Shifts[],2,FALSE),"")</f>
        <v/>
      </c>
      <c r="N22" s="1"/>
      <c r="O22" s="24" t="str">
        <f>IFERROR(VLOOKUP(Apr[[#This Row],[BIMS Score]],BIMS[],2,FALSE),"")</f>
        <v/>
      </c>
      <c r="P22" s="3"/>
      <c r="Q22" s="3"/>
      <c r="R22" s="2"/>
      <c r="S22" s="168"/>
      <c r="T22" s="3"/>
      <c r="U22" s="3"/>
      <c r="V22" s="3"/>
    </row>
    <row r="23" spans="1:22" ht="20.85" customHeight="1" x14ac:dyDescent="0.25">
      <c r="A23" s="21"/>
      <c r="B23" s="267"/>
      <c r="C23" s="3"/>
      <c r="D23" s="264"/>
      <c r="E23" s="264"/>
      <c r="F23" s="267"/>
      <c r="G23" s="267"/>
      <c r="H23" s="2"/>
      <c r="I23" s="2"/>
      <c r="J23" s="2"/>
      <c r="K23" s="24" t="str">
        <f>IF(Apr[[#This Row],[Date of Incident]]="","",TEXT(Apr[[#This Row],[Date of Incident]],"ddd"))</f>
        <v/>
      </c>
      <c r="L23" s="1"/>
      <c r="M23" s="24" t="str">
        <f>IFERROR(VLOOKUP(Apr[[#This Row],[Hour]],Shifts[],2,FALSE),"")</f>
        <v/>
      </c>
      <c r="N23" s="1"/>
      <c r="O23" s="24" t="str">
        <f>IFERROR(VLOOKUP(Apr[[#This Row],[BIMS Score]],BIMS[],2,FALSE),"")</f>
        <v/>
      </c>
      <c r="P23" s="3"/>
      <c r="Q23" s="3"/>
      <c r="R23" s="2"/>
      <c r="S23" s="168"/>
      <c r="T23" s="3"/>
      <c r="U23" s="3"/>
      <c r="V23" s="3"/>
    </row>
    <row r="24" spans="1:22" s="10" customFormat="1" ht="20.85" customHeight="1" x14ac:dyDescent="0.25">
      <c r="A24" s="26"/>
      <c r="B24" s="266"/>
      <c r="C24" s="5"/>
      <c r="D24" s="263"/>
      <c r="E24" s="263"/>
      <c r="F24" s="267"/>
      <c r="G24" s="267"/>
      <c r="H24" s="1"/>
      <c r="I24" s="1"/>
      <c r="J24" s="1"/>
      <c r="K24" s="24" t="str">
        <f>IF(Apr[[#This Row],[Date of Incident]]="","",TEXT(Apr[[#This Row],[Date of Incident]],"ddd"))</f>
        <v/>
      </c>
      <c r="L24" s="1"/>
      <c r="M24" s="24" t="str">
        <f>IFERROR(VLOOKUP(Apr[[#This Row],[Hour]],Shifts[],2,FALSE),"")</f>
        <v/>
      </c>
      <c r="N24" s="1"/>
      <c r="O24" s="24" t="str">
        <f>IFERROR(VLOOKUP(Apr[[#This Row],[BIMS Score]],BIMS[],2,FALSE),"")</f>
        <v/>
      </c>
      <c r="P24" s="3"/>
      <c r="Q24" s="3"/>
      <c r="R24" s="2"/>
      <c r="S24" s="168"/>
      <c r="T24" s="5"/>
      <c r="U24" s="5"/>
      <c r="V24" s="3"/>
    </row>
    <row r="25" spans="1:22" ht="20.85" customHeight="1" x14ac:dyDescent="0.25">
      <c r="A25" s="21"/>
      <c r="B25" s="266"/>
      <c r="C25" s="5"/>
      <c r="D25" s="263"/>
      <c r="E25" s="263"/>
      <c r="F25" s="267"/>
      <c r="G25" s="267"/>
      <c r="H25" s="1"/>
      <c r="I25" s="1"/>
      <c r="J25" s="1"/>
      <c r="K25" s="24" t="str">
        <f>IF(Apr[[#This Row],[Date of Incident]]="","",TEXT(Apr[[#This Row],[Date of Incident]],"ddd"))</f>
        <v/>
      </c>
      <c r="L25" s="1"/>
      <c r="M25" s="24" t="str">
        <f>IFERROR(VLOOKUP(Apr[[#This Row],[Hour]],Shifts[],2,FALSE),"")</f>
        <v/>
      </c>
      <c r="N25" s="1"/>
      <c r="O25" s="24" t="str">
        <f>IFERROR(VLOOKUP(Apr[[#This Row],[BIMS Score]],BIMS[],2,FALSE),"")</f>
        <v/>
      </c>
      <c r="P25" s="3"/>
      <c r="Q25" s="3"/>
      <c r="R25" s="2"/>
      <c r="S25" s="168"/>
      <c r="T25" s="5"/>
      <c r="U25" s="5"/>
      <c r="V25" s="3"/>
    </row>
    <row r="26" spans="1:22" ht="20.65" customHeight="1" x14ac:dyDescent="0.25">
      <c r="A26" s="21"/>
      <c r="B26" s="266"/>
      <c r="C26" s="5"/>
      <c r="D26" s="263"/>
      <c r="E26" s="263"/>
      <c r="F26" s="267"/>
      <c r="G26" s="267"/>
      <c r="H26" s="1"/>
      <c r="I26" s="1"/>
      <c r="J26" s="1"/>
      <c r="K26" s="24" t="str">
        <f>IF(Apr[[#This Row],[Date of Incident]]="","",TEXT(Apr[[#This Row],[Date of Incident]],"ddd"))</f>
        <v/>
      </c>
      <c r="L26" s="1"/>
      <c r="M26" s="24" t="str">
        <f>IFERROR(VLOOKUP(Apr[[#This Row],[Hour]],Shifts[],2,FALSE),"")</f>
        <v/>
      </c>
      <c r="N26" s="1"/>
      <c r="O26" s="24" t="str">
        <f>IFERROR(VLOOKUP(Apr[[#This Row],[BIMS Score]],BIMS[],2,FALSE),"")</f>
        <v/>
      </c>
      <c r="P26" s="3"/>
      <c r="Q26" s="3"/>
      <c r="R26" s="2"/>
      <c r="S26" s="168"/>
      <c r="T26" s="5"/>
      <c r="U26" s="5"/>
      <c r="V26" s="3"/>
    </row>
    <row r="27" spans="1:22" ht="20.85" customHeight="1" x14ac:dyDescent="0.25">
      <c r="A27" s="21"/>
      <c r="B27" s="266"/>
      <c r="C27" s="5"/>
      <c r="D27" s="263"/>
      <c r="E27" s="263"/>
      <c r="F27" s="267"/>
      <c r="G27" s="267"/>
      <c r="H27" s="1"/>
      <c r="I27" s="1"/>
      <c r="J27" s="1"/>
      <c r="K27" s="24" t="str">
        <f>IF(Apr[[#This Row],[Date of Incident]]="","",TEXT(Apr[[#This Row],[Date of Incident]],"ddd"))</f>
        <v/>
      </c>
      <c r="L27" s="1"/>
      <c r="M27" s="24" t="str">
        <f>IFERROR(VLOOKUP(Apr[[#This Row],[Hour]],Shifts[],2,FALSE),"")</f>
        <v/>
      </c>
      <c r="N27" s="1"/>
      <c r="O27" s="24" t="str">
        <f>IFERROR(VLOOKUP(Apr[[#This Row],[BIMS Score]],BIMS[],2,FALSE),"")</f>
        <v/>
      </c>
      <c r="P27" s="3"/>
      <c r="Q27" s="3"/>
      <c r="R27" s="2"/>
      <c r="S27" s="168"/>
      <c r="T27" s="5"/>
      <c r="U27" s="5"/>
      <c r="V27" s="3"/>
    </row>
    <row r="28" spans="1:22" ht="20.85" customHeight="1" x14ac:dyDescent="0.25">
      <c r="A28" s="21"/>
      <c r="B28" s="266"/>
      <c r="C28" s="5"/>
      <c r="D28" s="263"/>
      <c r="E28" s="263"/>
      <c r="F28" s="267"/>
      <c r="G28" s="267"/>
      <c r="H28" s="1"/>
      <c r="I28" s="1"/>
      <c r="J28" s="1"/>
      <c r="K28" s="24" t="str">
        <f>IF(Apr[[#This Row],[Date of Incident]]="","",TEXT(Apr[[#This Row],[Date of Incident]],"ddd"))</f>
        <v/>
      </c>
      <c r="L28" s="1"/>
      <c r="M28" s="24" t="str">
        <f>IFERROR(VLOOKUP(Apr[[#This Row],[Hour]],Shifts[],2,FALSE),"")</f>
        <v/>
      </c>
      <c r="N28" s="1"/>
      <c r="O28" s="24" t="str">
        <f>IFERROR(VLOOKUP(Apr[[#This Row],[BIMS Score]],BIMS[],2,FALSE),"")</f>
        <v/>
      </c>
      <c r="P28" s="3"/>
      <c r="Q28" s="3"/>
      <c r="R28" s="2"/>
      <c r="S28" s="168"/>
      <c r="T28" s="5"/>
      <c r="U28" s="5"/>
      <c r="V28" s="3"/>
    </row>
    <row r="29" spans="1:22" ht="20.85" customHeight="1" x14ac:dyDescent="0.25">
      <c r="B29" s="266"/>
      <c r="C29" s="5"/>
      <c r="D29" s="263"/>
      <c r="E29" s="263"/>
      <c r="F29" s="267"/>
      <c r="G29" s="267"/>
      <c r="H29" s="1"/>
      <c r="I29" s="1"/>
      <c r="J29" s="1"/>
      <c r="K29" s="27" t="str">
        <f>IF(Apr[[#This Row],[Date of Incident]]="","",TEXT(Apr[[#This Row],[Date of Incident]],"ddd"))</f>
        <v/>
      </c>
      <c r="L29" s="1"/>
      <c r="M29" s="27" t="str">
        <f>IFERROR(VLOOKUP(Apr[[#This Row],[Hour]],Shifts[],2,FALSE),"")</f>
        <v/>
      </c>
      <c r="N29" s="2"/>
      <c r="O29" s="24" t="str">
        <f>IFERROR(VLOOKUP(Apr[[#This Row],[BIMS Score]],BIMS[],2,FALSE),"")</f>
        <v/>
      </c>
      <c r="P29" s="3"/>
      <c r="Q29" s="3"/>
      <c r="R29" s="2"/>
      <c r="S29" s="168"/>
      <c r="T29" s="5"/>
      <c r="U29" s="5"/>
      <c r="V29" s="5"/>
    </row>
    <row r="30" spans="1:22" ht="20.85" customHeight="1" x14ac:dyDescent="0.25">
      <c r="B30" s="266"/>
      <c r="C30" s="5"/>
      <c r="D30" s="263"/>
      <c r="E30" s="263"/>
      <c r="F30" s="267"/>
      <c r="G30" s="267"/>
      <c r="H30" s="1"/>
      <c r="I30" s="1"/>
      <c r="J30" s="1"/>
      <c r="K30" s="27" t="str">
        <f>IF(Apr[[#This Row],[Date of Incident]]="","",TEXT(Apr[[#This Row],[Date of Incident]],"ddd"))</f>
        <v/>
      </c>
      <c r="L30" s="1"/>
      <c r="M30" s="27" t="str">
        <f>IFERROR(VLOOKUP(Apr[[#This Row],[Hour]],Shifts[],2,FALSE),"")</f>
        <v/>
      </c>
      <c r="N30" s="2"/>
      <c r="O30" s="24" t="str">
        <f>IFERROR(VLOOKUP(Apr[[#This Row],[BIMS Score]],BIMS[],2,FALSE),"")</f>
        <v/>
      </c>
      <c r="P30" s="3"/>
      <c r="Q30" s="3"/>
      <c r="R30" s="2"/>
      <c r="S30" s="168"/>
      <c r="T30" s="5"/>
      <c r="U30" s="5"/>
      <c r="V30" s="5"/>
    </row>
    <row r="31" spans="1:22" ht="20.85" customHeight="1" x14ac:dyDescent="0.25">
      <c r="B31" s="266"/>
      <c r="C31" s="5"/>
      <c r="D31" s="263"/>
      <c r="E31" s="263"/>
      <c r="F31" s="267"/>
      <c r="G31" s="267"/>
      <c r="H31" s="1"/>
      <c r="I31" s="1"/>
      <c r="J31" s="1"/>
      <c r="K31" s="27" t="str">
        <f>IF(Apr[[#This Row],[Date of Incident]]="","",TEXT(Apr[[#This Row],[Date of Incident]],"ddd"))</f>
        <v/>
      </c>
      <c r="L31" s="1"/>
      <c r="M31" s="27" t="str">
        <f>IFERROR(VLOOKUP(Apr[[#This Row],[Hour]],Shifts[],2,FALSE),"")</f>
        <v/>
      </c>
      <c r="N31" s="2"/>
      <c r="O31" s="24" t="str">
        <f>IFERROR(VLOOKUP(Apr[[#This Row],[BIMS Score]],BIMS[],2,FALSE),"")</f>
        <v/>
      </c>
      <c r="P31" s="3"/>
      <c r="Q31" s="3"/>
      <c r="R31" s="2"/>
      <c r="S31" s="168"/>
      <c r="T31" s="5"/>
      <c r="U31" s="5"/>
      <c r="V31" s="5"/>
    </row>
    <row r="32" spans="1:22" ht="20.85" customHeight="1" x14ac:dyDescent="0.25">
      <c r="B32" s="266"/>
      <c r="C32" s="5"/>
      <c r="D32" s="263"/>
      <c r="E32" s="263"/>
      <c r="F32" s="267"/>
      <c r="G32" s="267"/>
      <c r="H32" s="1"/>
      <c r="I32" s="1"/>
      <c r="J32" s="1"/>
      <c r="K32" s="27" t="str">
        <f>IF(Apr[[#This Row],[Date of Incident]]="","",TEXT(Apr[[#This Row],[Date of Incident]],"ddd"))</f>
        <v/>
      </c>
      <c r="L32" s="1"/>
      <c r="M32" s="27" t="str">
        <f>IFERROR(VLOOKUP(Apr[[#This Row],[Hour]],Shifts[],2,FALSE),"")</f>
        <v/>
      </c>
      <c r="N32" s="2"/>
      <c r="O32" s="24" t="str">
        <f>IFERROR(VLOOKUP(Apr[[#This Row],[BIMS Score]],BIMS[],2,FALSE),"")</f>
        <v/>
      </c>
      <c r="P32" s="3"/>
      <c r="Q32" s="3"/>
      <c r="R32" s="2"/>
      <c r="S32" s="168"/>
      <c r="T32" s="5"/>
      <c r="U32" s="5"/>
      <c r="V32" s="5"/>
    </row>
    <row r="33" spans="2:22" ht="20.85" customHeight="1" x14ac:dyDescent="0.25">
      <c r="B33" s="266"/>
      <c r="C33" s="5"/>
      <c r="D33" s="263"/>
      <c r="E33" s="263"/>
      <c r="F33" s="267"/>
      <c r="G33" s="267"/>
      <c r="H33" s="1"/>
      <c r="I33" s="1"/>
      <c r="J33" s="1"/>
      <c r="K33" s="27" t="str">
        <f>IF(Apr[[#This Row],[Date of Incident]]="","",TEXT(Apr[[#This Row],[Date of Incident]],"ddd"))</f>
        <v/>
      </c>
      <c r="L33" s="1"/>
      <c r="M33" s="27" t="str">
        <f>IFERROR(VLOOKUP(Apr[[#This Row],[Hour]],Shifts[],2,FALSE),"")</f>
        <v/>
      </c>
      <c r="N33" s="2"/>
      <c r="O33" s="24" t="str">
        <f>IFERROR(VLOOKUP(Apr[[#This Row],[BIMS Score]],BIMS[],2,FALSE),"")</f>
        <v/>
      </c>
      <c r="P33" s="3"/>
      <c r="Q33" s="3"/>
      <c r="R33" s="2"/>
      <c r="S33" s="168"/>
      <c r="T33" s="5"/>
      <c r="U33" s="5"/>
      <c r="V33" s="5"/>
    </row>
    <row r="34" spans="2:22" ht="20.85" customHeight="1" x14ac:dyDescent="0.25">
      <c r="B34" s="266"/>
      <c r="C34" s="5"/>
      <c r="D34" s="263"/>
      <c r="E34" s="263"/>
      <c r="F34" s="267"/>
      <c r="G34" s="267"/>
      <c r="H34" s="1"/>
      <c r="I34" s="1"/>
      <c r="J34" s="1"/>
      <c r="K34" s="27" t="str">
        <f>IF(Apr[[#This Row],[Date of Incident]]="","",TEXT(Apr[[#This Row],[Date of Incident]],"ddd"))</f>
        <v/>
      </c>
      <c r="L34" s="1"/>
      <c r="M34" s="27" t="str">
        <f>IFERROR(VLOOKUP(Apr[[#This Row],[Hour]],Shifts[],2,FALSE),"")</f>
        <v/>
      </c>
      <c r="N34" s="2"/>
      <c r="O34" s="24" t="str">
        <f>IFERROR(VLOOKUP(Apr[[#This Row],[BIMS Score]],BIMS[],2,FALSE),"")</f>
        <v/>
      </c>
      <c r="P34" s="3"/>
      <c r="Q34" s="3"/>
      <c r="R34" s="2"/>
      <c r="S34" s="168"/>
      <c r="T34" s="5"/>
      <c r="U34" s="5"/>
      <c r="V34" s="5"/>
    </row>
    <row r="35" spans="2:22" ht="20.85" customHeight="1" x14ac:dyDescent="0.25">
      <c r="B35" s="266"/>
      <c r="C35" s="5"/>
      <c r="D35" s="263"/>
      <c r="E35" s="263"/>
      <c r="F35" s="267"/>
      <c r="G35" s="267"/>
      <c r="H35" s="1"/>
      <c r="I35" s="1"/>
      <c r="J35" s="1"/>
      <c r="K35" s="27" t="str">
        <f>IF(Apr[[#This Row],[Date of Incident]]="","",TEXT(Apr[[#This Row],[Date of Incident]],"ddd"))</f>
        <v/>
      </c>
      <c r="L35" s="1"/>
      <c r="M35" s="27" t="str">
        <f>IFERROR(VLOOKUP(Apr[[#This Row],[Hour]],Shifts[],2,FALSE),"")</f>
        <v/>
      </c>
      <c r="N35" s="2"/>
      <c r="O35" s="24" t="str">
        <f>IFERROR(VLOOKUP(Apr[[#This Row],[BIMS Score]],BIMS[],2,FALSE),"")</f>
        <v/>
      </c>
      <c r="P35" s="3"/>
      <c r="Q35" s="3"/>
      <c r="R35" s="2"/>
      <c r="S35" s="168"/>
      <c r="T35" s="5"/>
      <c r="U35" s="5"/>
      <c r="V35" s="5"/>
    </row>
    <row r="36" spans="2:22" ht="20.85" customHeight="1" x14ac:dyDescent="0.25">
      <c r="B36" s="266"/>
      <c r="C36" s="5"/>
      <c r="D36" s="263"/>
      <c r="E36" s="263"/>
      <c r="F36" s="267"/>
      <c r="G36" s="267"/>
      <c r="H36" s="1"/>
      <c r="I36" s="1"/>
      <c r="J36" s="1"/>
      <c r="K36" s="27" t="str">
        <f>IF(Apr[[#This Row],[Date of Incident]]="","",TEXT(Apr[[#This Row],[Date of Incident]],"ddd"))</f>
        <v/>
      </c>
      <c r="L36" s="1"/>
      <c r="M36" s="27" t="str">
        <f>IFERROR(VLOOKUP(Apr[[#This Row],[Hour]],Shifts[],2,FALSE),"")</f>
        <v/>
      </c>
      <c r="N36" s="2"/>
      <c r="O36" s="24" t="str">
        <f>IFERROR(VLOOKUP(Apr[[#This Row],[BIMS Score]],BIMS[],2,FALSE),"")</f>
        <v/>
      </c>
      <c r="P36" s="3"/>
      <c r="Q36" s="3"/>
      <c r="R36" s="2"/>
      <c r="S36" s="168"/>
      <c r="T36" s="5"/>
      <c r="U36" s="5"/>
      <c r="V36" s="5"/>
    </row>
    <row r="37" spans="2:22" ht="20.85" customHeight="1" x14ac:dyDescent="0.25">
      <c r="B37" s="266"/>
      <c r="C37" s="5"/>
      <c r="D37" s="263"/>
      <c r="E37" s="263"/>
      <c r="F37" s="267"/>
      <c r="G37" s="267"/>
      <c r="H37" s="1"/>
      <c r="I37" s="1"/>
      <c r="J37" s="1"/>
      <c r="K37" s="27" t="str">
        <f>IF(Apr[[#This Row],[Date of Incident]]="","",TEXT(Apr[[#This Row],[Date of Incident]],"ddd"))</f>
        <v/>
      </c>
      <c r="L37" s="1"/>
      <c r="M37" s="27" t="str">
        <f>IFERROR(VLOOKUP(Apr[[#This Row],[Hour]],Shifts[],2,FALSE),"")</f>
        <v/>
      </c>
      <c r="N37" s="2"/>
      <c r="O37" s="24" t="str">
        <f>IFERROR(VLOOKUP(Apr[[#This Row],[BIMS Score]],BIMS[],2,FALSE),"")</f>
        <v/>
      </c>
      <c r="P37" s="3"/>
      <c r="Q37" s="3"/>
      <c r="R37" s="2"/>
      <c r="S37" s="168"/>
      <c r="T37" s="5"/>
      <c r="U37" s="5"/>
      <c r="V37" s="5"/>
    </row>
    <row r="38" spans="2:22" ht="20.85" customHeight="1" x14ac:dyDescent="0.25">
      <c r="B38" s="266"/>
      <c r="C38" s="5"/>
      <c r="D38" s="263"/>
      <c r="E38" s="263"/>
      <c r="F38" s="267"/>
      <c r="G38" s="267"/>
      <c r="H38" s="1"/>
      <c r="I38" s="1"/>
      <c r="J38" s="1"/>
      <c r="K38" s="27" t="str">
        <f>IF(Apr[[#This Row],[Date of Incident]]="","",TEXT(Apr[[#This Row],[Date of Incident]],"ddd"))</f>
        <v/>
      </c>
      <c r="L38" s="1"/>
      <c r="M38" s="27" t="str">
        <f>IFERROR(VLOOKUP(Apr[[#This Row],[Hour]],Shifts[],2,FALSE),"")</f>
        <v/>
      </c>
      <c r="N38" s="2"/>
      <c r="O38" s="24" t="str">
        <f>IFERROR(VLOOKUP(Apr[[#This Row],[BIMS Score]],BIMS[],2,FALSE),"")</f>
        <v/>
      </c>
      <c r="P38" s="3"/>
      <c r="Q38" s="3"/>
      <c r="R38" s="2"/>
      <c r="S38" s="168"/>
      <c r="T38" s="5"/>
      <c r="U38" s="5"/>
      <c r="V38" s="5"/>
    </row>
    <row r="39" spans="2:22" ht="20.85" customHeight="1" x14ac:dyDescent="0.25">
      <c r="B39" s="266"/>
      <c r="C39" s="5"/>
      <c r="D39" s="263"/>
      <c r="E39" s="263"/>
      <c r="F39" s="267"/>
      <c r="G39" s="267"/>
      <c r="H39" s="1"/>
      <c r="I39" s="1"/>
      <c r="J39" s="1"/>
      <c r="K39" s="27" t="str">
        <f>IF(Apr[[#This Row],[Date of Incident]]="","",TEXT(Apr[[#This Row],[Date of Incident]],"ddd"))</f>
        <v/>
      </c>
      <c r="L39" s="1"/>
      <c r="M39" s="27" t="str">
        <f>IFERROR(VLOOKUP(Apr[[#This Row],[Hour]],Shifts[],2,FALSE),"")</f>
        <v/>
      </c>
      <c r="N39" s="2"/>
      <c r="O39" s="24" t="str">
        <f>IFERROR(VLOOKUP(Apr[[#This Row],[BIMS Score]],BIMS[],2,FALSE),"")</f>
        <v/>
      </c>
      <c r="P39" s="3"/>
      <c r="Q39" s="3"/>
      <c r="R39" s="2"/>
      <c r="S39" s="168"/>
      <c r="T39" s="5"/>
      <c r="U39" s="5"/>
      <c r="V39" s="5"/>
    </row>
    <row r="40" spans="2:22" ht="20.85" customHeight="1" x14ac:dyDescent="0.25">
      <c r="B40" s="266"/>
      <c r="C40" s="5"/>
      <c r="D40" s="263"/>
      <c r="E40" s="263"/>
      <c r="F40" s="267"/>
      <c r="G40" s="267"/>
      <c r="H40" s="1"/>
      <c r="I40" s="1"/>
      <c r="J40" s="1"/>
      <c r="K40" s="27" t="str">
        <f>IF(Apr[[#This Row],[Date of Incident]]="","",TEXT(Apr[[#This Row],[Date of Incident]],"ddd"))</f>
        <v/>
      </c>
      <c r="L40" s="1"/>
      <c r="M40" s="27" t="str">
        <f>IFERROR(VLOOKUP(Apr[[#This Row],[Hour]],Shifts[],2,FALSE),"")</f>
        <v/>
      </c>
      <c r="N40" s="2"/>
      <c r="O40" s="24" t="str">
        <f>IFERROR(VLOOKUP(Apr[[#This Row],[BIMS Score]],BIMS[],2,FALSE),"")</f>
        <v/>
      </c>
      <c r="P40" s="3"/>
      <c r="Q40" s="3"/>
      <c r="R40" s="2"/>
      <c r="S40" s="168"/>
      <c r="T40" s="5"/>
      <c r="U40" s="5"/>
      <c r="V40" s="5"/>
    </row>
    <row r="41" spans="2:22" x14ac:dyDescent="0.25">
      <c r="B41" s="26"/>
      <c r="C41" s="21"/>
      <c r="D41" s="22"/>
      <c r="E41" s="23"/>
      <c r="F41" s="26"/>
      <c r="G41" s="26"/>
      <c r="H41" s="26"/>
      <c r="I41" s="26"/>
      <c r="J41" s="26"/>
      <c r="K41" s="26"/>
      <c r="L41" s="26"/>
      <c r="M41" s="26"/>
      <c r="N41" s="20"/>
      <c r="O41" s="25"/>
      <c r="P41" s="21"/>
      <c r="Q41" s="21"/>
      <c r="R41" s="25"/>
    </row>
    <row r="42" spans="2:22" x14ac:dyDescent="0.25">
      <c r="B42" s="26"/>
      <c r="C42" s="21"/>
      <c r="D42" s="22"/>
      <c r="E42" s="23"/>
      <c r="F42" s="26"/>
      <c r="G42" s="26"/>
      <c r="H42" s="26"/>
      <c r="I42" s="26"/>
      <c r="J42" s="26"/>
      <c r="K42" s="26"/>
      <c r="L42" s="26"/>
      <c r="M42" s="26"/>
      <c r="N42" s="20"/>
      <c r="O42" s="25"/>
      <c r="P42" s="21"/>
      <c r="Q42" s="21"/>
      <c r="R42" s="25"/>
    </row>
    <row r="43" spans="2:22" x14ac:dyDescent="0.25">
      <c r="B43" s="26"/>
      <c r="C43" s="21"/>
      <c r="D43" s="22"/>
      <c r="E43" s="23"/>
      <c r="F43" s="26"/>
      <c r="G43" s="26"/>
      <c r="H43" s="26"/>
      <c r="I43" s="26"/>
      <c r="J43" s="26"/>
      <c r="K43" s="26"/>
      <c r="L43" s="26"/>
      <c r="M43" s="26"/>
      <c r="N43" s="20"/>
      <c r="O43" s="25"/>
      <c r="P43" s="21"/>
      <c r="Q43" s="21"/>
      <c r="R43" s="25"/>
    </row>
    <row r="44" spans="2:22" x14ac:dyDescent="0.25">
      <c r="B44" s="26"/>
      <c r="C44" s="21"/>
      <c r="D44" s="22"/>
      <c r="E44" s="23"/>
      <c r="F44" s="26"/>
      <c r="G44" s="26"/>
      <c r="H44" s="26"/>
      <c r="I44" s="26"/>
      <c r="J44" s="26"/>
      <c r="K44" s="26"/>
      <c r="L44" s="26"/>
      <c r="M44" s="26"/>
      <c r="N44" s="20"/>
      <c r="O44" s="25"/>
      <c r="P44" s="21"/>
      <c r="Q44" s="21"/>
      <c r="R44" s="25"/>
    </row>
    <row r="45" spans="2:22" x14ac:dyDescent="0.25">
      <c r="B45" s="26"/>
      <c r="C45" s="21"/>
      <c r="D45" s="22"/>
      <c r="E45" s="23"/>
      <c r="F45" s="26"/>
      <c r="G45" s="26"/>
      <c r="H45" s="26"/>
      <c r="I45" s="26"/>
      <c r="J45" s="26"/>
      <c r="K45" s="26"/>
      <c r="L45" s="26"/>
      <c r="M45" s="26"/>
      <c r="N45" s="20"/>
      <c r="O45" s="25"/>
      <c r="P45" s="21"/>
      <c r="Q45" s="21"/>
      <c r="R45" s="25"/>
    </row>
    <row r="46" spans="2:22" x14ac:dyDescent="0.25">
      <c r="B46" s="26"/>
      <c r="C46" s="21"/>
      <c r="D46" s="22"/>
      <c r="E46" s="23"/>
      <c r="F46" s="26"/>
      <c r="G46" s="26"/>
      <c r="H46" s="26"/>
      <c r="I46" s="26"/>
      <c r="J46" s="26"/>
      <c r="K46" s="26"/>
      <c r="L46" s="26"/>
      <c r="M46" s="26"/>
      <c r="N46" s="20"/>
      <c r="O46" s="25"/>
      <c r="P46" s="21"/>
      <c r="Q46" s="21"/>
      <c r="R46" s="25"/>
    </row>
    <row r="47" spans="2:22" x14ac:dyDescent="0.25">
      <c r="B47" s="26"/>
      <c r="C47" s="21"/>
      <c r="D47" s="22"/>
      <c r="E47" s="23"/>
      <c r="F47" s="26"/>
      <c r="G47" s="26"/>
      <c r="H47" s="26"/>
      <c r="I47" s="26"/>
      <c r="J47" s="26"/>
      <c r="K47" s="26"/>
      <c r="L47" s="26"/>
      <c r="M47" s="26"/>
      <c r="N47" s="20"/>
      <c r="O47" s="25"/>
      <c r="P47" s="21"/>
      <c r="Q47" s="21"/>
      <c r="R47" s="25"/>
    </row>
    <row r="48" spans="2:22" x14ac:dyDescent="0.25">
      <c r="B48" s="26"/>
      <c r="C48" s="21"/>
      <c r="D48" s="22"/>
      <c r="E48" s="23"/>
      <c r="F48" s="26"/>
      <c r="G48" s="26"/>
      <c r="H48" s="26"/>
      <c r="I48" s="26"/>
      <c r="J48" s="26"/>
      <c r="K48" s="26"/>
      <c r="L48" s="26"/>
      <c r="M48" s="26"/>
      <c r="N48" s="20"/>
      <c r="O48" s="25"/>
      <c r="P48" s="21"/>
      <c r="Q48" s="21"/>
      <c r="R48" s="25"/>
    </row>
    <row r="49" spans="1:18" x14ac:dyDescent="0.25">
      <c r="B49" s="26"/>
      <c r="C49" s="21"/>
      <c r="D49" s="22"/>
      <c r="E49" s="23"/>
      <c r="F49" s="26"/>
      <c r="G49" s="26"/>
      <c r="H49" s="26"/>
      <c r="I49" s="26"/>
      <c r="J49" s="26"/>
      <c r="K49" s="26"/>
      <c r="L49" s="26"/>
      <c r="M49" s="26"/>
      <c r="N49" s="20"/>
      <c r="O49" s="25"/>
      <c r="P49" s="21"/>
      <c r="Q49" s="21"/>
      <c r="R49" s="25"/>
    </row>
    <row r="50" spans="1:18" ht="15.75" thickBot="1" x14ac:dyDescent="0.3">
      <c r="B50" s="26"/>
      <c r="C50" s="21"/>
      <c r="D50" s="22"/>
      <c r="E50" s="23"/>
      <c r="F50" s="26"/>
      <c r="G50" s="26"/>
      <c r="H50" s="26"/>
      <c r="I50" s="26"/>
      <c r="Q50" s="21"/>
    </row>
    <row r="51" spans="1:18" ht="22.35" customHeight="1" thickBot="1" x14ac:dyDescent="0.3">
      <c r="B51" s="282" t="s">
        <v>85</v>
      </c>
      <c r="C51" s="283"/>
      <c r="D51" s="284"/>
      <c r="F51" s="282" t="s">
        <v>100</v>
      </c>
      <c r="G51" s="283"/>
      <c r="H51" s="284"/>
    </row>
    <row r="52" spans="1:18" ht="15.6" customHeight="1" x14ac:dyDescent="0.25">
      <c r="B52" s="285" t="s">
        <v>83</v>
      </c>
      <c r="C52" s="286"/>
      <c r="D52" s="28" t="s">
        <v>35</v>
      </c>
      <c r="F52" s="285" t="s">
        <v>83</v>
      </c>
      <c r="G52" s="286"/>
      <c r="H52" s="28" t="s">
        <v>35</v>
      </c>
    </row>
    <row r="53" spans="1:18" x14ac:dyDescent="0.25">
      <c r="B53" s="29" t="s">
        <v>41</v>
      </c>
      <c r="C53" s="30"/>
      <c r="D53" s="31">
        <f>COUNTIFS(Apr[Witnessed
Fall?],$B53)</f>
        <v>0</v>
      </c>
      <c r="F53" s="29" t="s">
        <v>79</v>
      </c>
      <c r="G53" s="30"/>
      <c r="H53" s="31">
        <f>COUNTIFS(Apr[Fall Circumstances],$F53)</f>
        <v>0</v>
      </c>
    </row>
    <row r="54" spans="1:18" ht="15.75" thickBot="1" x14ac:dyDescent="0.3">
      <c r="B54" s="32" t="s">
        <v>42</v>
      </c>
      <c r="C54" s="33"/>
      <c r="D54" s="34">
        <f>COUNTIFS(Apr[Witnessed
Fall?],$B54)</f>
        <v>0</v>
      </c>
      <c r="F54" s="29" t="s">
        <v>101</v>
      </c>
      <c r="G54" s="30"/>
      <c r="H54" s="31">
        <f>COUNTIFS(Apr[Fall Circumstances],$F54)</f>
        <v>0</v>
      </c>
    </row>
    <row r="55" spans="1:18" ht="15.6" customHeight="1" thickBot="1" x14ac:dyDescent="0.3">
      <c r="B55" s="287" t="s">
        <v>16</v>
      </c>
      <c r="C55" s="288"/>
      <c r="D55" s="35">
        <f>SUM(D53:D54)</f>
        <v>0</v>
      </c>
      <c r="F55" s="32" t="s">
        <v>102</v>
      </c>
      <c r="G55" s="33"/>
      <c r="H55" s="36">
        <f>COUNTIFS(Apr[Fall Circumstances],$F55)</f>
        <v>0</v>
      </c>
    </row>
    <row r="56" spans="1:18" ht="15.6" customHeight="1" thickBot="1" x14ac:dyDescent="0.3">
      <c r="A56" s="26"/>
      <c r="B56" s="21"/>
      <c r="C56" s="22"/>
      <c r="D56" s="26"/>
      <c r="F56" s="287" t="s">
        <v>16</v>
      </c>
      <c r="G56" s="288"/>
      <c r="H56" s="37">
        <f>SUM(H53:H55)</f>
        <v>0</v>
      </c>
    </row>
    <row r="57" spans="1:18" ht="15.75" thickBot="1" x14ac:dyDescent="0.3">
      <c r="A57" s="26"/>
      <c r="B57" s="21"/>
      <c r="C57" s="22"/>
      <c r="D57" s="26"/>
      <c r="F57" s="26"/>
      <c r="G57" s="21"/>
      <c r="H57" s="22"/>
      <c r="L57" s="21"/>
      <c r="O57" s="22"/>
    </row>
    <row r="58" spans="1:18" ht="15.75" thickBot="1" x14ac:dyDescent="0.3">
      <c r="A58" s="26"/>
      <c r="B58" s="21"/>
      <c r="C58" s="22"/>
      <c r="D58" s="26"/>
      <c r="F58" s="282" t="s">
        <v>103</v>
      </c>
      <c r="G58" s="283"/>
      <c r="H58" s="284"/>
      <c r="L58" s="21"/>
      <c r="O58" s="22"/>
    </row>
    <row r="59" spans="1:18" x14ac:dyDescent="0.25">
      <c r="A59" s="26"/>
      <c r="B59" s="21"/>
      <c r="C59" s="22"/>
      <c r="D59" s="26"/>
      <c r="F59" s="285" t="s">
        <v>26</v>
      </c>
      <c r="G59" s="286"/>
      <c r="H59" s="28" t="s">
        <v>35</v>
      </c>
      <c r="L59" s="21"/>
      <c r="O59" s="22"/>
    </row>
    <row r="60" spans="1:18" ht="15.6" customHeight="1" x14ac:dyDescent="0.25">
      <c r="F60" s="29" t="s">
        <v>142</v>
      </c>
      <c r="G60" s="30"/>
      <c r="H60" s="31">
        <f>COUNTIFS(Apr[Cognitive Impairment],$F60)</f>
        <v>0</v>
      </c>
    </row>
    <row r="61" spans="1:18" x14ac:dyDescent="0.25">
      <c r="F61" s="29" t="s">
        <v>143</v>
      </c>
      <c r="G61" s="30"/>
      <c r="H61" s="31">
        <f>COUNTIFS(Apr[Cognitive Impairment],$F61)</f>
        <v>0</v>
      </c>
    </row>
    <row r="62" spans="1:18" ht="15.75" thickBot="1" x14ac:dyDescent="0.3">
      <c r="F62" s="32" t="s">
        <v>144</v>
      </c>
      <c r="G62" s="33"/>
      <c r="H62" s="31">
        <f>COUNTIFS(Apr[Cognitive Impairment],$F62)</f>
        <v>0</v>
      </c>
    </row>
    <row r="63" spans="1:18" ht="15.75" thickBot="1" x14ac:dyDescent="0.3">
      <c r="F63" s="287" t="s">
        <v>16</v>
      </c>
      <c r="G63" s="288"/>
      <c r="H63" s="37">
        <f>SUM(H60:H62)</f>
        <v>0</v>
      </c>
    </row>
    <row r="64" spans="1:18" ht="15.75" thickBot="1" x14ac:dyDescent="0.3"/>
    <row r="65" spans="1:8" ht="21.4" customHeight="1" thickBot="1" x14ac:dyDescent="0.3">
      <c r="B65" s="282" t="s">
        <v>78</v>
      </c>
      <c r="C65" s="283"/>
      <c r="D65" s="283"/>
      <c r="E65" s="283"/>
      <c r="F65" s="283"/>
      <c r="G65" s="284"/>
    </row>
    <row r="66" spans="1:8" ht="15.6" customHeight="1" x14ac:dyDescent="0.25">
      <c r="A66" s="38"/>
      <c r="B66" s="290" t="s">
        <v>86</v>
      </c>
      <c r="C66" s="291"/>
      <c r="D66" s="291"/>
      <c r="E66" s="291"/>
      <c r="F66" s="292"/>
      <c r="G66" s="28" t="s">
        <v>35</v>
      </c>
    </row>
    <row r="67" spans="1:8" x14ac:dyDescent="0.25">
      <c r="A67" s="38"/>
      <c r="B67" s="39" t="str" cm="1">
        <f t="array" ref="B67:B90">IF(_xlfn._xlws.SORT(PriortoFall[What was the resident doing prior to fall?],1,1,TRUE)=0,"",(_xlfn._xlws.SORT(PriortoFall[What was the resident doing prior to fall?],1,1,TRUE)))</f>
        <v>Ambulating with assistive device (walker, cane, wheelchair)</v>
      </c>
      <c r="C67" s="40"/>
      <c r="D67" s="40"/>
      <c r="E67" s="40"/>
      <c r="F67" s="41"/>
      <c r="G67" s="42">
        <f>IF($B67="",NA(),COUNTIFS(Apr[What was resident doing prior to fall?],$B67))</f>
        <v>0</v>
      </c>
      <c r="H67" s="43"/>
    </row>
    <row r="68" spans="1:8" x14ac:dyDescent="0.25">
      <c r="A68" s="38"/>
      <c r="B68" s="44" t="str">
        <v>Ambulating with staff assistance</v>
      </c>
      <c r="C68" s="45"/>
      <c r="D68" s="45"/>
      <c r="E68" s="45"/>
      <c r="F68" s="46"/>
      <c r="G68" s="42">
        <f>IF($B68="",NA(),COUNTIFS(Apr[What was resident doing prior to fall?],$B68))</f>
        <v>0</v>
      </c>
    </row>
    <row r="69" spans="1:8" x14ac:dyDescent="0.25">
      <c r="A69" s="38"/>
      <c r="B69" s="39" t="str">
        <v>Ambulating without assistance or assistive device</v>
      </c>
      <c r="C69" s="40"/>
      <c r="D69" s="40"/>
      <c r="E69" s="40"/>
      <c r="F69" s="41"/>
      <c r="G69" s="42">
        <f>IF($B69="",NA(),COUNTIFS(Apr[What was resident doing prior to fall?],$B69))</f>
        <v>0</v>
      </c>
    </row>
    <row r="70" spans="1:8" x14ac:dyDescent="0.25">
      <c r="A70" s="38"/>
      <c r="B70" s="44" t="str">
        <v>Changing position (e.g., in bed, chair)</v>
      </c>
      <c r="C70" s="45"/>
      <c r="D70" s="45"/>
      <c r="E70" s="45"/>
      <c r="F70" s="46"/>
      <c r="G70" s="42">
        <f>IF($B70="",NA(),COUNTIFS(Apr[What was resident doing prior to fall?],$B70))</f>
        <v>0</v>
      </c>
    </row>
    <row r="71" spans="1:8" x14ac:dyDescent="0.25">
      <c r="A71" s="38"/>
      <c r="B71" s="44" t="str">
        <v>Dressing or undressing</v>
      </c>
      <c r="C71" s="45"/>
      <c r="D71" s="45"/>
      <c r="E71" s="45"/>
      <c r="F71" s="46"/>
      <c r="G71" s="42">
        <f>IF($B71="",NA(),COUNTIFS(Apr[What was resident doing prior to fall?],$B71))</f>
        <v>0</v>
      </c>
    </row>
    <row r="72" spans="1:8" x14ac:dyDescent="0.25">
      <c r="A72" s="38"/>
      <c r="B72" s="44" t="str">
        <v>Other activity</v>
      </c>
      <c r="C72" s="45"/>
      <c r="D72" s="45"/>
      <c r="E72" s="45"/>
      <c r="F72" s="46"/>
      <c r="G72" s="42">
        <f>IF($B72="",NA(),COUNTIFS(Apr[What was resident doing prior to fall?],$B72))</f>
        <v>0</v>
      </c>
    </row>
    <row r="73" spans="1:8" x14ac:dyDescent="0.25">
      <c r="A73" s="38"/>
      <c r="B73" s="44" t="str">
        <v>Reaching for an item</v>
      </c>
      <c r="C73" s="45"/>
      <c r="D73" s="45"/>
      <c r="E73" s="45"/>
      <c r="F73" s="46"/>
      <c r="G73" s="42">
        <f>IF($B73="",NA(),COUNTIFS(Apr[What was resident doing prior to fall?],$B73))</f>
        <v>0</v>
      </c>
    </row>
    <row r="74" spans="1:8" x14ac:dyDescent="0.25">
      <c r="A74" s="38"/>
      <c r="B74" s="44" t="str">
        <v>Showering or bathing</v>
      </c>
      <c r="C74" s="45"/>
      <c r="D74" s="45"/>
      <c r="E74" s="45"/>
      <c r="F74" s="46"/>
      <c r="G74" s="42">
        <f>IF($B74="",NA(),COUNTIFS(Apr[What was resident doing prior to fall?],$B74))</f>
        <v>0</v>
      </c>
    </row>
    <row r="75" spans="1:8" x14ac:dyDescent="0.25">
      <c r="A75" s="38"/>
      <c r="B75" s="44" t="str">
        <v>Toileting</v>
      </c>
      <c r="C75" s="45"/>
      <c r="D75" s="45"/>
      <c r="E75" s="45"/>
      <c r="F75" s="46"/>
      <c r="G75" s="42">
        <f>IF($B75="",NA(),COUNTIFS(Apr[What was resident doing prior to fall?],$B75))</f>
        <v>0</v>
      </c>
    </row>
    <row r="76" spans="1:8" x14ac:dyDescent="0.25">
      <c r="A76" s="38"/>
      <c r="B76" s="44" t="str">
        <v>Transferring to or from bed, chair, wheelchair, etc.</v>
      </c>
      <c r="C76" s="45"/>
      <c r="D76" s="45"/>
      <c r="E76" s="45"/>
      <c r="F76" s="46"/>
      <c r="G76" s="42">
        <f>IF($B76="",NA(),COUNTIFS(Apr[What was resident doing prior to fall?],$B76))</f>
        <v>0</v>
      </c>
    </row>
    <row r="77" spans="1:8" x14ac:dyDescent="0.25">
      <c r="A77" s="38"/>
      <c r="B77" s="39" t="str">
        <v>Unknown</v>
      </c>
      <c r="C77" s="40"/>
      <c r="D77" s="40"/>
      <c r="E77" s="40"/>
      <c r="F77" s="41"/>
      <c r="G77" s="42">
        <f>IF($B77="",NA(),COUNTIFS(Apr[What was resident doing prior to fall?],$B77))</f>
        <v>0</v>
      </c>
    </row>
    <row r="78" spans="1:8" x14ac:dyDescent="0.25">
      <c r="A78" s="38"/>
      <c r="B78" s="44" t="str">
        <v/>
      </c>
      <c r="C78" s="45"/>
      <c r="D78" s="45"/>
      <c r="E78" s="45"/>
      <c r="F78" s="46"/>
      <c r="G78" s="42" t="e">
        <f>IF($B78="",NA(),COUNTIFS(Apr[What was resident doing prior to fall?],$B78))</f>
        <v>#N/A</v>
      </c>
    </row>
    <row r="79" spans="1:8" x14ac:dyDescent="0.25">
      <c r="A79" s="38"/>
      <c r="B79" s="39" t="str">
        <v/>
      </c>
      <c r="C79" s="40"/>
      <c r="D79" s="40"/>
      <c r="E79" s="40"/>
      <c r="F79" s="41"/>
      <c r="G79" s="42" t="e">
        <f>IF($B79="",NA(),COUNTIFS(Apr[What was resident doing prior to fall?],$B79))</f>
        <v>#N/A</v>
      </c>
    </row>
    <row r="80" spans="1:8" x14ac:dyDescent="0.25">
      <c r="A80" s="38"/>
      <c r="B80" s="44" t="str">
        <v/>
      </c>
      <c r="C80" s="45"/>
      <c r="D80" s="45"/>
      <c r="E80" s="45"/>
      <c r="F80" s="46"/>
      <c r="G80" s="42" t="e">
        <f>IF($B80="",NA(),COUNTIFS(Apr[What was resident doing prior to fall?],$B80))</f>
        <v>#N/A</v>
      </c>
    </row>
    <row r="81" spans="1:7" x14ac:dyDescent="0.25">
      <c r="A81" s="38"/>
      <c r="B81" s="39" t="str">
        <v/>
      </c>
      <c r="C81" s="40"/>
      <c r="D81" s="40"/>
      <c r="E81" s="40"/>
      <c r="F81" s="41"/>
      <c r="G81" s="42" t="e">
        <f>IF($B81="",NA(),COUNTIFS(Apr[What was resident doing prior to fall?],$B81))</f>
        <v>#N/A</v>
      </c>
    </row>
    <row r="82" spans="1:7" x14ac:dyDescent="0.25">
      <c r="A82" s="38"/>
      <c r="B82" s="44" t="str">
        <v/>
      </c>
      <c r="C82" s="45"/>
      <c r="D82" s="45"/>
      <c r="E82" s="45"/>
      <c r="F82" s="46"/>
      <c r="G82" s="42" t="e">
        <f>IF($B82="",NA(),COUNTIFS(Apr[What was resident doing prior to fall?],$B82))</f>
        <v>#N/A</v>
      </c>
    </row>
    <row r="83" spans="1:7" x14ac:dyDescent="0.25">
      <c r="A83" s="38"/>
      <c r="B83" s="39" t="str">
        <v/>
      </c>
      <c r="C83" s="40"/>
      <c r="D83" s="40"/>
      <c r="E83" s="40"/>
      <c r="F83" s="41"/>
      <c r="G83" s="42" t="e">
        <f>IF($B83="",NA(),COUNTIFS(Apr[What was resident doing prior to fall?],$B83))</f>
        <v>#N/A</v>
      </c>
    </row>
    <row r="84" spans="1:7" x14ac:dyDescent="0.25">
      <c r="A84" s="38"/>
      <c r="B84" s="44" t="str">
        <v/>
      </c>
      <c r="C84" s="45"/>
      <c r="D84" s="45"/>
      <c r="E84" s="45"/>
      <c r="F84" s="46"/>
      <c r="G84" s="42" t="e">
        <f>IF($B84="",NA(),COUNTIFS(Apr[What was resident doing prior to fall?],$B84))</f>
        <v>#N/A</v>
      </c>
    </row>
    <row r="85" spans="1:7" x14ac:dyDescent="0.25">
      <c r="A85" s="38"/>
      <c r="B85" s="44" t="str">
        <v/>
      </c>
      <c r="C85" s="45"/>
      <c r="D85" s="45"/>
      <c r="E85" s="45"/>
      <c r="F85" s="46"/>
      <c r="G85" s="42" t="e">
        <f>IF($B85="",NA(),COUNTIFS(Apr[What was resident doing prior to fall?],$B85))</f>
        <v>#N/A</v>
      </c>
    </row>
    <row r="86" spans="1:7" x14ac:dyDescent="0.25">
      <c r="A86" s="38"/>
      <c r="B86" s="39" t="str">
        <v/>
      </c>
      <c r="C86" s="40"/>
      <c r="D86" s="40"/>
      <c r="E86" s="40"/>
      <c r="F86" s="41"/>
      <c r="G86" s="42" t="e">
        <f>IF($B86="",NA(),COUNTIFS(Apr[What was resident doing prior to fall?],$B86))</f>
        <v>#N/A</v>
      </c>
    </row>
    <row r="87" spans="1:7" x14ac:dyDescent="0.25">
      <c r="A87" s="38"/>
      <c r="B87" s="44" t="str">
        <v/>
      </c>
      <c r="C87" s="45"/>
      <c r="D87" s="45"/>
      <c r="E87" s="45"/>
      <c r="F87" s="46"/>
      <c r="G87" s="42" t="e">
        <f>IF($B87="",NA(),COUNTIFS(Apr[What was resident doing prior to fall?],$B87))</f>
        <v>#N/A</v>
      </c>
    </row>
    <row r="88" spans="1:7" x14ac:dyDescent="0.25">
      <c r="A88" s="38"/>
      <c r="B88" s="39" t="str">
        <v/>
      </c>
      <c r="C88" s="40"/>
      <c r="D88" s="40"/>
      <c r="E88" s="40"/>
      <c r="F88" s="41"/>
      <c r="G88" s="42" t="e">
        <f>IF($B88="",NA(),COUNTIFS(Apr[What was resident doing prior to fall?],$B88))</f>
        <v>#N/A</v>
      </c>
    </row>
    <row r="89" spans="1:7" x14ac:dyDescent="0.25">
      <c r="A89" s="38"/>
      <c r="B89" s="44" t="str">
        <v/>
      </c>
      <c r="C89" s="45"/>
      <c r="D89" s="45"/>
      <c r="E89" s="45"/>
      <c r="F89" s="46"/>
      <c r="G89" s="42" t="e">
        <f>IF($B89="",NA(),COUNTIFS(Apr[What was resident doing prior to fall?],$B89))</f>
        <v>#N/A</v>
      </c>
    </row>
    <row r="90" spans="1:7" ht="15.75" thickBot="1" x14ac:dyDescent="0.3">
      <c r="A90" s="38"/>
      <c r="B90" s="47" t="str">
        <v/>
      </c>
      <c r="C90" s="47"/>
      <c r="D90" s="47"/>
      <c r="E90" s="47"/>
      <c r="F90" s="48"/>
      <c r="G90" s="42" t="e">
        <f>IF($B90="",NA(),COUNTIFS(Apr[What was resident doing prior to fall?],$B90))</f>
        <v>#N/A</v>
      </c>
    </row>
    <row r="91" spans="1:7" ht="15.6" customHeight="1" thickBot="1" x14ac:dyDescent="0.3">
      <c r="B91" s="287" t="s">
        <v>35</v>
      </c>
      <c r="C91" s="288"/>
      <c r="D91" s="288"/>
      <c r="E91" s="288"/>
      <c r="F91" s="289"/>
      <c r="G91" s="37">
        <f>_xlfn.AGGREGATE(9,6,G67:G90)</f>
        <v>0</v>
      </c>
    </row>
    <row r="92" spans="1:7" ht="15.75" thickBot="1" x14ac:dyDescent="0.3"/>
    <row r="93" spans="1:7" ht="22.35" customHeight="1" thickBot="1" x14ac:dyDescent="0.3">
      <c r="B93" s="295" t="s">
        <v>173</v>
      </c>
      <c r="C93" s="296"/>
      <c r="D93" s="297"/>
    </row>
    <row r="94" spans="1:7" x14ac:dyDescent="0.25">
      <c r="A94" s="38"/>
      <c r="B94" s="300" t="s">
        <v>1</v>
      </c>
      <c r="C94" s="301"/>
      <c r="D94" s="49" t="s">
        <v>35</v>
      </c>
    </row>
    <row r="95" spans="1:7" x14ac:dyDescent="0.25">
      <c r="A95" s="38"/>
      <c r="B95" s="50" t="str" cm="1">
        <f t="array" ref="B95:B105">IF(_xlfn._xlws.SORT(Location[Location],1,1,TRUE)=0,"",(_xlfn._xlws.SORT(Location[Location],1,1,TRUE)))</f>
        <v>Activity Room</v>
      </c>
      <c r="C95" s="51"/>
      <c r="D95" s="52">
        <f>IF($B95="",NA(),COUNTIFS(Apr[Location],$B95))</f>
        <v>0</v>
      </c>
    </row>
    <row r="96" spans="1:7" x14ac:dyDescent="0.25">
      <c r="A96" s="38"/>
      <c r="B96" s="50" t="str">
        <v>Bedroom</v>
      </c>
      <c r="C96" s="51"/>
      <c r="D96" s="52">
        <f>IF($B96="",NA(),COUNTIFS(Apr[Location],$B96))</f>
        <v>0</v>
      </c>
    </row>
    <row r="97" spans="1:4" x14ac:dyDescent="0.25">
      <c r="A97" s="38"/>
      <c r="B97" s="50" t="str">
        <v>Bathroom</v>
      </c>
      <c r="C97" s="51"/>
      <c r="D97" s="52">
        <f>IF($B97="",NA(),COUNTIFS(Apr[Location],$B97))</f>
        <v>0</v>
      </c>
    </row>
    <row r="98" spans="1:4" x14ac:dyDescent="0.25">
      <c r="A98" s="38"/>
      <c r="B98" s="50" t="str">
        <v>Hallway</v>
      </c>
      <c r="C98" s="51"/>
      <c r="D98" s="52">
        <f>IF($B98="",NA(),COUNTIFS(Apr[Location],$B98))</f>
        <v>0</v>
      </c>
    </row>
    <row r="99" spans="1:4" x14ac:dyDescent="0.25">
      <c r="A99" s="38"/>
      <c r="B99" s="50" t="str">
        <v>Offsite</v>
      </c>
      <c r="C99" s="51"/>
      <c r="D99" s="52">
        <f>IF($B99="",NA(),COUNTIFS(Apr[Location],$B99))</f>
        <v>0</v>
      </c>
    </row>
    <row r="100" spans="1:4" x14ac:dyDescent="0.25">
      <c r="A100" s="38"/>
      <c r="B100" s="53" t="str">
        <v>Shower Room</v>
      </c>
      <c r="C100" s="54"/>
      <c r="D100" s="52">
        <f>IF($B100="",NA(),COUNTIFS(Apr[Location],$B100))</f>
        <v>0</v>
      </c>
    </row>
    <row r="101" spans="1:4" x14ac:dyDescent="0.25">
      <c r="A101" s="38"/>
      <c r="B101" s="55" t="str">
        <v>Dining Room</v>
      </c>
      <c r="C101" s="56"/>
      <c r="D101" s="52">
        <f>IF($B101="",NA(),COUNTIFS(Apr[Location],$B101))</f>
        <v>0</v>
      </c>
    </row>
    <row r="102" spans="1:4" x14ac:dyDescent="0.25">
      <c r="A102" s="38"/>
      <c r="B102" s="57" t="str">
        <v/>
      </c>
      <c r="C102" s="58"/>
      <c r="D102" s="52" t="e">
        <f>IF($B102="",NA(),COUNTIFS(Apr[Location],$B102))</f>
        <v>#N/A</v>
      </c>
    </row>
    <row r="103" spans="1:4" x14ac:dyDescent="0.25">
      <c r="A103" s="38"/>
      <c r="B103" s="59" t="str">
        <v/>
      </c>
      <c r="C103" s="51"/>
      <c r="D103" s="52" t="e">
        <f>IF($B103="",NA(),COUNTIFS(Apr[Location],$B103))</f>
        <v>#N/A</v>
      </c>
    </row>
    <row r="104" spans="1:4" x14ac:dyDescent="0.25">
      <c r="A104" s="38"/>
      <c r="B104" s="53" t="str">
        <v/>
      </c>
      <c r="C104" s="60"/>
      <c r="D104" s="52" t="e">
        <f>IF($B104="",NA(),COUNTIFS(Apr[Location],$B104))</f>
        <v>#N/A</v>
      </c>
    </row>
    <row r="105" spans="1:4" ht="15.75" thickBot="1" x14ac:dyDescent="0.3">
      <c r="A105" s="38"/>
      <c r="B105" s="59" t="str">
        <v/>
      </c>
      <c r="C105" s="61"/>
      <c r="D105" s="52" t="e">
        <f>IF($B105="",NA(),COUNTIFS(Apr[Location],$B105))</f>
        <v>#N/A</v>
      </c>
    </row>
    <row r="106" spans="1:4" ht="15.75" thickBot="1" x14ac:dyDescent="0.3">
      <c r="B106" s="298" t="s">
        <v>16</v>
      </c>
      <c r="C106" s="299"/>
      <c r="D106" s="37">
        <f>_xlfn.AGGREGATE(9,6,D95:D105)</f>
        <v>0</v>
      </c>
    </row>
    <row r="107" spans="1:4" ht="15.75" thickBot="1" x14ac:dyDescent="0.3"/>
    <row r="108" spans="1:4" ht="21.4" customHeight="1" thickBot="1" x14ac:dyDescent="0.3">
      <c r="B108" s="282" t="str">
        <f>"Falls by Nursing Station "</f>
        <v xml:space="preserve">Falls by Nursing Station </v>
      </c>
      <c r="C108" s="283"/>
      <c r="D108" s="284"/>
    </row>
    <row r="109" spans="1:4" ht="15.75" x14ac:dyDescent="0.25">
      <c r="B109" s="293" t="s">
        <v>2</v>
      </c>
      <c r="C109" s="293"/>
      <c r="D109" s="28" t="s">
        <v>35</v>
      </c>
    </row>
    <row r="110" spans="1:4" x14ac:dyDescent="0.25">
      <c r="B110" s="62" cm="1">
        <f t="array" ref="B110:B120">IF(_xlfn._xlws.SORT(NS[Nurses Stations],1,1,TRUE)=0,"",(_xlfn._xlws.SORT(NS[Nurses Stations],1,1,TRUE)))</f>
        <v>1</v>
      </c>
      <c r="C110" s="63"/>
      <c r="D110" s="31">
        <f>IF($B110="",NA(),COUNTIFS(Apr[Station],$B110))</f>
        <v>0</v>
      </c>
    </row>
    <row r="111" spans="1:4" x14ac:dyDescent="0.25">
      <c r="B111" s="62">
        <v>2</v>
      </c>
      <c r="C111" s="63"/>
      <c r="D111" s="31">
        <f>IF($B111="",NA(),COUNTIFS(Apr[Station],$B111))</f>
        <v>0</v>
      </c>
    </row>
    <row r="112" spans="1:4" x14ac:dyDescent="0.25">
      <c r="B112" s="62">
        <v>3</v>
      </c>
      <c r="C112" s="63"/>
      <c r="D112" s="31">
        <f>IF($B112="",NA(),COUNTIFS(Apr[Station],$B112))</f>
        <v>0</v>
      </c>
    </row>
    <row r="113" spans="2:4" x14ac:dyDescent="0.25">
      <c r="B113" s="62">
        <v>4</v>
      </c>
      <c r="C113" s="63"/>
      <c r="D113" s="31">
        <f>IF($B113="",NA(),COUNTIFS(Apr[Station],$B113))</f>
        <v>0</v>
      </c>
    </row>
    <row r="114" spans="2:4" x14ac:dyDescent="0.25">
      <c r="B114" s="62">
        <v>5</v>
      </c>
      <c r="C114" s="63"/>
      <c r="D114" s="31">
        <f>IF($B114="",NA(),COUNTIFS(Apr[Station],$B114))</f>
        <v>0</v>
      </c>
    </row>
    <row r="115" spans="2:4" x14ac:dyDescent="0.25">
      <c r="B115" s="62" t="str">
        <v/>
      </c>
      <c r="C115" s="63"/>
      <c r="D115" s="31" t="e">
        <f>IF($B115="",NA(),COUNTIFS(Apr[Station],$B115))</f>
        <v>#N/A</v>
      </c>
    </row>
    <row r="116" spans="2:4" x14ac:dyDescent="0.25">
      <c r="B116" s="62" t="str">
        <v/>
      </c>
      <c r="C116" s="63"/>
      <c r="D116" s="31" t="e">
        <f>IF($B116="",NA(),COUNTIFS(Apr[Station],$B116))</f>
        <v>#N/A</v>
      </c>
    </row>
    <row r="117" spans="2:4" x14ac:dyDescent="0.25">
      <c r="B117" s="62" t="str">
        <v/>
      </c>
      <c r="C117" s="63"/>
      <c r="D117" s="31" t="e">
        <f>IF($B117="",NA(),COUNTIFS(Apr[Station],$B117))</f>
        <v>#N/A</v>
      </c>
    </row>
    <row r="118" spans="2:4" x14ac:dyDescent="0.25">
      <c r="B118" s="62" t="str">
        <v/>
      </c>
      <c r="C118" s="63"/>
      <c r="D118" s="31" t="e">
        <f>IF($B118="",NA(),COUNTIFS(Apr[Station],$B118))</f>
        <v>#N/A</v>
      </c>
    </row>
    <row r="119" spans="2:4" x14ac:dyDescent="0.25">
      <c r="B119" s="62" t="str">
        <v/>
      </c>
      <c r="C119" s="63"/>
      <c r="D119" s="31" t="e">
        <f>IF($B119="",NA(),COUNTIFS(Apr[Station],$B119))</f>
        <v>#N/A</v>
      </c>
    </row>
    <row r="120" spans="2:4" ht="15.75" thickBot="1" x14ac:dyDescent="0.3">
      <c r="B120" s="64" t="str">
        <v/>
      </c>
      <c r="C120" s="63"/>
      <c r="D120" s="31" t="e">
        <f>IF($B120="",NA(),COUNTIFS(Apr[Station],$B120))</f>
        <v>#N/A</v>
      </c>
    </row>
    <row r="121" spans="2:4" ht="15.6" customHeight="1" thickBot="1" x14ac:dyDescent="0.3">
      <c r="B121" s="287" t="s">
        <v>16</v>
      </c>
      <c r="C121" s="288"/>
      <c r="D121" s="37">
        <f>_xlfn.AGGREGATE(9,6,D110:D120)</f>
        <v>0</v>
      </c>
    </row>
    <row r="122" spans="2:4" ht="15.6" customHeight="1" thickBot="1" x14ac:dyDescent="0.3">
      <c r="B122" s="65"/>
      <c r="C122" s="66"/>
      <c r="D122" s="67"/>
    </row>
    <row r="123" spans="2:4" ht="21.95" customHeight="1" thickBot="1" x14ac:dyDescent="0.3">
      <c r="B123" s="282" t="str">
        <f>"Falls by Day of the Week "</f>
        <v xml:space="preserve">Falls by Day of the Week </v>
      </c>
      <c r="C123" s="283"/>
      <c r="D123" s="284"/>
    </row>
    <row r="124" spans="2:4" ht="15.75" x14ac:dyDescent="0.25">
      <c r="B124" s="293" t="s">
        <v>3</v>
      </c>
      <c r="C124" s="293"/>
      <c r="D124" s="28" t="s">
        <v>35</v>
      </c>
    </row>
    <row r="125" spans="2:4" x14ac:dyDescent="0.25">
      <c r="B125" s="294" t="s">
        <v>46</v>
      </c>
      <c r="C125" s="294"/>
      <c r="D125" s="31">
        <f>COUNTIFS(Apr[Day],$B125)</f>
        <v>0</v>
      </c>
    </row>
    <row r="126" spans="2:4" x14ac:dyDescent="0.25">
      <c r="B126" s="294" t="s">
        <v>47</v>
      </c>
      <c r="C126" s="294"/>
      <c r="D126" s="31">
        <f>COUNTIFS(Apr[Day],$B126)</f>
        <v>0</v>
      </c>
    </row>
    <row r="127" spans="2:4" x14ac:dyDescent="0.25">
      <c r="B127" s="294" t="s">
        <v>52</v>
      </c>
      <c r="C127" s="294"/>
      <c r="D127" s="31">
        <f>COUNTIFS(Apr[Day],$B127)</f>
        <v>0</v>
      </c>
    </row>
    <row r="128" spans="2:4" x14ac:dyDescent="0.25">
      <c r="B128" s="294" t="s">
        <v>48</v>
      </c>
      <c r="C128" s="294"/>
      <c r="D128" s="31">
        <f>COUNTIFS(Apr[Day],$B128)</f>
        <v>0</v>
      </c>
    </row>
    <row r="129" spans="2:4" x14ac:dyDescent="0.25">
      <c r="B129" s="294" t="s">
        <v>51</v>
      </c>
      <c r="C129" s="294"/>
      <c r="D129" s="31">
        <f>COUNTIFS(Apr[Day],$B129)</f>
        <v>0</v>
      </c>
    </row>
    <row r="130" spans="2:4" x14ac:dyDescent="0.25">
      <c r="B130" s="294" t="s">
        <v>49</v>
      </c>
      <c r="C130" s="294"/>
      <c r="D130" s="31">
        <f>COUNTIFS(Apr[Day],$B130)</f>
        <v>0</v>
      </c>
    </row>
    <row r="131" spans="2:4" ht="15.75" thickBot="1" x14ac:dyDescent="0.3">
      <c r="B131" s="294" t="s">
        <v>50</v>
      </c>
      <c r="C131" s="294"/>
      <c r="D131" s="34">
        <f>COUNTIFS(Apr[Day],$B131)</f>
        <v>0</v>
      </c>
    </row>
    <row r="132" spans="2:4" ht="15.6" customHeight="1" thickBot="1" x14ac:dyDescent="0.3">
      <c r="B132" s="287" t="s">
        <v>16</v>
      </c>
      <c r="C132" s="288"/>
      <c r="D132" s="35">
        <f>SUM(D125:D131)</f>
        <v>0</v>
      </c>
    </row>
    <row r="133" spans="2:4" ht="15.75" thickBot="1" x14ac:dyDescent="0.3"/>
    <row r="134" spans="2:4" ht="21.4" customHeight="1" thickBot="1" x14ac:dyDescent="0.3">
      <c r="B134" s="282" t="str">
        <f>"Falls by Shift"</f>
        <v>Falls by Shift</v>
      </c>
      <c r="C134" s="283"/>
      <c r="D134" s="284"/>
    </row>
    <row r="135" spans="2:4" ht="15.75" x14ac:dyDescent="0.25">
      <c r="B135" s="293" t="s">
        <v>34</v>
      </c>
      <c r="C135" s="293"/>
      <c r="D135" s="28" t="s">
        <v>35</v>
      </c>
    </row>
    <row r="136" spans="2:4" x14ac:dyDescent="0.25">
      <c r="B136" s="29" t="str" cm="1">
        <f t="array" ref="B136:B140">IF(_xlfn._xlws.SORT('Data Validation'!P3:P7,1,1,TRUE)=0,"",(_xlfn._xlws.SORT('Data Validation'!P3:P7,1,1,TRUE)))</f>
        <v>11-7</v>
      </c>
      <c r="C136" s="58"/>
      <c r="D136" s="31">
        <f>IF($B136="",NA(),COUNTIFS(Apr[Shift],$B136))</f>
        <v>0</v>
      </c>
    </row>
    <row r="137" spans="2:4" x14ac:dyDescent="0.25">
      <c r="B137" s="29" t="str">
        <v>11–7</v>
      </c>
      <c r="C137" s="58"/>
      <c r="D137" s="31">
        <f>IF($B137="",NA(),COUNTIFS(Apr[Shift],$B137))</f>
        <v>0</v>
      </c>
    </row>
    <row r="138" spans="2:4" x14ac:dyDescent="0.25">
      <c r="B138" s="29" t="str">
        <v>7–3</v>
      </c>
      <c r="C138" s="58"/>
      <c r="D138" s="31">
        <f>IF($B138="",NA(),COUNTIFS(Apr[Shift],$B138))</f>
        <v>0</v>
      </c>
    </row>
    <row r="139" spans="2:4" x14ac:dyDescent="0.25">
      <c r="B139" s="29" t="str">
        <v>3–11</v>
      </c>
      <c r="C139" s="58"/>
      <c r="D139" s="31">
        <f>IF($B139="",NA(),COUNTIFS(Apr[Shift],$B139))</f>
        <v>0</v>
      </c>
    </row>
    <row r="140" spans="2:4" ht="15.75" thickBot="1" x14ac:dyDescent="0.3">
      <c r="B140" s="29" t="str">
        <v/>
      </c>
      <c r="C140" s="68"/>
      <c r="D140" s="34" t="e">
        <f>IF($B140="",NA(),COUNTIFS(Apr[Shift],$B140))</f>
        <v>#N/A</v>
      </c>
    </row>
    <row r="141" spans="2:4" ht="15.75" thickBot="1" x14ac:dyDescent="0.3">
      <c r="B141" s="287" t="s">
        <v>16</v>
      </c>
      <c r="C141" s="288"/>
      <c r="D141" s="35">
        <f>_xlfn.AGGREGATE(9,6,D136:D140)</f>
        <v>0</v>
      </c>
    </row>
    <row r="142" spans="2:4" ht="15.75" thickBot="1" x14ac:dyDescent="0.3"/>
    <row r="143" spans="2:4" ht="21.4" customHeight="1" thickBot="1" x14ac:dyDescent="0.3">
      <c r="B143" s="282" t="str">
        <f>"Falls by Hour "</f>
        <v xml:space="preserve">Falls by Hour </v>
      </c>
      <c r="C143" s="283"/>
      <c r="D143" s="284"/>
    </row>
    <row r="144" spans="2:4" ht="15.75" x14ac:dyDescent="0.25">
      <c r="B144" s="293" t="s">
        <v>33</v>
      </c>
      <c r="C144" s="293"/>
      <c r="D144" s="28" t="s">
        <v>35</v>
      </c>
    </row>
    <row r="145" spans="2:4" x14ac:dyDescent="0.25">
      <c r="B145" s="294" t="s">
        <v>115</v>
      </c>
      <c r="C145" s="294"/>
      <c r="D145" s="31">
        <f>COUNTIFS(Apr[Hour],$B145)</f>
        <v>0</v>
      </c>
    </row>
    <row r="146" spans="2:4" x14ac:dyDescent="0.25">
      <c r="B146" s="294" t="s">
        <v>116</v>
      </c>
      <c r="C146" s="294"/>
      <c r="D146" s="31">
        <f>COUNTIFS(Apr[Hour],$B146)</f>
        <v>0</v>
      </c>
    </row>
    <row r="147" spans="2:4" x14ac:dyDescent="0.25">
      <c r="B147" s="294" t="s">
        <v>117</v>
      </c>
      <c r="C147" s="294"/>
      <c r="D147" s="31">
        <f>COUNTIFS(Apr[Hour],$B147)</f>
        <v>0</v>
      </c>
    </row>
    <row r="148" spans="2:4" x14ac:dyDescent="0.25">
      <c r="B148" s="294" t="s">
        <v>118</v>
      </c>
      <c r="C148" s="294"/>
      <c r="D148" s="31">
        <f>COUNTIFS(Apr[Hour],$B148)</f>
        <v>0</v>
      </c>
    </row>
    <row r="149" spans="2:4" x14ac:dyDescent="0.25">
      <c r="B149" s="294" t="s">
        <v>119</v>
      </c>
      <c r="C149" s="294"/>
      <c r="D149" s="31">
        <f>COUNTIFS(Apr[Hour],$B149)</f>
        <v>0</v>
      </c>
    </row>
    <row r="150" spans="2:4" x14ac:dyDescent="0.25">
      <c r="B150" s="294" t="s">
        <v>120</v>
      </c>
      <c r="C150" s="294"/>
      <c r="D150" s="31">
        <f>COUNTIFS(Apr[Hour],$B150)</f>
        <v>0</v>
      </c>
    </row>
    <row r="151" spans="2:4" x14ac:dyDescent="0.25">
      <c r="B151" s="294" t="s">
        <v>121</v>
      </c>
      <c r="C151" s="294"/>
      <c r="D151" s="31">
        <f>COUNTIFS(Apr[Hour],$B151)</f>
        <v>0</v>
      </c>
    </row>
    <row r="152" spans="2:4" x14ac:dyDescent="0.25">
      <c r="B152" s="294" t="s">
        <v>122</v>
      </c>
      <c r="C152" s="294"/>
      <c r="D152" s="31">
        <f>COUNTIFS(Apr[Hour],$B152)</f>
        <v>0</v>
      </c>
    </row>
    <row r="153" spans="2:4" x14ac:dyDescent="0.25">
      <c r="B153" s="294" t="s">
        <v>123</v>
      </c>
      <c r="C153" s="294"/>
      <c r="D153" s="31">
        <f>COUNTIFS(Apr[Hour],$B153)</f>
        <v>0</v>
      </c>
    </row>
    <row r="154" spans="2:4" x14ac:dyDescent="0.25">
      <c r="B154" s="294" t="s">
        <v>124</v>
      </c>
      <c r="C154" s="294"/>
      <c r="D154" s="31">
        <f>COUNTIFS(Apr[Hour],$B154)</f>
        <v>0</v>
      </c>
    </row>
    <row r="155" spans="2:4" x14ac:dyDescent="0.25">
      <c r="B155" s="294" t="s">
        <v>125</v>
      </c>
      <c r="C155" s="294"/>
      <c r="D155" s="31">
        <f>COUNTIFS(Apr[Hour],$B155)</f>
        <v>0</v>
      </c>
    </row>
    <row r="156" spans="2:4" x14ac:dyDescent="0.25">
      <c r="B156" s="294" t="s">
        <v>126</v>
      </c>
      <c r="C156" s="294"/>
      <c r="D156" s="31">
        <f>COUNTIFS(Apr[Hour],$B156)</f>
        <v>0</v>
      </c>
    </row>
    <row r="157" spans="2:4" x14ac:dyDescent="0.25">
      <c r="B157" s="294" t="s">
        <v>127</v>
      </c>
      <c r="C157" s="294"/>
      <c r="D157" s="31">
        <f>COUNTIFS(Apr[Hour],$B157)</f>
        <v>0</v>
      </c>
    </row>
    <row r="158" spans="2:4" x14ac:dyDescent="0.25">
      <c r="B158" s="294" t="s">
        <v>128</v>
      </c>
      <c r="C158" s="294"/>
      <c r="D158" s="31">
        <f>COUNTIFS(Apr[Hour],$B158)</f>
        <v>0</v>
      </c>
    </row>
    <row r="159" spans="2:4" x14ac:dyDescent="0.25">
      <c r="B159" s="294" t="s">
        <v>129</v>
      </c>
      <c r="C159" s="294"/>
      <c r="D159" s="31">
        <f>COUNTIFS(Apr[Hour],$B159)</f>
        <v>0</v>
      </c>
    </row>
    <row r="160" spans="2:4" x14ac:dyDescent="0.25">
      <c r="B160" s="294" t="s">
        <v>130</v>
      </c>
      <c r="C160" s="294"/>
      <c r="D160" s="31">
        <f>COUNTIFS(Apr[Hour],$B160)</f>
        <v>0</v>
      </c>
    </row>
    <row r="161" spans="1:8" x14ac:dyDescent="0.25">
      <c r="B161" s="294" t="s">
        <v>131</v>
      </c>
      <c r="C161" s="294"/>
      <c r="D161" s="31">
        <f>COUNTIFS(Apr[Hour],$B161)</f>
        <v>0</v>
      </c>
    </row>
    <row r="162" spans="1:8" x14ac:dyDescent="0.25">
      <c r="B162" s="294" t="s">
        <v>132</v>
      </c>
      <c r="C162" s="294"/>
      <c r="D162" s="31">
        <f>COUNTIFS(Apr[Hour],$B162)</f>
        <v>0</v>
      </c>
    </row>
    <row r="163" spans="1:8" x14ac:dyDescent="0.25">
      <c r="B163" s="294" t="s">
        <v>133</v>
      </c>
      <c r="C163" s="294"/>
      <c r="D163" s="31">
        <f>COUNTIFS(Apr[Hour],$B163)</f>
        <v>0</v>
      </c>
    </row>
    <row r="164" spans="1:8" x14ac:dyDescent="0.25">
      <c r="B164" s="294" t="s">
        <v>134</v>
      </c>
      <c r="C164" s="294"/>
      <c r="D164" s="31">
        <f>COUNTIFS(Apr[Hour],$B164)</f>
        <v>0</v>
      </c>
    </row>
    <row r="165" spans="1:8" x14ac:dyDescent="0.25">
      <c r="B165" s="294" t="s">
        <v>135</v>
      </c>
      <c r="C165" s="294"/>
      <c r="D165" s="31">
        <f>COUNTIFS(Apr[Hour],$B165)</f>
        <v>0</v>
      </c>
    </row>
    <row r="166" spans="1:8" x14ac:dyDescent="0.25">
      <c r="B166" s="294" t="s">
        <v>136</v>
      </c>
      <c r="C166" s="294"/>
      <c r="D166" s="31">
        <f>COUNTIFS(Apr[Hour],$B166)</f>
        <v>0</v>
      </c>
    </row>
    <row r="167" spans="1:8" x14ac:dyDescent="0.25">
      <c r="B167" s="294" t="s">
        <v>137</v>
      </c>
      <c r="C167" s="294"/>
      <c r="D167" s="31">
        <f>COUNTIFS(Apr[Hour],$B167)</f>
        <v>0</v>
      </c>
    </row>
    <row r="168" spans="1:8" ht="15.75" thickBot="1" x14ac:dyDescent="0.3">
      <c r="B168" s="294" t="s">
        <v>138</v>
      </c>
      <c r="C168" s="294"/>
      <c r="D168" s="34">
        <f>COUNTIFS(Apr[Hour],$B168)</f>
        <v>0</v>
      </c>
    </row>
    <row r="169" spans="1:8" ht="15.75" thickBot="1" x14ac:dyDescent="0.3">
      <c r="B169" s="287" t="s">
        <v>35</v>
      </c>
      <c r="C169" s="288"/>
      <c r="D169" s="35">
        <f>SUM(D145:D168)</f>
        <v>0</v>
      </c>
    </row>
    <row r="170" spans="1:8" ht="15.75" thickBot="1" x14ac:dyDescent="0.3"/>
    <row r="171" spans="1:8" ht="21.4" customHeight="1" thickBot="1" x14ac:dyDescent="0.3">
      <c r="B171" s="282" t="str">
        <f>"Falls by Contributing Factors"</f>
        <v>Falls by Contributing Factors</v>
      </c>
      <c r="C171" s="283"/>
      <c r="D171" s="283"/>
      <c r="E171" s="283"/>
      <c r="F171" s="283"/>
      <c r="G171" s="284"/>
    </row>
    <row r="172" spans="1:8" ht="15.6" customHeight="1" x14ac:dyDescent="0.25">
      <c r="A172" s="38"/>
      <c r="B172" s="290" t="s">
        <v>92</v>
      </c>
      <c r="C172" s="291"/>
      <c r="D172" s="291"/>
      <c r="E172" s="291"/>
      <c r="F172" s="292"/>
      <c r="G172" s="28" t="s">
        <v>35</v>
      </c>
    </row>
    <row r="173" spans="1:8" x14ac:dyDescent="0.25">
      <c r="A173" s="38"/>
      <c r="B173" s="44" t="str" cm="1">
        <f t="array" ref="B173:B196">IF(_xlfn._xlws.SORT(CF[Contributing Factors],1,1,TRUE)=0,"",(_xlfn._xlws.SORT(CF[Contributing Factors],1,1,TRUE)))</f>
        <v>Assisted/caregiver transfer</v>
      </c>
      <c r="C173" s="45"/>
      <c r="D173" s="45"/>
      <c r="E173" s="45"/>
      <c r="F173" s="46"/>
      <c r="G173" s="42">
        <f>IF($B173="",NA(),COUNTIFS(Apr[Contributing Factors],$B173))</f>
        <v>0</v>
      </c>
      <c r="H173" s="43"/>
    </row>
    <row r="174" spans="1:8" x14ac:dyDescent="0.25">
      <c r="A174" s="38"/>
      <c r="B174" s="39" t="str">
        <v>Bowel and bladder (B&amp;B) needs</v>
      </c>
      <c r="C174" s="40"/>
      <c r="D174" s="40"/>
      <c r="E174" s="40"/>
      <c r="F174" s="41"/>
      <c r="G174" s="42">
        <f>IF($B174="",NA(),COUNTIFS(Apr[Contributing Factors],$B174))</f>
        <v>0</v>
      </c>
    </row>
    <row r="175" spans="1:8" x14ac:dyDescent="0.25">
      <c r="A175" s="38"/>
      <c r="B175" s="44" t="str">
        <v>Behavioral or situational</v>
      </c>
      <c r="C175" s="45"/>
      <c r="D175" s="45"/>
      <c r="E175" s="45"/>
      <c r="F175" s="46"/>
      <c r="G175" s="42">
        <f>IF($B175="",NA(),COUNTIFS(Apr[Contributing Factors],$B175))</f>
        <v>0</v>
      </c>
    </row>
    <row r="176" spans="1:8" x14ac:dyDescent="0.25">
      <c r="A176" s="38"/>
      <c r="B176" s="39" t="str">
        <v>Change of condition</v>
      </c>
      <c r="C176" s="40"/>
      <c r="D176" s="40"/>
      <c r="E176" s="40"/>
      <c r="F176" s="41"/>
      <c r="G176" s="42">
        <f>IF($B176="",NA(),COUNTIFS(Apr[Contributing Factors],$B176))</f>
        <v>0</v>
      </c>
    </row>
    <row r="177" spans="1:7" x14ac:dyDescent="0.25">
      <c r="A177" s="38"/>
      <c r="B177" s="44" t="str">
        <v>Environmental factors</v>
      </c>
      <c r="C177" s="45"/>
      <c r="D177" s="45"/>
      <c r="E177" s="45"/>
      <c r="F177" s="46"/>
      <c r="G177" s="42">
        <f>IF($B177="",NA(),COUNTIFS(Apr[Contributing Factors],$B177))</f>
        <v>0</v>
      </c>
    </row>
    <row r="178" spans="1:7" x14ac:dyDescent="0.25">
      <c r="A178" s="38"/>
      <c r="B178" s="39" t="str">
        <v>Equipment malfunction</v>
      </c>
      <c r="C178" s="40"/>
      <c r="D178" s="40"/>
      <c r="E178" s="40"/>
      <c r="F178" s="41"/>
      <c r="G178" s="42">
        <f>IF($B178="",NA(),COUNTIFS(Apr[Contributing Factors],$B178))</f>
        <v>0</v>
      </c>
    </row>
    <row r="179" spans="1:7" x14ac:dyDescent="0.25">
      <c r="A179" s="38"/>
      <c r="B179" s="44" t="str">
        <v>Equipment or assistive device</v>
      </c>
      <c r="C179" s="45"/>
      <c r="D179" s="45"/>
      <c r="E179" s="45"/>
      <c r="F179" s="46"/>
      <c r="G179" s="42">
        <f>IF($B179="",NA(),COUNTIFS(Apr[Contributing Factors],$B179))</f>
        <v>0</v>
      </c>
    </row>
    <row r="180" spans="1:7" x14ac:dyDescent="0.25">
      <c r="A180" s="38"/>
      <c r="B180" s="39" t="str">
        <v>Medication related</v>
      </c>
      <c r="C180" s="40"/>
      <c r="D180" s="40"/>
      <c r="E180" s="40"/>
      <c r="F180" s="41"/>
      <c r="G180" s="42">
        <f>IF($B180="",NA(),COUNTIFS(Apr[Contributing Factors],$B180))</f>
        <v>0</v>
      </c>
    </row>
    <row r="181" spans="1:7" x14ac:dyDescent="0.25">
      <c r="A181" s="38"/>
      <c r="B181" s="44" t="str">
        <v>Process(s) not followed</v>
      </c>
      <c r="C181" s="45"/>
      <c r="D181" s="45"/>
      <c r="E181" s="45"/>
      <c r="F181" s="46"/>
      <c r="G181" s="42">
        <f>IF($B181="",NA(),COUNTIFS(Apr[Contributing Factors],$B181))</f>
        <v>0</v>
      </c>
    </row>
    <row r="182" spans="1:7" x14ac:dyDescent="0.25">
      <c r="A182" s="38"/>
      <c r="B182" s="39" t="str">
        <v>Resident health conditions</v>
      </c>
      <c r="C182" s="40"/>
      <c r="D182" s="40"/>
      <c r="E182" s="40"/>
      <c r="F182" s="41"/>
      <c r="G182" s="42">
        <f>IF($B182="",NA(),COUNTIFS(Apr[Contributing Factors],$B182))</f>
        <v>0</v>
      </c>
    </row>
    <row r="183" spans="1:7" x14ac:dyDescent="0.25">
      <c r="A183" s="38"/>
      <c r="B183" s="44" t="str">
        <v>Staff</v>
      </c>
      <c r="C183" s="45"/>
      <c r="D183" s="45"/>
      <c r="E183" s="45"/>
      <c r="F183" s="46"/>
      <c r="G183" s="42">
        <f>IF($B183="",NA(),COUNTIFS(Apr[Contributing Factors],$B183))</f>
        <v>0</v>
      </c>
    </row>
    <row r="184" spans="1:7" x14ac:dyDescent="0.25">
      <c r="A184" s="38"/>
      <c r="B184" s="39" t="str">
        <v/>
      </c>
      <c r="C184" s="40"/>
      <c r="D184" s="40"/>
      <c r="E184" s="40"/>
      <c r="F184" s="41"/>
      <c r="G184" s="42" t="e">
        <f>IF($B184="",NA(),COUNTIFS(Apr[Contributing Factors],$B184))</f>
        <v>#N/A</v>
      </c>
    </row>
    <row r="185" spans="1:7" x14ac:dyDescent="0.25">
      <c r="A185" s="38"/>
      <c r="B185" s="44" t="str">
        <v/>
      </c>
      <c r="C185" s="45"/>
      <c r="D185" s="45"/>
      <c r="E185" s="45"/>
      <c r="F185" s="46"/>
      <c r="G185" s="42" t="e">
        <f>IF($B185="",NA(),COUNTIFS(Apr[Contributing Factors],$B185))</f>
        <v>#N/A</v>
      </c>
    </row>
    <row r="186" spans="1:7" x14ac:dyDescent="0.25">
      <c r="A186" s="38"/>
      <c r="B186" s="39" t="str">
        <v/>
      </c>
      <c r="C186" s="40"/>
      <c r="D186" s="40"/>
      <c r="E186" s="40"/>
      <c r="F186" s="41"/>
      <c r="G186" s="42" t="e">
        <f>IF($B186="",NA(),COUNTIFS(Apr[Contributing Factors],$B186))</f>
        <v>#N/A</v>
      </c>
    </row>
    <row r="187" spans="1:7" x14ac:dyDescent="0.25">
      <c r="A187" s="38"/>
      <c r="B187" s="44" t="str">
        <v/>
      </c>
      <c r="C187" s="45"/>
      <c r="D187" s="45"/>
      <c r="E187" s="45"/>
      <c r="F187" s="46"/>
      <c r="G187" s="42" t="e">
        <f>IF($B187="",NA(),COUNTIFS(Apr[Contributing Factors],$B187))</f>
        <v>#N/A</v>
      </c>
    </row>
    <row r="188" spans="1:7" x14ac:dyDescent="0.25">
      <c r="A188" s="38"/>
      <c r="B188" s="39" t="str">
        <v/>
      </c>
      <c r="C188" s="40"/>
      <c r="D188" s="40"/>
      <c r="E188" s="40"/>
      <c r="F188" s="41"/>
      <c r="G188" s="42" t="e">
        <f>IF($B188="",NA(),COUNTIFS(Apr[Contributing Factors],$B188))</f>
        <v>#N/A</v>
      </c>
    </row>
    <row r="189" spans="1:7" x14ac:dyDescent="0.25">
      <c r="A189" s="38"/>
      <c r="B189" s="44" t="str">
        <v/>
      </c>
      <c r="C189" s="45"/>
      <c r="D189" s="45"/>
      <c r="E189" s="45"/>
      <c r="F189" s="46"/>
      <c r="G189" s="42" t="e">
        <f>IF($B189="",NA(),COUNTIFS(Apr[Contributing Factors],$B189))</f>
        <v>#N/A</v>
      </c>
    </row>
    <row r="190" spans="1:7" x14ac:dyDescent="0.25">
      <c r="A190" s="38"/>
      <c r="B190" s="39" t="str">
        <v/>
      </c>
      <c r="C190" s="40"/>
      <c r="D190" s="40"/>
      <c r="E190" s="40"/>
      <c r="F190" s="41"/>
      <c r="G190" s="42" t="e">
        <f>IF($B190="",NA(),COUNTIFS(Apr[Contributing Factors],$B190))</f>
        <v>#N/A</v>
      </c>
    </row>
    <row r="191" spans="1:7" x14ac:dyDescent="0.25">
      <c r="A191" s="38"/>
      <c r="B191" s="44" t="str">
        <v/>
      </c>
      <c r="C191" s="45"/>
      <c r="D191" s="45"/>
      <c r="E191" s="45"/>
      <c r="F191" s="46"/>
      <c r="G191" s="42" t="e">
        <f>IF($B191="",NA(),COUNTIFS(Apr[Contributing Factors],$B191))</f>
        <v>#N/A</v>
      </c>
    </row>
    <row r="192" spans="1:7" x14ac:dyDescent="0.25">
      <c r="A192" s="38"/>
      <c r="B192" s="39" t="str">
        <v/>
      </c>
      <c r="C192" s="40"/>
      <c r="D192" s="40"/>
      <c r="E192" s="40"/>
      <c r="F192" s="41"/>
      <c r="G192" s="42" t="e">
        <f>IF($B192="",NA(),COUNTIFS(Apr[Contributing Factors],$B192))</f>
        <v>#N/A</v>
      </c>
    </row>
    <row r="193" spans="1:7" x14ac:dyDescent="0.25">
      <c r="A193" s="38"/>
      <c r="B193" s="44" t="str">
        <v/>
      </c>
      <c r="C193" s="45"/>
      <c r="D193" s="45"/>
      <c r="E193" s="45"/>
      <c r="F193" s="46"/>
      <c r="G193" s="42" t="e">
        <f>IF($B193="",NA(),COUNTIFS(Apr[Contributing Factors],$B193))</f>
        <v>#N/A</v>
      </c>
    </row>
    <row r="194" spans="1:7" x14ac:dyDescent="0.25">
      <c r="A194" s="38"/>
      <c r="B194" s="39" t="str">
        <v/>
      </c>
      <c r="C194" s="40"/>
      <c r="D194" s="40"/>
      <c r="E194" s="40"/>
      <c r="F194" s="41"/>
      <c r="G194" s="42" t="e">
        <f>IF($B194="",NA(),COUNTIFS(Apr[Contributing Factors],$B194))</f>
        <v>#N/A</v>
      </c>
    </row>
    <row r="195" spans="1:7" x14ac:dyDescent="0.25">
      <c r="A195" s="38"/>
      <c r="B195" s="44" t="str">
        <v/>
      </c>
      <c r="C195" s="45"/>
      <c r="D195" s="45"/>
      <c r="E195" s="45"/>
      <c r="F195" s="46"/>
      <c r="G195" s="42" t="e">
        <f>IF($B195="",NA(),COUNTIFS(Apr[Contributing Factors],$B195))</f>
        <v>#N/A</v>
      </c>
    </row>
    <row r="196" spans="1:7" ht="15.75" thickBot="1" x14ac:dyDescent="0.3">
      <c r="A196" s="38"/>
      <c r="B196" s="39" t="str">
        <v/>
      </c>
      <c r="C196" s="40"/>
      <c r="D196" s="40"/>
      <c r="E196" s="40"/>
      <c r="F196" s="41"/>
      <c r="G196" s="42" t="e">
        <f>IF($B196="",NA(),COUNTIFS(Apr[Contributing Factors],$B196))</f>
        <v>#N/A</v>
      </c>
    </row>
    <row r="197" spans="1:7" ht="15.6" customHeight="1" thickBot="1" x14ac:dyDescent="0.3">
      <c r="B197" s="287" t="s">
        <v>35</v>
      </c>
      <c r="C197" s="288"/>
      <c r="D197" s="288"/>
      <c r="E197" s="288"/>
      <c r="F197" s="289"/>
      <c r="G197" s="37">
        <f>_xlfn.AGGREGATE(9,6,G173:G196)</f>
        <v>0</v>
      </c>
    </row>
  </sheetData>
  <sheetProtection algorithmName="SHA-512" hashValue="bsos0G1G48LbR84DoP1rChSfSIfsHqg6MdTdneOSJMSUcJKZqC2xiqkquIeirZ2BwvZ3dsIHg6s4tuYopOQBOA==" saltValue="jmktJtlUfBRUAqUZqwx46g==" spinCount="100000" sheet="1" formatCells="0" formatColumns="0" formatRows="0" sort="0" autoFilter="0"/>
  <mergeCells count="61">
    <mergeCell ref="F56:G56"/>
    <mergeCell ref="B51:D51"/>
    <mergeCell ref="F51:H51"/>
    <mergeCell ref="B52:C52"/>
    <mergeCell ref="F52:G52"/>
    <mergeCell ref="B55:C55"/>
    <mergeCell ref="B121:C121"/>
    <mergeCell ref="F58:H58"/>
    <mergeCell ref="F59:G59"/>
    <mergeCell ref="F63:G63"/>
    <mergeCell ref="B65:G65"/>
    <mergeCell ref="B66:F66"/>
    <mergeCell ref="B91:F91"/>
    <mergeCell ref="B93:D93"/>
    <mergeCell ref="B94:C94"/>
    <mergeCell ref="B106:C106"/>
    <mergeCell ref="B108:D108"/>
    <mergeCell ref="B109:C109"/>
    <mergeCell ref="B135:C135"/>
    <mergeCell ref="B123:D123"/>
    <mergeCell ref="B124:C124"/>
    <mergeCell ref="B125:C125"/>
    <mergeCell ref="B126:C126"/>
    <mergeCell ref="B127:C127"/>
    <mergeCell ref="B128:C128"/>
    <mergeCell ref="B129:C129"/>
    <mergeCell ref="B130:C130"/>
    <mergeCell ref="B131:C131"/>
    <mergeCell ref="B132:C132"/>
    <mergeCell ref="B134:D134"/>
    <mergeCell ref="B153:C153"/>
    <mergeCell ref="B141:C141"/>
    <mergeCell ref="B143:D143"/>
    <mergeCell ref="B144:C144"/>
    <mergeCell ref="B145:C145"/>
    <mergeCell ref="B146:C146"/>
    <mergeCell ref="B147:C147"/>
    <mergeCell ref="B148:C148"/>
    <mergeCell ref="B149:C149"/>
    <mergeCell ref="B150:C150"/>
    <mergeCell ref="B151:C151"/>
    <mergeCell ref="B152:C152"/>
    <mergeCell ref="B165:C165"/>
    <mergeCell ref="B154:C154"/>
    <mergeCell ref="B155:C155"/>
    <mergeCell ref="B156:C156"/>
    <mergeCell ref="B157:C157"/>
    <mergeCell ref="B158:C158"/>
    <mergeCell ref="B159:C159"/>
    <mergeCell ref="B160:C160"/>
    <mergeCell ref="B161:C161"/>
    <mergeCell ref="B162:C162"/>
    <mergeCell ref="B163:C163"/>
    <mergeCell ref="B164:C164"/>
    <mergeCell ref="B197:F197"/>
    <mergeCell ref="B166:C166"/>
    <mergeCell ref="B167:C167"/>
    <mergeCell ref="B168:C168"/>
    <mergeCell ref="B169:C169"/>
    <mergeCell ref="B171:G171"/>
    <mergeCell ref="B172:F172"/>
  </mergeCells>
  <conditionalFormatting sqref="C1">
    <cfRule type="expression" dxfId="265" priority="18">
      <formula>OR($C$1="",$C$1=0)</formula>
    </cfRule>
  </conditionalFormatting>
  <conditionalFormatting sqref="D1">
    <cfRule type="cellIs" dxfId="264" priority="19" operator="equal">
      <formula>"Enter year in Data Validation tab"</formula>
    </cfRule>
  </conditionalFormatting>
  <conditionalFormatting sqref="D4:D40">
    <cfRule type="expression" dxfId="263" priority="22">
      <formula>AND($C4&lt;&gt;"",$D4="")</formula>
    </cfRule>
  </conditionalFormatting>
  <conditionalFormatting sqref="D95:D105">
    <cfRule type="expression" dxfId="262" priority="9">
      <formula>ISERROR($D95)</formula>
    </cfRule>
  </conditionalFormatting>
  <conditionalFormatting sqref="D110:D120">
    <cfRule type="expression" dxfId="261" priority="10">
      <formula>ISERROR($D110)</formula>
    </cfRule>
  </conditionalFormatting>
  <conditionalFormatting sqref="D136:D140">
    <cfRule type="expression" dxfId="260" priority="1">
      <formula>ISERROR(D136)</formula>
    </cfRule>
  </conditionalFormatting>
  <conditionalFormatting sqref="E4:E40">
    <cfRule type="expression" dxfId="259" priority="21">
      <formula>AND($C4&lt;&gt;"",$E4="")</formula>
    </cfRule>
  </conditionalFormatting>
  <conditionalFormatting sqref="F4:F40">
    <cfRule type="expression" dxfId="258" priority="14">
      <formula>AND($C4&lt;&gt;"",$F4="")</formula>
    </cfRule>
  </conditionalFormatting>
  <conditionalFormatting sqref="G4:G40">
    <cfRule type="expression" dxfId="257" priority="13">
      <formula>AND($C4&lt;&gt;"",$G4="")</formula>
    </cfRule>
  </conditionalFormatting>
  <conditionalFormatting sqref="G67:G90">
    <cfRule type="expression" dxfId="256" priority="8">
      <formula>ISERROR($G67)</formula>
    </cfRule>
  </conditionalFormatting>
  <conditionalFormatting sqref="G173:G196">
    <cfRule type="expression" dxfId="255" priority="7">
      <formula>ISERROR($G173)</formula>
    </cfRule>
  </conditionalFormatting>
  <conditionalFormatting sqref="H4:H40">
    <cfRule type="expression" dxfId="254" priority="12">
      <formula>AND($C4&lt;&gt;"",$H4="")</formula>
    </cfRule>
  </conditionalFormatting>
  <conditionalFormatting sqref="I4:I40">
    <cfRule type="expression" dxfId="253" priority="11">
      <formula>AND($C4&lt;&gt;"",$I4="")</formula>
    </cfRule>
  </conditionalFormatting>
  <conditionalFormatting sqref="J4:J40">
    <cfRule type="expression" dxfId="252" priority="23">
      <formula>AND($C4&lt;&gt;"",$J4="")</formula>
    </cfRule>
  </conditionalFormatting>
  <conditionalFormatting sqref="L4:L40">
    <cfRule type="expression" dxfId="251" priority="20">
      <formula>AND($C4&lt;&gt;"",$L4="")</formula>
    </cfRule>
  </conditionalFormatting>
  <conditionalFormatting sqref="N4:N40">
    <cfRule type="expression" dxfId="250" priority="25">
      <formula>AND($C4&lt;&gt;"",$N4="")</formula>
    </cfRule>
  </conditionalFormatting>
  <conditionalFormatting sqref="O4:O40">
    <cfRule type="expression" dxfId="249" priority="4">
      <formula>AND($C4&lt;&gt;"",$O4="")</formula>
    </cfRule>
    <cfRule type="cellIs" dxfId="248" priority="15" operator="equal">
      <formula>"Intact (13-15)"</formula>
    </cfRule>
    <cfRule type="cellIs" dxfId="247" priority="16" operator="equal">
      <formula>"Moderate (8-12)"</formula>
    </cfRule>
    <cfRule type="cellIs" dxfId="246" priority="17" operator="equal">
      <formula>"Severe (1-7)"</formula>
    </cfRule>
  </conditionalFormatting>
  <conditionalFormatting sqref="P4:P40">
    <cfRule type="expression" dxfId="245" priority="5">
      <formula>AND($C4&lt;&gt;"",$P4="")</formula>
    </cfRule>
  </conditionalFormatting>
  <conditionalFormatting sqref="Q4:Q40">
    <cfRule type="expression" dxfId="244" priority="3">
      <formula>AND($C4&lt;&gt;"",$Q4="")</formula>
    </cfRule>
  </conditionalFormatting>
  <conditionalFormatting sqref="R4:R40">
    <cfRule type="expression" dxfId="243" priority="26">
      <formula>AND($C4&lt;&gt;"",$R4="")</formula>
    </cfRule>
  </conditionalFormatting>
  <conditionalFormatting sqref="S4:S40">
    <cfRule type="expression" dxfId="242" priority="6">
      <formula>AND($C4&lt;&gt;"",$S4="")</formula>
    </cfRule>
  </conditionalFormatting>
  <conditionalFormatting sqref="T4:T40">
    <cfRule type="expression" dxfId="241" priority="27">
      <formula>AND($C4&lt;&gt;"",$T4="")</formula>
    </cfRule>
  </conditionalFormatting>
  <conditionalFormatting sqref="U4:U40">
    <cfRule type="expression" dxfId="240" priority="24">
      <formula>AND($C4&lt;&gt;"",$U4="")</formula>
    </cfRule>
  </conditionalFormatting>
  <conditionalFormatting sqref="V4:V40">
    <cfRule type="expression" dxfId="239" priority="2">
      <formula>AND($C4&lt;&gt;"",$V4="")</formula>
    </cfRule>
  </conditionalFormatting>
  <dataValidations count="9">
    <dataValidation type="list" allowBlank="1" showInputMessage="1" showErrorMessage="1" sqref="R4:R40" xr:uid="{00000000-0002-0000-0500-000000000000}">
      <formula1>DV_RCAComp</formula1>
    </dataValidation>
    <dataValidation type="list" allowBlank="1" showInputMessage="1" showErrorMessage="1" sqref="G4:G40" xr:uid="{00000000-0002-0000-0500-000001000000}">
      <formula1>DV_FallCircumstances</formula1>
    </dataValidation>
    <dataValidation type="list" allowBlank="1" showInputMessage="1" showErrorMessage="1" sqref="P4:P40" xr:uid="{00000000-0002-0000-0500-000002000000}">
      <formula1>DV_PriortoFall</formula1>
    </dataValidation>
    <dataValidation type="list" allowBlank="1" showInputMessage="1" showErrorMessage="1" sqref="F4:F40" xr:uid="{00000000-0002-0000-0500-000003000000}">
      <formula1>DV_Witnessed</formula1>
    </dataValidation>
    <dataValidation type="list" allowBlank="1" showInputMessage="1" showErrorMessage="1" sqref="N4:N40" xr:uid="{00000000-0002-0000-0500-000004000000}">
      <formula1>DV_BIMSScore</formula1>
    </dataValidation>
    <dataValidation type="list" allowBlank="1" showInputMessage="1" showErrorMessage="1" sqref="L4:L40" xr:uid="{00000000-0002-0000-0500-000005000000}">
      <formula1>DV_Shifts</formula1>
    </dataValidation>
    <dataValidation type="list" allowBlank="1" showInputMessage="1" showErrorMessage="1" sqref="J4:J40" xr:uid="{00000000-0002-0000-0500-000006000000}">
      <formula1>DV_Station</formula1>
    </dataValidation>
    <dataValidation type="list" allowBlank="1" showInputMessage="1" showErrorMessage="1" sqref="I4:I40" xr:uid="{00000000-0002-0000-0500-000007000000}">
      <formula1>DV_Location</formula1>
    </dataValidation>
    <dataValidation type="list" allowBlank="1" showInputMessage="1" showErrorMessage="1" sqref="H4:H40" xr:uid="{00000000-0002-0000-0500-000008000000}">
      <formula1>DV_FallType</formula1>
    </dataValidation>
  </dataValidations>
  <printOptions horizontalCentered="1"/>
  <pageMargins left="0.15" right="0.15" top="0.5" bottom="0.25" header="0.3" footer="0.3"/>
  <pageSetup scale="59" fitToHeight="0" orientation="landscape" r:id="rId1"/>
  <rowBreaks count="3" manualBreakCount="3">
    <brk id="49" max="16383" man="1"/>
    <brk id="91" max="16383" man="1"/>
    <brk id="141" max="16383" man="1"/>
  </rowBreaks>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9000000}">
          <x14:formula1>
            <xm:f>'Data Validation'!$K$3:$K$26</xm:f>
          </x14:formula1>
          <xm:sqref>S4:S40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V197"/>
  <sheetViews>
    <sheetView showGridLines="0" zoomScaleNormal="100" zoomScaleSheetLayoutView="98" workbookViewId="0">
      <selection activeCell="B4" sqref="B4"/>
    </sheetView>
  </sheetViews>
  <sheetFormatPr defaultRowHeight="15" x14ac:dyDescent="0.25"/>
  <cols>
    <col min="1" max="1" width="1.28515625" customWidth="1"/>
    <col min="2" max="2" width="5.85546875" customWidth="1"/>
    <col min="3" max="3" width="17.140625" customWidth="1"/>
    <col min="4" max="4" width="9.28515625" customWidth="1"/>
    <col min="5" max="5" width="11" customWidth="1"/>
    <col min="6" max="6" width="8" customWidth="1"/>
    <col min="7" max="7" width="12.140625" customWidth="1"/>
    <col min="8" max="8" width="10.5703125" customWidth="1"/>
    <col min="9" max="9" width="7.7109375" customWidth="1"/>
    <col min="10" max="10" width="6" customWidth="1"/>
    <col min="11" max="11" width="4.7109375" customWidth="1"/>
    <col min="12" max="12" width="9.28515625" customWidth="1"/>
    <col min="13" max="14" width="4.7109375" customWidth="1"/>
    <col min="15" max="15" width="12.140625" customWidth="1"/>
    <col min="16" max="17" width="23.7109375" customWidth="1"/>
    <col min="18" max="18" width="8.7109375" customWidth="1"/>
    <col min="19" max="19" width="23.7109375" customWidth="1"/>
    <col min="20" max="22" width="11.7109375" customWidth="1"/>
    <col min="23" max="24" width="10.7109375" customWidth="1"/>
  </cols>
  <sheetData>
    <row r="1" spans="1:22" ht="18.75" customHeight="1" x14ac:dyDescent="0.25">
      <c r="B1" s="13" t="s">
        <v>28</v>
      </c>
      <c r="C1" s="14">
        <f>'Data Validation'!$C$4</f>
        <v>0</v>
      </c>
      <c r="D1" s="15" t="str">
        <f>IF(OR($C$1="",$C$1=0),"Enter Year in Data Validation tab",'Data Validation'!$C$2&amp;" May ")</f>
        <v>Enter Year in Data Validation tab</v>
      </c>
      <c r="E1" s="16"/>
      <c r="F1" s="16"/>
      <c r="G1" s="16"/>
      <c r="H1" s="16"/>
      <c r="I1" s="16"/>
      <c r="J1" s="16"/>
      <c r="K1" s="16"/>
      <c r="L1" s="16"/>
      <c r="M1" s="16"/>
      <c r="N1" s="4"/>
      <c r="O1" s="16"/>
      <c r="P1" s="16"/>
      <c r="Q1" s="16"/>
      <c r="R1" s="17" t="s">
        <v>59</v>
      </c>
      <c r="S1" s="14" t="str">
        <f>IF(COUNTIFS(May[Resident Name],"&lt;&gt;")=0,"No Data",COUNTIFS(May[Resident Name],"&lt;&gt;"))</f>
        <v>No Data</v>
      </c>
      <c r="T1" s="17" t="s">
        <v>62</v>
      </c>
      <c r="U1" s="14" t="str">
        <f>'Fall Rate and Census'!$N$36</f>
        <v>No Data</v>
      </c>
    </row>
    <row r="2" spans="1:22" ht="8.1" customHeight="1" x14ac:dyDescent="0.25">
      <c r="B2" s="18"/>
      <c r="C2" s="16"/>
      <c r="D2" s="16"/>
      <c r="E2" s="16"/>
      <c r="F2" s="16"/>
      <c r="G2" s="16"/>
      <c r="H2" s="16"/>
      <c r="I2" s="16"/>
      <c r="J2" s="16"/>
      <c r="K2" s="16"/>
      <c r="L2" s="16"/>
      <c r="M2" s="16"/>
      <c r="N2" s="16"/>
      <c r="O2" s="16"/>
      <c r="P2" s="16"/>
      <c r="Q2" s="16"/>
      <c r="R2" s="16"/>
    </row>
    <row r="3" spans="1:22" ht="22.35" customHeight="1" x14ac:dyDescent="0.25">
      <c r="B3" s="19" t="s">
        <v>104</v>
      </c>
      <c r="C3" s="19" t="s">
        <v>105</v>
      </c>
      <c r="D3" s="20" t="s">
        <v>0</v>
      </c>
      <c r="E3" s="20" t="s">
        <v>89</v>
      </c>
      <c r="F3" s="20" t="s">
        <v>84</v>
      </c>
      <c r="G3" s="20" t="s">
        <v>100</v>
      </c>
      <c r="H3" s="20" t="s">
        <v>90</v>
      </c>
      <c r="I3" s="20" t="s">
        <v>1</v>
      </c>
      <c r="J3" s="20" t="s">
        <v>2</v>
      </c>
      <c r="K3" s="20" t="s">
        <v>3</v>
      </c>
      <c r="L3" s="20" t="s">
        <v>33</v>
      </c>
      <c r="M3" s="20" t="s">
        <v>34</v>
      </c>
      <c r="N3" s="20" t="s">
        <v>26</v>
      </c>
      <c r="O3" s="20" t="s">
        <v>30</v>
      </c>
      <c r="P3" s="19" t="s">
        <v>158</v>
      </c>
      <c r="Q3" s="19" t="s">
        <v>80</v>
      </c>
      <c r="R3" s="20" t="s">
        <v>81</v>
      </c>
      <c r="S3" s="20" t="s">
        <v>92</v>
      </c>
      <c r="T3" s="12" t="s">
        <v>95</v>
      </c>
      <c r="U3" s="12" t="s">
        <v>94</v>
      </c>
      <c r="V3" s="12" t="s">
        <v>96</v>
      </c>
    </row>
    <row r="4" spans="1:22" ht="20.85" customHeight="1" x14ac:dyDescent="0.25">
      <c r="A4" s="21"/>
      <c r="B4" s="266"/>
      <c r="C4" s="5"/>
      <c r="D4" s="263"/>
      <c r="E4" s="263"/>
      <c r="F4" s="266"/>
      <c r="G4" s="267"/>
      <c r="H4" s="2"/>
      <c r="I4" s="2"/>
      <c r="J4" s="2"/>
      <c r="K4" s="24" t="str">
        <f>IF(May[[#This Row],[Date of Incident]]="","",TEXT(May[[#This Row],[Date of Incident]],"ddd"))</f>
        <v/>
      </c>
      <c r="L4" s="1"/>
      <c r="M4" s="24" t="str">
        <f>IFERROR(VLOOKUP(May[[#This Row],[Hour]],Shifts[],2,FALSE),"")</f>
        <v/>
      </c>
      <c r="N4" s="2"/>
      <c r="O4" s="24" t="str">
        <f>IFERROR(VLOOKUP(May[[#This Row],[BIMS Score]],BIMS[],2,FALSE),"")</f>
        <v/>
      </c>
      <c r="P4" s="3"/>
      <c r="Q4" s="3"/>
      <c r="R4" s="2"/>
      <c r="S4" s="168"/>
      <c r="T4" s="3"/>
      <c r="U4" s="3"/>
      <c r="V4" s="3"/>
    </row>
    <row r="5" spans="1:22" ht="20.85" customHeight="1" x14ac:dyDescent="0.25">
      <c r="A5" s="21"/>
      <c r="B5" s="266"/>
      <c r="C5" s="5"/>
      <c r="D5" s="263"/>
      <c r="E5" s="263"/>
      <c r="F5" s="266"/>
      <c r="G5" s="267"/>
      <c r="H5" s="2"/>
      <c r="I5" s="2"/>
      <c r="J5" s="2"/>
      <c r="K5" s="24" t="str">
        <f>IF(May[[#This Row],[Date of Incident]]="","",TEXT(May[[#This Row],[Date of Incident]],"ddd"))</f>
        <v/>
      </c>
      <c r="L5" s="1"/>
      <c r="M5" s="24" t="str">
        <f>IFERROR(VLOOKUP(May[[#This Row],[Hour]],Shifts[],2,FALSE),"")</f>
        <v/>
      </c>
      <c r="N5" s="2"/>
      <c r="O5" s="24" t="str">
        <f>IFERROR(VLOOKUP(May[[#This Row],[BIMS Score]],BIMS[],2,FALSE),"")</f>
        <v/>
      </c>
      <c r="P5" s="3"/>
      <c r="Q5" s="3"/>
      <c r="R5" s="2"/>
      <c r="S5" s="168"/>
      <c r="T5" s="3"/>
      <c r="U5" s="3"/>
      <c r="V5" s="3"/>
    </row>
    <row r="6" spans="1:22" ht="20.85" customHeight="1" x14ac:dyDescent="0.25">
      <c r="A6" s="21"/>
      <c r="B6" s="266"/>
      <c r="C6" s="5"/>
      <c r="D6" s="263"/>
      <c r="E6" s="263"/>
      <c r="F6" s="266"/>
      <c r="G6" s="267"/>
      <c r="H6" s="2"/>
      <c r="I6" s="2"/>
      <c r="J6" s="2"/>
      <c r="K6" s="24" t="str">
        <f>IF(May[[#This Row],[Date of Incident]]="","",TEXT(May[[#This Row],[Date of Incident]],"ddd"))</f>
        <v/>
      </c>
      <c r="L6" s="1"/>
      <c r="M6" s="24" t="str">
        <f>IFERROR(VLOOKUP(May[[#This Row],[Hour]],Shifts[],2,FALSE),"")</f>
        <v/>
      </c>
      <c r="N6" s="2"/>
      <c r="O6" s="24" t="str">
        <f>IFERROR(VLOOKUP(May[[#This Row],[BIMS Score]],BIMS[],2,FALSE),"")</f>
        <v/>
      </c>
      <c r="P6" s="3"/>
      <c r="Q6" s="3"/>
      <c r="R6" s="2"/>
      <c r="S6" s="168"/>
      <c r="T6" s="3"/>
      <c r="U6" s="3"/>
      <c r="V6" s="3"/>
    </row>
    <row r="7" spans="1:22" ht="20.85" customHeight="1" x14ac:dyDescent="0.25">
      <c r="A7" s="21"/>
      <c r="B7" s="266"/>
      <c r="C7" s="5"/>
      <c r="D7" s="263"/>
      <c r="E7" s="263"/>
      <c r="F7" s="266"/>
      <c r="G7" s="267"/>
      <c r="H7" s="2"/>
      <c r="I7" s="2"/>
      <c r="J7" s="2"/>
      <c r="K7" s="24" t="str">
        <f>IF(May[[#This Row],[Date of Incident]]="","",TEXT(May[[#This Row],[Date of Incident]],"ddd"))</f>
        <v/>
      </c>
      <c r="L7" s="1"/>
      <c r="M7" s="24" t="str">
        <f>IFERROR(VLOOKUP(May[[#This Row],[Hour]],Shifts[],2,FALSE),"")</f>
        <v/>
      </c>
      <c r="N7" s="2"/>
      <c r="O7" s="24" t="str">
        <f>IFERROR(VLOOKUP(May[[#This Row],[BIMS Score]],BIMS[],2,FALSE),"")</f>
        <v/>
      </c>
      <c r="P7" s="3"/>
      <c r="Q7" s="3"/>
      <c r="R7" s="2"/>
      <c r="S7" s="168"/>
      <c r="T7" s="3"/>
      <c r="U7" s="3"/>
      <c r="V7" s="3"/>
    </row>
    <row r="8" spans="1:22" ht="20.85" customHeight="1" x14ac:dyDescent="0.25">
      <c r="A8" s="21"/>
      <c r="B8" s="266"/>
      <c r="C8" s="5"/>
      <c r="D8" s="263"/>
      <c r="E8" s="263"/>
      <c r="F8" s="266"/>
      <c r="G8" s="267"/>
      <c r="H8" s="2"/>
      <c r="I8" s="2"/>
      <c r="J8" s="2"/>
      <c r="K8" s="24" t="str">
        <f>IF(May[[#This Row],[Date of Incident]]="","",TEXT(May[[#This Row],[Date of Incident]],"ddd"))</f>
        <v/>
      </c>
      <c r="L8" s="1"/>
      <c r="M8" s="24" t="str">
        <f>IFERROR(VLOOKUP(May[[#This Row],[Hour]],Shifts[],2,FALSE),"")</f>
        <v/>
      </c>
      <c r="N8" s="2"/>
      <c r="O8" s="24" t="str">
        <f>IFERROR(VLOOKUP(May[[#This Row],[BIMS Score]],BIMS[],2,FALSE),"")</f>
        <v/>
      </c>
      <c r="P8" s="3"/>
      <c r="Q8" s="3"/>
      <c r="R8" s="2"/>
      <c r="S8" s="168"/>
      <c r="T8" s="3"/>
      <c r="U8" s="3"/>
      <c r="V8" s="3"/>
    </row>
    <row r="9" spans="1:22" ht="20.85" customHeight="1" x14ac:dyDescent="0.25">
      <c r="A9" s="21"/>
      <c r="B9" s="266"/>
      <c r="C9" s="5"/>
      <c r="D9" s="263"/>
      <c r="E9" s="263"/>
      <c r="F9" s="266"/>
      <c r="G9" s="267"/>
      <c r="H9" s="2"/>
      <c r="I9" s="2"/>
      <c r="J9" s="2"/>
      <c r="K9" s="24" t="str">
        <f>IF(May[[#This Row],[Date of Incident]]="","",TEXT(May[[#This Row],[Date of Incident]],"ddd"))</f>
        <v/>
      </c>
      <c r="L9" s="1"/>
      <c r="M9" s="24" t="str">
        <f>IFERROR(VLOOKUP(May[[#This Row],[Hour]],Shifts[],2,FALSE),"")</f>
        <v/>
      </c>
      <c r="N9" s="2"/>
      <c r="O9" s="24" t="str">
        <f>IFERROR(VLOOKUP(May[[#This Row],[BIMS Score]],BIMS[],2,FALSE),"")</f>
        <v/>
      </c>
      <c r="P9" s="3"/>
      <c r="Q9" s="3"/>
      <c r="R9" s="2"/>
      <c r="S9" s="168"/>
      <c r="T9" s="3"/>
      <c r="U9" s="3"/>
      <c r="V9" s="3"/>
    </row>
    <row r="10" spans="1:22" ht="20.85" customHeight="1" x14ac:dyDescent="0.25">
      <c r="A10" s="21"/>
      <c r="B10" s="266"/>
      <c r="C10" s="5"/>
      <c r="D10" s="263"/>
      <c r="E10" s="263"/>
      <c r="F10" s="266"/>
      <c r="G10" s="267"/>
      <c r="H10" s="2"/>
      <c r="I10" s="2"/>
      <c r="J10" s="2"/>
      <c r="K10" s="24" t="str">
        <f>IF(May[[#This Row],[Date of Incident]]="","",TEXT(May[[#This Row],[Date of Incident]],"ddd"))</f>
        <v/>
      </c>
      <c r="L10" s="1"/>
      <c r="M10" s="24" t="str">
        <f>IFERROR(VLOOKUP(May[[#This Row],[Hour]],Shifts[],2,FALSE),"")</f>
        <v/>
      </c>
      <c r="N10" s="2"/>
      <c r="O10" s="24" t="str">
        <f>IFERROR(VLOOKUP(May[[#This Row],[BIMS Score]],BIMS[],2,FALSE),"")</f>
        <v/>
      </c>
      <c r="P10" s="3"/>
      <c r="Q10" s="3"/>
      <c r="R10" s="2"/>
      <c r="S10" s="168"/>
      <c r="T10" s="3"/>
      <c r="U10" s="3"/>
      <c r="V10" s="3"/>
    </row>
    <row r="11" spans="1:22" ht="20.85" customHeight="1" x14ac:dyDescent="0.25">
      <c r="A11" s="21"/>
      <c r="B11" s="266"/>
      <c r="C11" s="5"/>
      <c r="D11" s="263"/>
      <c r="E11" s="263"/>
      <c r="F11" s="266"/>
      <c r="G11" s="267"/>
      <c r="H11" s="2"/>
      <c r="I11" s="2"/>
      <c r="J11" s="2"/>
      <c r="K11" s="24" t="str">
        <f>IF(May[[#This Row],[Date of Incident]]="","",TEXT(May[[#This Row],[Date of Incident]],"ddd"))</f>
        <v/>
      </c>
      <c r="L11" s="1"/>
      <c r="M11" s="24" t="str">
        <f>IFERROR(VLOOKUP(May[[#This Row],[Hour]],Shifts[],2,FALSE),"")</f>
        <v/>
      </c>
      <c r="N11" s="2"/>
      <c r="O11" s="24" t="str">
        <f>IFERROR(VLOOKUP(May[[#This Row],[BIMS Score]],BIMS[],2,FALSE),"")</f>
        <v/>
      </c>
      <c r="P11" s="3"/>
      <c r="Q11" s="3"/>
      <c r="R11" s="2"/>
      <c r="S11" s="168"/>
      <c r="T11" s="3"/>
      <c r="U11" s="3"/>
      <c r="V11" s="3"/>
    </row>
    <row r="12" spans="1:22" ht="20.85" customHeight="1" x14ac:dyDescent="0.25">
      <c r="A12" s="21"/>
      <c r="B12" s="267"/>
      <c r="C12" s="5"/>
      <c r="D12" s="264"/>
      <c r="E12" s="263"/>
      <c r="F12" s="267"/>
      <c r="G12" s="267"/>
      <c r="H12" s="2"/>
      <c r="I12" s="2"/>
      <c r="J12" s="2"/>
      <c r="K12" s="24" t="str">
        <f>IF(May[[#This Row],[Date of Incident]]="","",TEXT(May[[#This Row],[Date of Incident]],"ddd"))</f>
        <v/>
      </c>
      <c r="L12" s="1"/>
      <c r="M12" s="24" t="str">
        <f>IFERROR(VLOOKUP(May[[#This Row],[Hour]],Shifts[],2,FALSE),"")</f>
        <v/>
      </c>
      <c r="N12" s="2"/>
      <c r="O12" s="24" t="str">
        <f>IFERROR(VLOOKUP(May[[#This Row],[BIMS Score]],BIMS[],2,FALSE),"")</f>
        <v/>
      </c>
      <c r="P12" s="3"/>
      <c r="Q12" s="3"/>
      <c r="R12" s="2"/>
      <c r="S12" s="168"/>
      <c r="T12" s="3"/>
      <c r="U12" s="3"/>
      <c r="V12" s="3"/>
    </row>
    <row r="13" spans="1:22" ht="20.85" customHeight="1" x14ac:dyDescent="0.25">
      <c r="A13" s="21"/>
      <c r="B13" s="267"/>
      <c r="C13" s="5"/>
      <c r="D13" s="264"/>
      <c r="E13" s="263"/>
      <c r="F13" s="267"/>
      <c r="G13" s="267"/>
      <c r="H13" s="2"/>
      <c r="I13" s="2"/>
      <c r="J13" s="2"/>
      <c r="K13" s="24" t="str">
        <f>IF(May[[#This Row],[Date of Incident]]="","",TEXT(May[[#This Row],[Date of Incident]],"ddd"))</f>
        <v/>
      </c>
      <c r="L13" s="1"/>
      <c r="M13" s="24" t="str">
        <f>IFERROR(VLOOKUP(May[[#This Row],[Hour]],Shifts[],2,FALSE),"")</f>
        <v/>
      </c>
      <c r="N13" s="2"/>
      <c r="O13" s="24" t="str">
        <f>IFERROR(VLOOKUP(May[[#This Row],[BIMS Score]],BIMS[],2,FALSE),"")</f>
        <v/>
      </c>
      <c r="P13" s="3"/>
      <c r="Q13" s="3"/>
      <c r="R13" s="2"/>
      <c r="S13" s="168"/>
      <c r="T13" s="3"/>
      <c r="U13" s="3"/>
      <c r="V13" s="3"/>
    </row>
    <row r="14" spans="1:22" ht="20.85" customHeight="1" x14ac:dyDescent="0.25">
      <c r="A14" s="21"/>
      <c r="B14" s="267"/>
      <c r="C14" s="5"/>
      <c r="D14" s="264"/>
      <c r="E14" s="263"/>
      <c r="F14" s="267"/>
      <c r="G14" s="267"/>
      <c r="H14" s="2"/>
      <c r="I14" s="2"/>
      <c r="J14" s="2"/>
      <c r="K14" s="24" t="str">
        <f>IF(May[[#This Row],[Date of Incident]]="","",TEXT(May[[#This Row],[Date of Incident]],"ddd"))</f>
        <v/>
      </c>
      <c r="L14" s="1"/>
      <c r="M14" s="24" t="str">
        <f>IFERROR(VLOOKUP(May[[#This Row],[Hour]],Shifts[],2,FALSE),"")</f>
        <v/>
      </c>
      <c r="N14" s="2"/>
      <c r="O14" s="24" t="str">
        <f>IFERROR(VLOOKUP(May[[#This Row],[BIMS Score]],BIMS[],2,FALSE),"")</f>
        <v/>
      </c>
      <c r="P14" s="3"/>
      <c r="Q14" s="3"/>
      <c r="R14" s="2"/>
      <c r="S14" s="168"/>
      <c r="T14" s="3"/>
      <c r="U14" s="3"/>
      <c r="V14" s="3"/>
    </row>
    <row r="15" spans="1:22" ht="20.85" customHeight="1" x14ac:dyDescent="0.25">
      <c r="A15" s="21"/>
      <c r="B15" s="267"/>
      <c r="C15" s="5"/>
      <c r="D15" s="264"/>
      <c r="E15" s="263"/>
      <c r="F15" s="267"/>
      <c r="G15" s="267"/>
      <c r="H15" s="2"/>
      <c r="I15" s="2"/>
      <c r="J15" s="2"/>
      <c r="K15" s="24" t="str">
        <f>IF(May[[#This Row],[Date of Incident]]="","",TEXT(May[[#This Row],[Date of Incident]],"ddd"))</f>
        <v/>
      </c>
      <c r="L15" s="1"/>
      <c r="M15" s="24" t="str">
        <f>IFERROR(VLOOKUP(May[[#This Row],[Hour]],Shifts[],2,FALSE),"")</f>
        <v/>
      </c>
      <c r="N15" s="2"/>
      <c r="O15" s="24" t="str">
        <f>IFERROR(VLOOKUP(May[[#This Row],[BIMS Score]],BIMS[],2,FALSE),"")</f>
        <v/>
      </c>
      <c r="P15" s="3"/>
      <c r="Q15" s="3"/>
      <c r="R15" s="2"/>
      <c r="S15" s="168"/>
      <c r="T15" s="3"/>
      <c r="U15" s="3"/>
      <c r="V15" s="3"/>
    </row>
    <row r="16" spans="1:22" ht="20.85" customHeight="1" x14ac:dyDescent="0.25">
      <c r="A16" s="21"/>
      <c r="B16" s="267"/>
      <c r="C16" s="3"/>
      <c r="D16" s="264"/>
      <c r="E16" s="264"/>
      <c r="F16" s="267"/>
      <c r="G16" s="267"/>
      <c r="H16" s="2"/>
      <c r="I16" s="2"/>
      <c r="J16" s="2"/>
      <c r="K16" s="24" t="str">
        <f>IF(May[[#This Row],[Date of Incident]]="","",TEXT(May[[#This Row],[Date of Incident]],"ddd"))</f>
        <v/>
      </c>
      <c r="L16" s="1"/>
      <c r="M16" s="24" t="str">
        <f>IFERROR(VLOOKUP(May[[#This Row],[Hour]],Shifts[],2,FALSE),"")</f>
        <v/>
      </c>
      <c r="N16" s="2"/>
      <c r="O16" s="24" t="str">
        <f>IFERROR(VLOOKUP(May[[#This Row],[BIMS Score]],BIMS[],2,FALSE),"")</f>
        <v/>
      </c>
      <c r="P16" s="3"/>
      <c r="Q16" s="3"/>
      <c r="R16" s="2"/>
      <c r="S16" s="168"/>
      <c r="T16" s="3"/>
      <c r="U16" s="3"/>
      <c r="V16" s="3"/>
    </row>
    <row r="17" spans="1:22" ht="20.85" customHeight="1" x14ac:dyDescent="0.25">
      <c r="A17" s="21"/>
      <c r="B17" s="267"/>
      <c r="C17" s="3"/>
      <c r="D17" s="264"/>
      <c r="E17" s="264"/>
      <c r="F17" s="267"/>
      <c r="G17" s="267"/>
      <c r="H17" s="2"/>
      <c r="I17" s="2"/>
      <c r="J17" s="2"/>
      <c r="K17" s="24" t="str">
        <f>IF(May[[#This Row],[Date of Incident]]="","",TEXT(May[[#This Row],[Date of Incident]],"ddd"))</f>
        <v/>
      </c>
      <c r="L17" s="1"/>
      <c r="M17" s="24" t="str">
        <f>IFERROR(VLOOKUP(May[[#This Row],[Hour]],Shifts[],2,FALSE),"")</f>
        <v/>
      </c>
      <c r="N17" s="2"/>
      <c r="O17" s="24" t="str">
        <f>IFERROR(VLOOKUP(May[[#This Row],[BIMS Score]],BIMS[],2,FALSE),"")</f>
        <v/>
      </c>
      <c r="P17" s="3"/>
      <c r="Q17" s="3"/>
      <c r="R17" s="2"/>
      <c r="S17" s="168"/>
      <c r="T17" s="3"/>
      <c r="U17" s="3"/>
      <c r="V17" s="3"/>
    </row>
    <row r="18" spans="1:22" ht="20.85" customHeight="1" x14ac:dyDescent="0.25">
      <c r="A18" s="21"/>
      <c r="B18" s="267"/>
      <c r="C18" s="3"/>
      <c r="D18" s="264"/>
      <c r="E18" s="264"/>
      <c r="F18" s="267"/>
      <c r="G18" s="267"/>
      <c r="H18" s="2"/>
      <c r="I18" s="2"/>
      <c r="J18" s="2"/>
      <c r="K18" s="24" t="str">
        <f>IF(May[[#This Row],[Date of Incident]]="","",TEXT(May[[#This Row],[Date of Incident]],"ddd"))</f>
        <v/>
      </c>
      <c r="L18" s="1"/>
      <c r="M18" s="24" t="str">
        <f>IFERROR(VLOOKUP(May[[#This Row],[Hour]],Shifts[],2,FALSE),"")</f>
        <v/>
      </c>
      <c r="N18" s="2"/>
      <c r="O18" s="24" t="str">
        <f>IFERROR(VLOOKUP(May[[#This Row],[BIMS Score]],BIMS[],2,FALSE),"")</f>
        <v/>
      </c>
      <c r="P18" s="3"/>
      <c r="Q18" s="3"/>
      <c r="R18" s="2"/>
      <c r="S18" s="168"/>
      <c r="T18" s="3"/>
      <c r="U18" s="3"/>
      <c r="V18" s="3"/>
    </row>
    <row r="19" spans="1:22" ht="20.85" customHeight="1" x14ac:dyDescent="0.25">
      <c r="A19" s="21"/>
      <c r="B19" s="267"/>
      <c r="C19" s="3"/>
      <c r="D19" s="264"/>
      <c r="E19" s="264"/>
      <c r="F19" s="267"/>
      <c r="G19" s="267"/>
      <c r="H19" s="2"/>
      <c r="I19" s="2"/>
      <c r="J19" s="2"/>
      <c r="K19" s="24" t="str">
        <f>IF(May[[#This Row],[Date of Incident]]="","",TEXT(May[[#This Row],[Date of Incident]],"ddd"))</f>
        <v/>
      </c>
      <c r="L19" s="1"/>
      <c r="M19" s="24" t="str">
        <f>IFERROR(VLOOKUP(May[[#This Row],[Hour]],Shifts[],2,FALSE),"")</f>
        <v/>
      </c>
      <c r="N19" s="2"/>
      <c r="O19" s="24" t="str">
        <f>IFERROR(VLOOKUP(May[[#This Row],[BIMS Score]],BIMS[],2,FALSE),"")</f>
        <v/>
      </c>
      <c r="P19" s="3"/>
      <c r="Q19" s="3"/>
      <c r="R19" s="2"/>
      <c r="S19" s="168"/>
      <c r="T19" s="3"/>
      <c r="U19" s="3"/>
      <c r="V19" s="3"/>
    </row>
    <row r="20" spans="1:22" ht="20.85" customHeight="1" x14ac:dyDescent="0.25">
      <c r="A20" s="21"/>
      <c r="B20" s="267"/>
      <c r="C20" s="3"/>
      <c r="D20" s="264"/>
      <c r="E20" s="264"/>
      <c r="F20" s="267"/>
      <c r="G20" s="267"/>
      <c r="H20" s="2"/>
      <c r="I20" s="2"/>
      <c r="J20" s="2"/>
      <c r="K20" s="24" t="str">
        <f>IF(May[[#This Row],[Date of Incident]]="","",TEXT(May[[#This Row],[Date of Incident]],"ddd"))</f>
        <v/>
      </c>
      <c r="L20" s="1"/>
      <c r="M20" s="24" t="str">
        <f>IFERROR(VLOOKUP(May[[#This Row],[Hour]],Shifts[],2,FALSE),"")</f>
        <v/>
      </c>
      <c r="N20" s="2"/>
      <c r="O20" s="24" t="str">
        <f>IFERROR(VLOOKUP(May[[#This Row],[BIMS Score]],BIMS[],2,FALSE),"")</f>
        <v/>
      </c>
      <c r="P20" s="3"/>
      <c r="Q20" s="3"/>
      <c r="R20" s="2"/>
      <c r="S20" s="168"/>
      <c r="T20" s="3"/>
      <c r="U20" s="3"/>
      <c r="V20" s="3"/>
    </row>
    <row r="21" spans="1:22" ht="20.85" customHeight="1" x14ac:dyDescent="0.25">
      <c r="A21" s="21"/>
      <c r="B21" s="267"/>
      <c r="C21" s="3"/>
      <c r="D21" s="264"/>
      <c r="E21" s="264"/>
      <c r="F21" s="267"/>
      <c r="G21" s="267"/>
      <c r="H21" s="2"/>
      <c r="I21" s="2"/>
      <c r="J21" s="2"/>
      <c r="K21" s="24" t="str">
        <f>IF(May[[#This Row],[Date of Incident]]="","",TEXT(May[[#This Row],[Date of Incident]],"ddd"))</f>
        <v/>
      </c>
      <c r="L21" s="1"/>
      <c r="M21" s="24" t="str">
        <f>IFERROR(VLOOKUP(May[[#This Row],[Hour]],Shifts[],2,FALSE),"")</f>
        <v/>
      </c>
      <c r="N21" s="2"/>
      <c r="O21" s="24" t="str">
        <f>IFERROR(VLOOKUP(May[[#This Row],[BIMS Score]],BIMS[],2,FALSE),"")</f>
        <v/>
      </c>
      <c r="P21" s="3"/>
      <c r="Q21" s="3"/>
      <c r="R21" s="2"/>
      <c r="S21" s="168"/>
      <c r="T21" s="3"/>
      <c r="U21" s="3"/>
      <c r="V21" s="3"/>
    </row>
    <row r="22" spans="1:22" ht="20.85" customHeight="1" x14ac:dyDescent="0.25">
      <c r="A22" s="21"/>
      <c r="B22" s="267"/>
      <c r="C22" s="3"/>
      <c r="D22" s="264"/>
      <c r="E22" s="264"/>
      <c r="F22" s="267"/>
      <c r="G22" s="267"/>
      <c r="H22" s="2"/>
      <c r="I22" s="2"/>
      <c r="J22" s="2"/>
      <c r="K22" s="24" t="str">
        <f>IF(May[[#This Row],[Date of Incident]]="","",TEXT(May[[#This Row],[Date of Incident]],"ddd"))</f>
        <v/>
      </c>
      <c r="L22" s="1"/>
      <c r="M22" s="24" t="str">
        <f>IFERROR(VLOOKUP(May[[#This Row],[Hour]],Shifts[],2,FALSE),"")</f>
        <v/>
      </c>
      <c r="N22" s="1"/>
      <c r="O22" s="24" t="str">
        <f>IFERROR(VLOOKUP(May[[#This Row],[BIMS Score]],BIMS[],2,FALSE),"")</f>
        <v/>
      </c>
      <c r="P22" s="3"/>
      <c r="Q22" s="3"/>
      <c r="R22" s="2"/>
      <c r="S22" s="168"/>
      <c r="T22" s="3"/>
      <c r="U22" s="3"/>
      <c r="V22" s="3"/>
    </row>
    <row r="23" spans="1:22" ht="20.85" customHeight="1" x14ac:dyDescent="0.25">
      <c r="A23" s="21"/>
      <c r="B23" s="267"/>
      <c r="C23" s="3"/>
      <c r="D23" s="264"/>
      <c r="E23" s="264"/>
      <c r="F23" s="267"/>
      <c r="G23" s="267"/>
      <c r="H23" s="2"/>
      <c r="I23" s="2"/>
      <c r="J23" s="2"/>
      <c r="K23" s="24" t="str">
        <f>IF(May[[#This Row],[Date of Incident]]="","",TEXT(May[[#This Row],[Date of Incident]],"ddd"))</f>
        <v/>
      </c>
      <c r="L23" s="1"/>
      <c r="M23" s="24" t="str">
        <f>IFERROR(VLOOKUP(May[[#This Row],[Hour]],Shifts[],2,FALSE),"")</f>
        <v/>
      </c>
      <c r="N23" s="1"/>
      <c r="O23" s="24" t="str">
        <f>IFERROR(VLOOKUP(May[[#This Row],[BIMS Score]],BIMS[],2,FALSE),"")</f>
        <v/>
      </c>
      <c r="P23" s="3"/>
      <c r="Q23" s="3"/>
      <c r="R23" s="2"/>
      <c r="S23" s="168"/>
      <c r="T23" s="3"/>
      <c r="U23" s="3"/>
      <c r="V23" s="3"/>
    </row>
    <row r="24" spans="1:22" s="10" customFormat="1" ht="20.85" customHeight="1" x14ac:dyDescent="0.25">
      <c r="A24" s="26"/>
      <c r="B24" s="266"/>
      <c r="C24" s="5"/>
      <c r="D24" s="263"/>
      <c r="E24" s="263"/>
      <c r="F24" s="267"/>
      <c r="G24" s="267"/>
      <c r="H24" s="1"/>
      <c r="I24" s="1"/>
      <c r="J24" s="1"/>
      <c r="K24" s="24" t="str">
        <f>IF(May[[#This Row],[Date of Incident]]="","",TEXT(May[[#This Row],[Date of Incident]],"ddd"))</f>
        <v/>
      </c>
      <c r="L24" s="1"/>
      <c r="M24" s="24" t="str">
        <f>IFERROR(VLOOKUP(May[[#This Row],[Hour]],Shifts[],2,FALSE),"")</f>
        <v/>
      </c>
      <c r="N24" s="1"/>
      <c r="O24" s="24" t="str">
        <f>IFERROR(VLOOKUP(May[[#This Row],[BIMS Score]],BIMS[],2,FALSE),"")</f>
        <v/>
      </c>
      <c r="P24" s="3"/>
      <c r="Q24" s="3"/>
      <c r="R24" s="2"/>
      <c r="S24" s="168"/>
      <c r="T24" s="5"/>
      <c r="U24" s="5"/>
      <c r="V24" s="3"/>
    </row>
    <row r="25" spans="1:22" ht="20.85" customHeight="1" x14ac:dyDescent="0.25">
      <c r="A25" s="21"/>
      <c r="B25" s="266"/>
      <c r="C25" s="5"/>
      <c r="D25" s="263"/>
      <c r="E25" s="263"/>
      <c r="F25" s="267"/>
      <c r="G25" s="267"/>
      <c r="H25" s="1"/>
      <c r="I25" s="1"/>
      <c r="J25" s="1"/>
      <c r="K25" s="24" t="str">
        <f>IF(May[[#This Row],[Date of Incident]]="","",TEXT(May[[#This Row],[Date of Incident]],"ddd"))</f>
        <v/>
      </c>
      <c r="L25" s="1"/>
      <c r="M25" s="24" t="str">
        <f>IFERROR(VLOOKUP(May[[#This Row],[Hour]],Shifts[],2,FALSE),"")</f>
        <v/>
      </c>
      <c r="N25" s="1"/>
      <c r="O25" s="24" t="str">
        <f>IFERROR(VLOOKUP(May[[#This Row],[BIMS Score]],BIMS[],2,FALSE),"")</f>
        <v/>
      </c>
      <c r="P25" s="3"/>
      <c r="Q25" s="3"/>
      <c r="R25" s="2"/>
      <c r="S25" s="168"/>
      <c r="T25" s="5"/>
      <c r="U25" s="5"/>
      <c r="V25" s="3"/>
    </row>
    <row r="26" spans="1:22" ht="20.85" customHeight="1" x14ac:dyDescent="0.25">
      <c r="A26" s="21"/>
      <c r="B26" s="266"/>
      <c r="C26" s="5"/>
      <c r="D26" s="263"/>
      <c r="E26" s="263"/>
      <c r="F26" s="267"/>
      <c r="G26" s="267"/>
      <c r="H26" s="1"/>
      <c r="I26" s="1"/>
      <c r="J26" s="1"/>
      <c r="K26" s="24" t="str">
        <f>IF(May[[#This Row],[Date of Incident]]="","",TEXT(May[[#This Row],[Date of Incident]],"ddd"))</f>
        <v/>
      </c>
      <c r="L26" s="1"/>
      <c r="M26" s="24" t="str">
        <f>IFERROR(VLOOKUP(May[[#This Row],[Hour]],Shifts[],2,FALSE),"")</f>
        <v/>
      </c>
      <c r="N26" s="1"/>
      <c r="O26" s="24" t="str">
        <f>IFERROR(VLOOKUP(May[[#This Row],[BIMS Score]],BIMS[],2,FALSE),"")</f>
        <v/>
      </c>
      <c r="P26" s="3"/>
      <c r="Q26" s="3"/>
      <c r="R26" s="2"/>
      <c r="S26" s="168"/>
      <c r="T26" s="5"/>
      <c r="U26" s="5"/>
      <c r="V26" s="3"/>
    </row>
    <row r="27" spans="1:22" ht="20.85" customHeight="1" x14ac:dyDescent="0.25">
      <c r="A27" s="21"/>
      <c r="B27" s="266"/>
      <c r="C27" s="5"/>
      <c r="D27" s="263"/>
      <c r="E27" s="263"/>
      <c r="F27" s="267"/>
      <c r="G27" s="267"/>
      <c r="H27" s="1"/>
      <c r="I27" s="1"/>
      <c r="J27" s="1"/>
      <c r="K27" s="24" t="str">
        <f>IF(May[[#This Row],[Date of Incident]]="","",TEXT(May[[#This Row],[Date of Incident]],"ddd"))</f>
        <v/>
      </c>
      <c r="L27" s="1"/>
      <c r="M27" s="24" t="str">
        <f>IFERROR(VLOOKUP(May[[#This Row],[Hour]],Shifts[],2,FALSE),"")</f>
        <v/>
      </c>
      <c r="N27" s="1"/>
      <c r="O27" s="24" t="str">
        <f>IFERROR(VLOOKUP(May[[#This Row],[BIMS Score]],BIMS[],2,FALSE),"")</f>
        <v/>
      </c>
      <c r="P27" s="3"/>
      <c r="Q27" s="3"/>
      <c r="R27" s="2"/>
      <c r="S27" s="168"/>
      <c r="T27" s="5"/>
      <c r="U27" s="5"/>
      <c r="V27" s="3"/>
    </row>
    <row r="28" spans="1:22" ht="20.85" customHeight="1" x14ac:dyDescent="0.25">
      <c r="A28" s="21"/>
      <c r="B28" s="266"/>
      <c r="C28" s="5"/>
      <c r="D28" s="263"/>
      <c r="E28" s="263"/>
      <c r="F28" s="267"/>
      <c r="G28" s="267"/>
      <c r="H28" s="1"/>
      <c r="I28" s="1"/>
      <c r="J28" s="1"/>
      <c r="K28" s="24" t="str">
        <f>IF(May[[#This Row],[Date of Incident]]="","",TEXT(May[[#This Row],[Date of Incident]],"ddd"))</f>
        <v/>
      </c>
      <c r="L28" s="1"/>
      <c r="M28" s="24" t="str">
        <f>IFERROR(VLOOKUP(May[[#This Row],[Hour]],Shifts[],2,FALSE),"")</f>
        <v/>
      </c>
      <c r="N28" s="1"/>
      <c r="O28" s="24" t="str">
        <f>IFERROR(VLOOKUP(May[[#This Row],[BIMS Score]],BIMS[],2,FALSE),"")</f>
        <v/>
      </c>
      <c r="P28" s="3"/>
      <c r="Q28" s="3"/>
      <c r="R28" s="2"/>
      <c r="S28" s="168"/>
      <c r="T28" s="5"/>
      <c r="U28" s="5"/>
      <c r="V28" s="3"/>
    </row>
    <row r="29" spans="1:22" ht="20.85" customHeight="1" x14ac:dyDescent="0.25">
      <c r="B29" s="266"/>
      <c r="C29" s="5"/>
      <c r="D29" s="263"/>
      <c r="E29" s="263"/>
      <c r="F29" s="267"/>
      <c r="G29" s="267"/>
      <c r="H29" s="1"/>
      <c r="I29" s="1"/>
      <c r="J29" s="1"/>
      <c r="K29" s="27" t="str">
        <f>IF(May[[#This Row],[Date of Incident]]="","",TEXT(May[[#This Row],[Date of Incident]],"ddd"))</f>
        <v/>
      </c>
      <c r="L29" s="1"/>
      <c r="M29" s="27" t="str">
        <f>IFERROR(VLOOKUP(May[[#This Row],[Hour]],Shifts[],2,FALSE),"")</f>
        <v/>
      </c>
      <c r="N29" s="2"/>
      <c r="O29" s="24" t="str">
        <f>IFERROR(VLOOKUP(May[[#This Row],[BIMS Score]],BIMS[],2,FALSE),"")</f>
        <v/>
      </c>
      <c r="P29" s="3"/>
      <c r="Q29" s="3"/>
      <c r="R29" s="2"/>
      <c r="S29" s="168"/>
      <c r="T29" s="5"/>
      <c r="U29" s="5"/>
      <c r="V29" s="5"/>
    </row>
    <row r="30" spans="1:22" ht="20.85" customHeight="1" x14ac:dyDescent="0.25">
      <c r="B30" s="266"/>
      <c r="C30" s="5"/>
      <c r="D30" s="263"/>
      <c r="E30" s="263"/>
      <c r="F30" s="267"/>
      <c r="G30" s="267"/>
      <c r="H30" s="1"/>
      <c r="I30" s="1"/>
      <c r="J30" s="1"/>
      <c r="K30" s="27" t="str">
        <f>IF(May[[#This Row],[Date of Incident]]="","",TEXT(May[[#This Row],[Date of Incident]],"ddd"))</f>
        <v/>
      </c>
      <c r="L30" s="1"/>
      <c r="M30" s="27" t="str">
        <f>IFERROR(VLOOKUP(May[[#This Row],[Hour]],Shifts[],2,FALSE),"")</f>
        <v/>
      </c>
      <c r="N30" s="2"/>
      <c r="O30" s="24" t="str">
        <f>IFERROR(VLOOKUP(May[[#This Row],[BIMS Score]],BIMS[],2,FALSE),"")</f>
        <v/>
      </c>
      <c r="P30" s="3"/>
      <c r="Q30" s="3"/>
      <c r="R30" s="2"/>
      <c r="S30" s="168"/>
      <c r="T30" s="5"/>
      <c r="U30" s="5"/>
      <c r="V30" s="5"/>
    </row>
    <row r="31" spans="1:22" ht="20.85" customHeight="1" x14ac:dyDescent="0.25">
      <c r="B31" s="266"/>
      <c r="C31" s="5"/>
      <c r="D31" s="263"/>
      <c r="E31" s="263"/>
      <c r="F31" s="267"/>
      <c r="G31" s="267"/>
      <c r="H31" s="1"/>
      <c r="I31" s="1"/>
      <c r="J31" s="1"/>
      <c r="K31" s="27" t="str">
        <f>IF(May[[#This Row],[Date of Incident]]="","",TEXT(May[[#This Row],[Date of Incident]],"ddd"))</f>
        <v/>
      </c>
      <c r="L31" s="1"/>
      <c r="M31" s="27" t="str">
        <f>IFERROR(VLOOKUP(May[[#This Row],[Hour]],Shifts[],2,FALSE),"")</f>
        <v/>
      </c>
      <c r="N31" s="2"/>
      <c r="O31" s="24" t="str">
        <f>IFERROR(VLOOKUP(May[[#This Row],[BIMS Score]],BIMS[],2,FALSE),"")</f>
        <v/>
      </c>
      <c r="P31" s="3"/>
      <c r="Q31" s="3"/>
      <c r="R31" s="2"/>
      <c r="S31" s="168"/>
      <c r="T31" s="5"/>
      <c r="U31" s="5"/>
      <c r="V31" s="5"/>
    </row>
    <row r="32" spans="1:22" ht="20.85" customHeight="1" x14ac:dyDescent="0.25">
      <c r="B32" s="266"/>
      <c r="C32" s="5"/>
      <c r="D32" s="263"/>
      <c r="E32" s="263"/>
      <c r="F32" s="267"/>
      <c r="G32" s="267"/>
      <c r="H32" s="1"/>
      <c r="I32" s="1"/>
      <c r="J32" s="1"/>
      <c r="K32" s="27" t="str">
        <f>IF(May[[#This Row],[Date of Incident]]="","",TEXT(May[[#This Row],[Date of Incident]],"ddd"))</f>
        <v/>
      </c>
      <c r="L32" s="1"/>
      <c r="M32" s="27" t="str">
        <f>IFERROR(VLOOKUP(May[[#This Row],[Hour]],Shifts[],2,FALSE),"")</f>
        <v/>
      </c>
      <c r="N32" s="2"/>
      <c r="O32" s="24" t="str">
        <f>IFERROR(VLOOKUP(May[[#This Row],[BIMS Score]],BIMS[],2,FALSE),"")</f>
        <v/>
      </c>
      <c r="P32" s="3"/>
      <c r="Q32" s="3"/>
      <c r="R32" s="2"/>
      <c r="S32" s="168"/>
      <c r="T32" s="5"/>
      <c r="U32" s="5"/>
      <c r="V32" s="5"/>
    </row>
    <row r="33" spans="2:22" ht="20.85" customHeight="1" x14ac:dyDescent="0.25">
      <c r="B33" s="266"/>
      <c r="C33" s="5"/>
      <c r="D33" s="263"/>
      <c r="E33" s="263"/>
      <c r="F33" s="267"/>
      <c r="G33" s="267"/>
      <c r="H33" s="1"/>
      <c r="I33" s="1"/>
      <c r="J33" s="1"/>
      <c r="K33" s="27" t="str">
        <f>IF(May[[#This Row],[Date of Incident]]="","",TEXT(May[[#This Row],[Date of Incident]],"ddd"))</f>
        <v/>
      </c>
      <c r="L33" s="1"/>
      <c r="M33" s="27" t="str">
        <f>IFERROR(VLOOKUP(May[[#This Row],[Hour]],Shifts[],2,FALSE),"")</f>
        <v/>
      </c>
      <c r="N33" s="2"/>
      <c r="O33" s="24" t="str">
        <f>IFERROR(VLOOKUP(May[[#This Row],[BIMS Score]],BIMS[],2,FALSE),"")</f>
        <v/>
      </c>
      <c r="P33" s="3"/>
      <c r="Q33" s="3"/>
      <c r="R33" s="2"/>
      <c r="S33" s="168"/>
      <c r="T33" s="5"/>
      <c r="U33" s="5"/>
      <c r="V33" s="5"/>
    </row>
    <row r="34" spans="2:22" ht="20.85" customHeight="1" x14ac:dyDescent="0.25">
      <c r="B34" s="266"/>
      <c r="C34" s="5"/>
      <c r="D34" s="263"/>
      <c r="E34" s="263"/>
      <c r="F34" s="267"/>
      <c r="G34" s="267"/>
      <c r="H34" s="1"/>
      <c r="I34" s="1"/>
      <c r="J34" s="1"/>
      <c r="K34" s="27" t="str">
        <f>IF(May[[#This Row],[Date of Incident]]="","",TEXT(May[[#This Row],[Date of Incident]],"ddd"))</f>
        <v/>
      </c>
      <c r="L34" s="1"/>
      <c r="M34" s="27" t="str">
        <f>IFERROR(VLOOKUP(May[[#This Row],[Hour]],Shifts[],2,FALSE),"")</f>
        <v/>
      </c>
      <c r="N34" s="2"/>
      <c r="O34" s="24" t="str">
        <f>IFERROR(VLOOKUP(May[[#This Row],[BIMS Score]],BIMS[],2,FALSE),"")</f>
        <v/>
      </c>
      <c r="P34" s="3"/>
      <c r="Q34" s="3"/>
      <c r="R34" s="2"/>
      <c r="S34" s="168"/>
      <c r="T34" s="5"/>
      <c r="U34" s="5"/>
      <c r="V34" s="5"/>
    </row>
    <row r="35" spans="2:22" ht="20.85" customHeight="1" x14ac:dyDescent="0.25">
      <c r="B35" s="266"/>
      <c r="C35" s="5"/>
      <c r="D35" s="263"/>
      <c r="E35" s="263"/>
      <c r="F35" s="267"/>
      <c r="G35" s="267"/>
      <c r="H35" s="1"/>
      <c r="I35" s="1"/>
      <c r="J35" s="1"/>
      <c r="K35" s="27" t="str">
        <f>IF(May[[#This Row],[Date of Incident]]="","",TEXT(May[[#This Row],[Date of Incident]],"ddd"))</f>
        <v/>
      </c>
      <c r="L35" s="1"/>
      <c r="M35" s="27" t="str">
        <f>IFERROR(VLOOKUP(May[[#This Row],[Hour]],Shifts[],2,FALSE),"")</f>
        <v/>
      </c>
      <c r="N35" s="2"/>
      <c r="O35" s="24" t="str">
        <f>IFERROR(VLOOKUP(May[[#This Row],[BIMS Score]],BIMS[],2,FALSE),"")</f>
        <v/>
      </c>
      <c r="P35" s="3"/>
      <c r="Q35" s="3"/>
      <c r="R35" s="2"/>
      <c r="S35" s="168"/>
      <c r="T35" s="5"/>
      <c r="U35" s="5"/>
      <c r="V35" s="5"/>
    </row>
    <row r="36" spans="2:22" ht="20.85" customHeight="1" x14ac:dyDescent="0.25">
      <c r="B36" s="266"/>
      <c r="C36" s="5"/>
      <c r="D36" s="263"/>
      <c r="E36" s="263"/>
      <c r="F36" s="267"/>
      <c r="G36" s="267"/>
      <c r="H36" s="1"/>
      <c r="I36" s="1"/>
      <c r="J36" s="1"/>
      <c r="K36" s="27" t="str">
        <f>IF(May[[#This Row],[Date of Incident]]="","",TEXT(May[[#This Row],[Date of Incident]],"ddd"))</f>
        <v/>
      </c>
      <c r="L36" s="1"/>
      <c r="M36" s="27" t="str">
        <f>IFERROR(VLOOKUP(May[[#This Row],[Hour]],Shifts[],2,FALSE),"")</f>
        <v/>
      </c>
      <c r="N36" s="2"/>
      <c r="O36" s="24" t="str">
        <f>IFERROR(VLOOKUP(May[[#This Row],[BIMS Score]],BIMS[],2,FALSE),"")</f>
        <v/>
      </c>
      <c r="P36" s="3"/>
      <c r="Q36" s="3"/>
      <c r="R36" s="2"/>
      <c r="S36" s="168"/>
      <c r="T36" s="5"/>
      <c r="U36" s="5"/>
      <c r="V36" s="5"/>
    </row>
    <row r="37" spans="2:22" ht="20.85" customHeight="1" x14ac:dyDescent="0.25">
      <c r="B37" s="266"/>
      <c r="C37" s="5"/>
      <c r="D37" s="263"/>
      <c r="E37" s="263"/>
      <c r="F37" s="267"/>
      <c r="G37" s="267"/>
      <c r="H37" s="1"/>
      <c r="I37" s="1"/>
      <c r="J37" s="1"/>
      <c r="K37" s="27" t="str">
        <f>IF(May[[#This Row],[Date of Incident]]="","",TEXT(May[[#This Row],[Date of Incident]],"ddd"))</f>
        <v/>
      </c>
      <c r="L37" s="1"/>
      <c r="M37" s="27" t="str">
        <f>IFERROR(VLOOKUP(May[[#This Row],[Hour]],Shifts[],2,FALSE),"")</f>
        <v/>
      </c>
      <c r="N37" s="2"/>
      <c r="O37" s="24" t="str">
        <f>IFERROR(VLOOKUP(May[[#This Row],[BIMS Score]],BIMS[],2,FALSE),"")</f>
        <v/>
      </c>
      <c r="P37" s="3"/>
      <c r="Q37" s="3"/>
      <c r="R37" s="2"/>
      <c r="S37" s="168"/>
      <c r="T37" s="5"/>
      <c r="U37" s="5"/>
      <c r="V37" s="5"/>
    </row>
    <row r="38" spans="2:22" ht="20.85" customHeight="1" x14ac:dyDescent="0.25">
      <c r="B38" s="266"/>
      <c r="C38" s="5"/>
      <c r="D38" s="263"/>
      <c r="E38" s="263"/>
      <c r="F38" s="267"/>
      <c r="G38" s="267"/>
      <c r="H38" s="1"/>
      <c r="I38" s="1"/>
      <c r="J38" s="1"/>
      <c r="K38" s="27" t="str">
        <f>IF(May[[#This Row],[Date of Incident]]="","",TEXT(May[[#This Row],[Date of Incident]],"ddd"))</f>
        <v/>
      </c>
      <c r="L38" s="1"/>
      <c r="M38" s="27" t="str">
        <f>IFERROR(VLOOKUP(May[[#This Row],[Hour]],Shifts[],2,FALSE),"")</f>
        <v/>
      </c>
      <c r="N38" s="2"/>
      <c r="O38" s="24" t="str">
        <f>IFERROR(VLOOKUP(May[[#This Row],[BIMS Score]],BIMS[],2,FALSE),"")</f>
        <v/>
      </c>
      <c r="P38" s="3"/>
      <c r="Q38" s="3"/>
      <c r="R38" s="2"/>
      <c r="S38" s="168"/>
      <c r="T38" s="5"/>
      <c r="U38" s="5"/>
      <c r="V38" s="5"/>
    </row>
    <row r="39" spans="2:22" ht="20.85" customHeight="1" x14ac:dyDescent="0.25">
      <c r="B39" s="266"/>
      <c r="C39" s="5"/>
      <c r="D39" s="263"/>
      <c r="E39" s="263"/>
      <c r="F39" s="267"/>
      <c r="G39" s="267"/>
      <c r="H39" s="1"/>
      <c r="I39" s="1"/>
      <c r="J39" s="1"/>
      <c r="K39" s="27" t="str">
        <f>IF(May[[#This Row],[Date of Incident]]="","",TEXT(May[[#This Row],[Date of Incident]],"ddd"))</f>
        <v/>
      </c>
      <c r="L39" s="1"/>
      <c r="M39" s="27" t="str">
        <f>IFERROR(VLOOKUP(May[[#This Row],[Hour]],Shifts[],2,FALSE),"")</f>
        <v/>
      </c>
      <c r="N39" s="2"/>
      <c r="O39" s="24" t="str">
        <f>IFERROR(VLOOKUP(May[[#This Row],[BIMS Score]],BIMS[],2,FALSE),"")</f>
        <v/>
      </c>
      <c r="P39" s="3"/>
      <c r="Q39" s="3"/>
      <c r="R39" s="2"/>
      <c r="S39" s="168"/>
      <c r="T39" s="5"/>
      <c r="U39" s="5"/>
      <c r="V39" s="5"/>
    </row>
    <row r="40" spans="2:22" ht="20.85" customHeight="1" x14ac:dyDescent="0.25">
      <c r="B40" s="266"/>
      <c r="C40" s="5"/>
      <c r="D40" s="263"/>
      <c r="E40" s="263"/>
      <c r="F40" s="267"/>
      <c r="G40" s="267"/>
      <c r="H40" s="1"/>
      <c r="I40" s="1"/>
      <c r="J40" s="1"/>
      <c r="K40" s="27" t="str">
        <f>IF(May[[#This Row],[Date of Incident]]="","",TEXT(May[[#This Row],[Date of Incident]],"ddd"))</f>
        <v/>
      </c>
      <c r="L40" s="1"/>
      <c r="M40" s="27" t="str">
        <f>IFERROR(VLOOKUP(May[[#This Row],[Hour]],Shifts[],2,FALSE),"")</f>
        <v/>
      </c>
      <c r="N40" s="2"/>
      <c r="O40" s="24" t="str">
        <f>IFERROR(VLOOKUP(May[[#This Row],[BIMS Score]],BIMS[],2,FALSE),"")</f>
        <v/>
      </c>
      <c r="P40" s="3"/>
      <c r="Q40" s="3"/>
      <c r="R40" s="2"/>
      <c r="S40" s="168"/>
      <c r="T40" s="5"/>
      <c r="U40" s="5"/>
      <c r="V40" s="5"/>
    </row>
    <row r="41" spans="2:22" x14ac:dyDescent="0.25">
      <c r="B41" s="26"/>
      <c r="C41" s="21"/>
      <c r="D41" s="22"/>
      <c r="E41" s="23"/>
      <c r="F41" s="26"/>
      <c r="G41" s="26"/>
      <c r="H41" s="26"/>
      <c r="I41" s="26"/>
      <c r="J41" s="26"/>
      <c r="K41" s="26"/>
      <c r="L41" s="26"/>
      <c r="M41" s="26"/>
      <c r="N41" s="20"/>
      <c r="O41" s="25"/>
      <c r="P41" s="21"/>
      <c r="Q41" s="21"/>
      <c r="R41" s="25"/>
    </row>
    <row r="42" spans="2:22" x14ac:dyDescent="0.25">
      <c r="B42" s="26"/>
      <c r="C42" s="21"/>
      <c r="D42" s="22"/>
      <c r="E42" s="23"/>
      <c r="F42" s="26"/>
      <c r="G42" s="26"/>
      <c r="H42" s="26"/>
      <c r="I42" s="26"/>
      <c r="J42" s="26"/>
      <c r="K42" s="26"/>
      <c r="L42" s="26"/>
      <c r="M42" s="26"/>
      <c r="N42" s="20"/>
      <c r="O42" s="25"/>
      <c r="P42" s="21"/>
      <c r="Q42" s="21"/>
      <c r="R42" s="25"/>
    </row>
    <row r="43" spans="2:22" x14ac:dyDescent="0.25">
      <c r="B43" s="26"/>
      <c r="C43" s="21"/>
      <c r="D43" s="22"/>
      <c r="E43" s="23"/>
      <c r="F43" s="26"/>
      <c r="G43" s="26"/>
      <c r="H43" s="26"/>
      <c r="I43" s="26"/>
      <c r="J43" s="26"/>
      <c r="K43" s="26"/>
      <c r="L43" s="26"/>
      <c r="M43" s="26"/>
      <c r="N43" s="20"/>
      <c r="O43" s="25"/>
      <c r="P43" s="21"/>
      <c r="Q43" s="21"/>
      <c r="R43" s="25"/>
    </row>
    <row r="44" spans="2:22" x14ac:dyDescent="0.25">
      <c r="B44" s="26"/>
      <c r="C44" s="21"/>
      <c r="D44" s="22"/>
      <c r="E44" s="23"/>
      <c r="F44" s="26"/>
      <c r="G44" s="26"/>
      <c r="H44" s="26"/>
      <c r="I44" s="26"/>
      <c r="J44" s="26"/>
      <c r="K44" s="26"/>
      <c r="L44" s="26"/>
      <c r="M44" s="26"/>
      <c r="N44" s="20"/>
      <c r="O44" s="25"/>
      <c r="P44" s="21"/>
      <c r="Q44" s="21"/>
      <c r="R44" s="25"/>
    </row>
    <row r="45" spans="2:22" x14ac:dyDescent="0.25">
      <c r="B45" s="26"/>
      <c r="C45" s="21"/>
      <c r="D45" s="22"/>
      <c r="E45" s="23"/>
      <c r="F45" s="26"/>
      <c r="G45" s="26"/>
      <c r="H45" s="26"/>
      <c r="I45" s="26"/>
      <c r="J45" s="26"/>
      <c r="K45" s="26"/>
      <c r="L45" s="26"/>
      <c r="M45" s="26"/>
      <c r="N45" s="20"/>
      <c r="O45" s="25"/>
      <c r="P45" s="21"/>
      <c r="Q45" s="21"/>
      <c r="R45" s="25"/>
    </row>
    <row r="46" spans="2:22" x14ac:dyDescent="0.25">
      <c r="B46" s="26"/>
      <c r="C46" s="21"/>
      <c r="D46" s="22"/>
      <c r="E46" s="23"/>
      <c r="F46" s="26"/>
      <c r="G46" s="26"/>
      <c r="H46" s="26"/>
      <c r="I46" s="26"/>
      <c r="J46" s="26"/>
      <c r="K46" s="26"/>
      <c r="L46" s="26"/>
      <c r="M46" s="26"/>
      <c r="N46" s="20"/>
      <c r="O46" s="25"/>
      <c r="P46" s="21"/>
      <c r="Q46" s="21"/>
      <c r="R46" s="25"/>
    </row>
    <row r="47" spans="2:22" x14ac:dyDescent="0.25">
      <c r="B47" s="26"/>
      <c r="C47" s="21"/>
      <c r="D47" s="22"/>
      <c r="E47" s="23"/>
      <c r="F47" s="26"/>
      <c r="G47" s="26"/>
      <c r="H47" s="26"/>
      <c r="I47" s="26"/>
      <c r="J47" s="26"/>
      <c r="K47" s="26"/>
      <c r="L47" s="26"/>
      <c r="M47" s="26"/>
      <c r="N47" s="20"/>
      <c r="O47" s="25"/>
      <c r="P47" s="21"/>
      <c r="Q47" s="21"/>
      <c r="R47" s="25"/>
    </row>
    <row r="48" spans="2:22" x14ac:dyDescent="0.25">
      <c r="B48" s="26"/>
      <c r="C48" s="21"/>
      <c r="D48" s="22"/>
      <c r="E48" s="23"/>
      <c r="F48" s="26"/>
      <c r="G48" s="26"/>
      <c r="H48" s="26"/>
      <c r="I48" s="26"/>
      <c r="J48" s="26"/>
      <c r="K48" s="26"/>
      <c r="L48" s="26"/>
      <c r="M48" s="26"/>
      <c r="N48" s="20"/>
      <c r="O48" s="25"/>
      <c r="P48" s="21"/>
      <c r="Q48" s="21"/>
      <c r="R48" s="25"/>
    </row>
    <row r="49" spans="1:18" x14ac:dyDescent="0.25">
      <c r="B49" s="26"/>
      <c r="C49" s="21"/>
      <c r="D49" s="22"/>
      <c r="E49" s="23"/>
      <c r="F49" s="26"/>
      <c r="G49" s="26"/>
      <c r="H49" s="26"/>
      <c r="I49" s="26"/>
      <c r="J49" s="26"/>
      <c r="K49" s="26"/>
      <c r="L49" s="26"/>
      <c r="M49" s="26"/>
      <c r="N49" s="20"/>
      <c r="O49" s="25"/>
      <c r="P49" s="21"/>
      <c r="Q49" s="21"/>
      <c r="R49" s="25"/>
    </row>
    <row r="50" spans="1:18" ht="15.75" thickBot="1" x14ac:dyDescent="0.3">
      <c r="B50" s="26"/>
      <c r="C50" s="21"/>
      <c r="D50" s="22"/>
      <c r="E50" s="23"/>
      <c r="F50" s="26"/>
      <c r="G50" s="26"/>
      <c r="H50" s="26"/>
      <c r="I50" s="26"/>
      <c r="Q50" s="21"/>
    </row>
    <row r="51" spans="1:18" ht="22.35" customHeight="1" thickBot="1" x14ac:dyDescent="0.3">
      <c r="B51" s="282" t="s">
        <v>85</v>
      </c>
      <c r="C51" s="283"/>
      <c r="D51" s="284"/>
      <c r="F51" s="282" t="s">
        <v>100</v>
      </c>
      <c r="G51" s="283"/>
      <c r="H51" s="284"/>
    </row>
    <row r="52" spans="1:18" ht="15.6" customHeight="1" x14ac:dyDescent="0.25">
      <c r="B52" s="285" t="s">
        <v>83</v>
      </c>
      <c r="C52" s="286"/>
      <c r="D52" s="28" t="s">
        <v>35</v>
      </c>
      <c r="F52" s="285" t="s">
        <v>83</v>
      </c>
      <c r="G52" s="286"/>
      <c r="H52" s="28" t="s">
        <v>35</v>
      </c>
    </row>
    <row r="53" spans="1:18" x14ac:dyDescent="0.25">
      <c r="B53" s="29" t="s">
        <v>41</v>
      </c>
      <c r="C53" s="30"/>
      <c r="D53" s="31">
        <f>COUNTIFS(May[Witnessed
Fall?],$B53)</f>
        <v>0</v>
      </c>
      <c r="F53" s="29" t="s">
        <v>79</v>
      </c>
      <c r="G53" s="30"/>
      <c r="H53" s="31">
        <f>COUNTIFS(May[Fall Circumstances],$F53)</f>
        <v>0</v>
      </c>
    </row>
    <row r="54" spans="1:18" ht="15.75" thickBot="1" x14ac:dyDescent="0.3">
      <c r="B54" s="32" t="s">
        <v>42</v>
      </c>
      <c r="C54" s="33"/>
      <c r="D54" s="34">
        <f>COUNTIFS(May[Witnessed
Fall?],$B54)</f>
        <v>0</v>
      </c>
      <c r="F54" s="29" t="s">
        <v>101</v>
      </c>
      <c r="G54" s="30"/>
      <c r="H54" s="31">
        <f>COUNTIFS(May[Fall Circumstances],$F54)</f>
        <v>0</v>
      </c>
    </row>
    <row r="55" spans="1:18" ht="15.6" customHeight="1" thickBot="1" x14ac:dyDescent="0.3">
      <c r="B55" s="287" t="s">
        <v>16</v>
      </c>
      <c r="C55" s="288"/>
      <c r="D55" s="35">
        <f>SUM(D53:D54)</f>
        <v>0</v>
      </c>
      <c r="F55" s="32" t="s">
        <v>102</v>
      </c>
      <c r="G55" s="33"/>
      <c r="H55" s="36">
        <f>COUNTIFS(May[Fall Circumstances],$F55)</f>
        <v>0</v>
      </c>
    </row>
    <row r="56" spans="1:18" ht="15.6" customHeight="1" thickBot="1" x14ac:dyDescent="0.3">
      <c r="A56" s="26"/>
      <c r="B56" s="21"/>
      <c r="C56" s="22"/>
      <c r="D56" s="26"/>
      <c r="F56" s="287" t="s">
        <v>16</v>
      </c>
      <c r="G56" s="288"/>
      <c r="H56" s="37">
        <f>SUM(H53:H55)</f>
        <v>0</v>
      </c>
    </row>
    <row r="57" spans="1:18" ht="15.75" thickBot="1" x14ac:dyDescent="0.3">
      <c r="A57" s="26"/>
      <c r="B57" s="21"/>
      <c r="C57" s="22"/>
      <c r="D57" s="26"/>
      <c r="F57" s="26"/>
      <c r="G57" s="21"/>
      <c r="H57" s="22"/>
      <c r="L57" s="21"/>
      <c r="O57" s="22"/>
    </row>
    <row r="58" spans="1:18" ht="15.75" thickBot="1" x14ac:dyDescent="0.3">
      <c r="A58" s="26"/>
      <c r="B58" s="21"/>
      <c r="C58" s="22"/>
      <c r="D58" s="26"/>
      <c r="F58" s="282" t="s">
        <v>103</v>
      </c>
      <c r="G58" s="283"/>
      <c r="H58" s="284"/>
      <c r="L58" s="21"/>
      <c r="O58" s="22"/>
    </row>
    <row r="59" spans="1:18" x14ac:dyDescent="0.25">
      <c r="A59" s="26"/>
      <c r="B59" s="21"/>
      <c r="C59" s="22"/>
      <c r="D59" s="26"/>
      <c r="F59" s="285" t="s">
        <v>26</v>
      </c>
      <c r="G59" s="286"/>
      <c r="H59" s="28" t="s">
        <v>35</v>
      </c>
      <c r="L59" s="21"/>
      <c r="O59" s="22"/>
    </row>
    <row r="60" spans="1:18" ht="15.6" customHeight="1" x14ac:dyDescent="0.25">
      <c r="F60" s="29" t="s">
        <v>142</v>
      </c>
      <c r="G60" s="30"/>
      <c r="H60" s="31">
        <f>COUNTIFS(May[Cognitive Impairment],$F60)</f>
        <v>0</v>
      </c>
    </row>
    <row r="61" spans="1:18" x14ac:dyDescent="0.25">
      <c r="F61" s="29" t="s">
        <v>143</v>
      </c>
      <c r="G61" s="30"/>
      <c r="H61" s="31">
        <f>COUNTIFS(May[Cognitive Impairment],$F61)</f>
        <v>0</v>
      </c>
    </row>
    <row r="62" spans="1:18" ht="15.75" thickBot="1" x14ac:dyDescent="0.3">
      <c r="F62" s="32" t="s">
        <v>144</v>
      </c>
      <c r="G62" s="33"/>
      <c r="H62" s="31">
        <f>COUNTIFS(May[Cognitive Impairment],$F62)</f>
        <v>0</v>
      </c>
    </row>
    <row r="63" spans="1:18" ht="15.75" thickBot="1" x14ac:dyDescent="0.3">
      <c r="F63" s="287" t="s">
        <v>16</v>
      </c>
      <c r="G63" s="288"/>
      <c r="H63" s="37">
        <f>SUM(H60:H62)</f>
        <v>0</v>
      </c>
    </row>
    <row r="64" spans="1:18" ht="15.75" thickBot="1" x14ac:dyDescent="0.3"/>
    <row r="65" spans="1:8" ht="21.4" customHeight="1" thickBot="1" x14ac:dyDescent="0.3">
      <c r="B65" s="282" t="s">
        <v>78</v>
      </c>
      <c r="C65" s="283"/>
      <c r="D65" s="283"/>
      <c r="E65" s="283"/>
      <c r="F65" s="283"/>
      <c r="G65" s="284"/>
    </row>
    <row r="66" spans="1:8" ht="15.6" customHeight="1" x14ac:dyDescent="0.25">
      <c r="A66" s="38"/>
      <c r="B66" s="290" t="s">
        <v>86</v>
      </c>
      <c r="C66" s="291"/>
      <c r="D66" s="291"/>
      <c r="E66" s="291"/>
      <c r="F66" s="292"/>
      <c r="G66" s="28" t="s">
        <v>35</v>
      </c>
    </row>
    <row r="67" spans="1:8" x14ac:dyDescent="0.25">
      <c r="A67" s="38"/>
      <c r="B67" s="39" t="str" cm="1">
        <f t="array" ref="B67:B90">IF(_xlfn._xlws.SORT(PriortoFall[What was the resident doing prior to fall?],1,1,TRUE)=0,"",(_xlfn._xlws.SORT(PriortoFall[What was the resident doing prior to fall?],1,1,TRUE)))</f>
        <v>Ambulating with assistive device (walker, cane, wheelchair)</v>
      </c>
      <c r="C67" s="40"/>
      <c r="D67" s="40"/>
      <c r="E67" s="40"/>
      <c r="F67" s="41"/>
      <c r="G67" s="42">
        <f>IF($B67="",NA(),COUNTIFS(May[What was resident doing prior to fall?],$B67))</f>
        <v>0</v>
      </c>
      <c r="H67" s="43"/>
    </row>
    <row r="68" spans="1:8" x14ac:dyDescent="0.25">
      <c r="A68" s="38"/>
      <c r="B68" s="44" t="str">
        <v>Ambulating with staff assistance</v>
      </c>
      <c r="C68" s="45"/>
      <c r="D68" s="45"/>
      <c r="E68" s="45"/>
      <c r="F68" s="46"/>
      <c r="G68" s="42">
        <f>IF($B68="",NA(),COUNTIFS(May[What was resident doing prior to fall?],$B68))</f>
        <v>0</v>
      </c>
    </row>
    <row r="69" spans="1:8" x14ac:dyDescent="0.25">
      <c r="A69" s="38"/>
      <c r="B69" s="39" t="str">
        <v>Ambulating without assistance or assistive device</v>
      </c>
      <c r="C69" s="40"/>
      <c r="D69" s="40"/>
      <c r="E69" s="40"/>
      <c r="F69" s="41"/>
      <c r="G69" s="42">
        <f>IF($B69="",NA(),COUNTIFS(May[What was resident doing prior to fall?],$B69))</f>
        <v>0</v>
      </c>
    </row>
    <row r="70" spans="1:8" x14ac:dyDescent="0.25">
      <c r="A70" s="38"/>
      <c r="B70" s="44" t="str">
        <v>Changing position (e.g., in bed, chair)</v>
      </c>
      <c r="C70" s="45"/>
      <c r="D70" s="45"/>
      <c r="E70" s="45"/>
      <c r="F70" s="46"/>
      <c r="G70" s="42">
        <f>IF($B70="",NA(),COUNTIFS(May[What was resident doing prior to fall?],$B70))</f>
        <v>0</v>
      </c>
    </row>
    <row r="71" spans="1:8" x14ac:dyDescent="0.25">
      <c r="A71" s="38"/>
      <c r="B71" s="44" t="str">
        <v>Dressing or undressing</v>
      </c>
      <c r="C71" s="45"/>
      <c r="D71" s="45"/>
      <c r="E71" s="45"/>
      <c r="F71" s="46"/>
      <c r="G71" s="42">
        <f>IF($B71="",NA(),COUNTIFS(May[What was resident doing prior to fall?],$B71))</f>
        <v>0</v>
      </c>
    </row>
    <row r="72" spans="1:8" x14ac:dyDescent="0.25">
      <c r="A72" s="38"/>
      <c r="B72" s="44" t="str">
        <v>Other activity</v>
      </c>
      <c r="C72" s="45"/>
      <c r="D72" s="45"/>
      <c r="E72" s="45"/>
      <c r="F72" s="46"/>
      <c r="G72" s="42">
        <f>IF($B72="",NA(),COUNTIFS(May[What was resident doing prior to fall?],$B72))</f>
        <v>0</v>
      </c>
    </row>
    <row r="73" spans="1:8" x14ac:dyDescent="0.25">
      <c r="A73" s="38"/>
      <c r="B73" s="44" t="str">
        <v>Reaching for an item</v>
      </c>
      <c r="C73" s="45"/>
      <c r="D73" s="45"/>
      <c r="E73" s="45"/>
      <c r="F73" s="46"/>
      <c r="G73" s="42">
        <f>IF($B73="",NA(),COUNTIFS(May[What was resident doing prior to fall?],$B73))</f>
        <v>0</v>
      </c>
    </row>
    <row r="74" spans="1:8" x14ac:dyDescent="0.25">
      <c r="A74" s="38"/>
      <c r="B74" s="44" t="str">
        <v>Showering or bathing</v>
      </c>
      <c r="C74" s="45"/>
      <c r="D74" s="45"/>
      <c r="E74" s="45"/>
      <c r="F74" s="46"/>
      <c r="G74" s="42">
        <f>IF($B74="",NA(),COUNTIFS(May[What was resident doing prior to fall?],$B74))</f>
        <v>0</v>
      </c>
    </row>
    <row r="75" spans="1:8" x14ac:dyDescent="0.25">
      <c r="A75" s="38"/>
      <c r="B75" s="44" t="str">
        <v>Toileting</v>
      </c>
      <c r="C75" s="45"/>
      <c r="D75" s="45"/>
      <c r="E75" s="45"/>
      <c r="F75" s="46"/>
      <c r="G75" s="42">
        <f>IF($B75="",NA(),COUNTIFS(May[What was resident doing prior to fall?],$B75))</f>
        <v>0</v>
      </c>
    </row>
    <row r="76" spans="1:8" x14ac:dyDescent="0.25">
      <c r="A76" s="38"/>
      <c r="B76" s="44" t="str">
        <v>Transferring to or from bed, chair, wheelchair, etc.</v>
      </c>
      <c r="C76" s="45"/>
      <c r="D76" s="45"/>
      <c r="E76" s="45"/>
      <c r="F76" s="46"/>
      <c r="G76" s="42">
        <f>IF($B76="",NA(),COUNTIFS(May[What was resident doing prior to fall?],$B76))</f>
        <v>0</v>
      </c>
    </row>
    <row r="77" spans="1:8" x14ac:dyDescent="0.25">
      <c r="A77" s="38"/>
      <c r="B77" s="39" t="str">
        <v>Unknown</v>
      </c>
      <c r="C77" s="40"/>
      <c r="D77" s="40"/>
      <c r="E77" s="40"/>
      <c r="F77" s="41"/>
      <c r="G77" s="42">
        <f>IF($B77="",NA(),COUNTIFS(May[What was resident doing prior to fall?],$B77))</f>
        <v>0</v>
      </c>
    </row>
    <row r="78" spans="1:8" x14ac:dyDescent="0.25">
      <c r="A78" s="38"/>
      <c r="B78" s="44" t="str">
        <v/>
      </c>
      <c r="C78" s="45"/>
      <c r="D78" s="45"/>
      <c r="E78" s="45"/>
      <c r="F78" s="46"/>
      <c r="G78" s="42" t="e">
        <f>IF($B78="",NA(),COUNTIFS(May[What was resident doing prior to fall?],$B78))</f>
        <v>#N/A</v>
      </c>
    </row>
    <row r="79" spans="1:8" x14ac:dyDescent="0.25">
      <c r="A79" s="38"/>
      <c r="B79" s="39" t="str">
        <v/>
      </c>
      <c r="C79" s="40"/>
      <c r="D79" s="40"/>
      <c r="E79" s="40"/>
      <c r="F79" s="41"/>
      <c r="G79" s="42" t="e">
        <f>IF($B79="",NA(),COUNTIFS(May[What was resident doing prior to fall?],$B79))</f>
        <v>#N/A</v>
      </c>
    </row>
    <row r="80" spans="1:8" x14ac:dyDescent="0.25">
      <c r="A80" s="38"/>
      <c r="B80" s="44" t="str">
        <v/>
      </c>
      <c r="C80" s="45"/>
      <c r="D80" s="45"/>
      <c r="E80" s="45"/>
      <c r="F80" s="46"/>
      <c r="G80" s="42" t="e">
        <f>IF($B80="",NA(),COUNTIFS(May[What was resident doing prior to fall?],$B80))</f>
        <v>#N/A</v>
      </c>
    </row>
    <row r="81" spans="1:7" x14ac:dyDescent="0.25">
      <c r="A81" s="38"/>
      <c r="B81" s="39" t="str">
        <v/>
      </c>
      <c r="C81" s="40"/>
      <c r="D81" s="40"/>
      <c r="E81" s="40"/>
      <c r="F81" s="41"/>
      <c r="G81" s="42" t="e">
        <f>IF($B81="",NA(),COUNTIFS(May[What was resident doing prior to fall?],$B81))</f>
        <v>#N/A</v>
      </c>
    </row>
    <row r="82" spans="1:7" x14ac:dyDescent="0.25">
      <c r="A82" s="38"/>
      <c r="B82" s="44" t="str">
        <v/>
      </c>
      <c r="C82" s="45"/>
      <c r="D82" s="45"/>
      <c r="E82" s="45"/>
      <c r="F82" s="46"/>
      <c r="G82" s="42" t="e">
        <f>IF($B82="",NA(),COUNTIFS(May[What was resident doing prior to fall?],$B82))</f>
        <v>#N/A</v>
      </c>
    </row>
    <row r="83" spans="1:7" x14ac:dyDescent="0.25">
      <c r="A83" s="38"/>
      <c r="B83" s="39" t="str">
        <v/>
      </c>
      <c r="C83" s="40"/>
      <c r="D83" s="40"/>
      <c r="E83" s="40"/>
      <c r="F83" s="41"/>
      <c r="G83" s="42" t="e">
        <f>IF($B83="",NA(),COUNTIFS(May[What was resident doing prior to fall?],$B83))</f>
        <v>#N/A</v>
      </c>
    </row>
    <row r="84" spans="1:7" x14ac:dyDescent="0.25">
      <c r="A84" s="38"/>
      <c r="B84" s="44" t="str">
        <v/>
      </c>
      <c r="C84" s="45"/>
      <c r="D84" s="45"/>
      <c r="E84" s="45"/>
      <c r="F84" s="46"/>
      <c r="G84" s="42" t="e">
        <f>IF($B84="",NA(),COUNTIFS(May[What was resident doing prior to fall?],$B84))</f>
        <v>#N/A</v>
      </c>
    </row>
    <row r="85" spans="1:7" x14ac:dyDescent="0.25">
      <c r="A85" s="38"/>
      <c r="B85" s="44" t="str">
        <v/>
      </c>
      <c r="C85" s="45"/>
      <c r="D85" s="45"/>
      <c r="E85" s="45"/>
      <c r="F85" s="46"/>
      <c r="G85" s="42" t="e">
        <f>IF($B85="",NA(),COUNTIFS(May[What was resident doing prior to fall?],$B85))</f>
        <v>#N/A</v>
      </c>
    </row>
    <row r="86" spans="1:7" x14ac:dyDescent="0.25">
      <c r="A86" s="38"/>
      <c r="B86" s="39" t="str">
        <v/>
      </c>
      <c r="C86" s="40"/>
      <c r="D86" s="40"/>
      <c r="E86" s="40"/>
      <c r="F86" s="41"/>
      <c r="G86" s="42" t="e">
        <f>IF($B86="",NA(),COUNTIFS(May[What was resident doing prior to fall?],$B86))</f>
        <v>#N/A</v>
      </c>
    </row>
    <row r="87" spans="1:7" x14ac:dyDescent="0.25">
      <c r="A87" s="38"/>
      <c r="B87" s="44" t="str">
        <v/>
      </c>
      <c r="C87" s="45"/>
      <c r="D87" s="45"/>
      <c r="E87" s="45"/>
      <c r="F87" s="46"/>
      <c r="G87" s="42" t="e">
        <f>IF($B87="",NA(),COUNTIFS(May[What was resident doing prior to fall?],$B87))</f>
        <v>#N/A</v>
      </c>
    </row>
    <row r="88" spans="1:7" x14ac:dyDescent="0.25">
      <c r="A88" s="38"/>
      <c r="B88" s="39" t="str">
        <v/>
      </c>
      <c r="C88" s="40"/>
      <c r="D88" s="40"/>
      <c r="E88" s="40"/>
      <c r="F88" s="41"/>
      <c r="G88" s="42" t="e">
        <f>IF($B88="",NA(),COUNTIFS(May[What was resident doing prior to fall?],$B88))</f>
        <v>#N/A</v>
      </c>
    </row>
    <row r="89" spans="1:7" x14ac:dyDescent="0.25">
      <c r="A89" s="38"/>
      <c r="B89" s="44" t="str">
        <v/>
      </c>
      <c r="C89" s="45"/>
      <c r="D89" s="45"/>
      <c r="E89" s="45"/>
      <c r="F89" s="46"/>
      <c r="G89" s="42" t="e">
        <f>IF($B89="",NA(),COUNTIFS(May[What was resident doing prior to fall?],$B89))</f>
        <v>#N/A</v>
      </c>
    </row>
    <row r="90" spans="1:7" ht="15.75" thickBot="1" x14ac:dyDescent="0.3">
      <c r="A90" s="38"/>
      <c r="B90" s="47" t="str">
        <v/>
      </c>
      <c r="C90" s="47"/>
      <c r="D90" s="47"/>
      <c r="E90" s="47"/>
      <c r="F90" s="48"/>
      <c r="G90" s="42" t="e">
        <f>IF($B90="",NA(),COUNTIFS(May[What was resident doing prior to fall?],$B90))</f>
        <v>#N/A</v>
      </c>
    </row>
    <row r="91" spans="1:7" ht="15.6" customHeight="1" thickBot="1" x14ac:dyDescent="0.3">
      <c r="B91" s="287" t="s">
        <v>35</v>
      </c>
      <c r="C91" s="288"/>
      <c r="D91" s="288"/>
      <c r="E91" s="288"/>
      <c r="F91" s="289"/>
      <c r="G91" s="37">
        <f>_xlfn.AGGREGATE(9,6,G67:G90)</f>
        <v>0</v>
      </c>
    </row>
    <row r="92" spans="1:7" ht="15.75" thickBot="1" x14ac:dyDescent="0.3"/>
    <row r="93" spans="1:7" ht="22.35" customHeight="1" thickBot="1" x14ac:dyDescent="0.3">
      <c r="B93" s="295" t="s">
        <v>173</v>
      </c>
      <c r="C93" s="296"/>
      <c r="D93" s="297"/>
    </row>
    <row r="94" spans="1:7" x14ac:dyDescent="0.25">
      <c r="A94" s="38"/>
      <c r="B94" s="300" t="s">
        <v>1</v>
      </c>
      <c r="C94" s="301"/>
      <c r="D94" s="49" t="s">
        <v>35</v>
      </c>
    </row>
    <row r="95" spans="1:7" x14ac:dyDescent="0.25">
      <c r="A95" s="38"/>
      <c r="B95" s="50" t="str" cm="1">
        <f t="array" ref="B95:B105">IF(_xlfn._xlws.SORT(Location[Location],1,1,TRUE)=0,"",(_xlfn._xlws.SORT(Location[Location],1,1,TRUE)))</f>
        <v>Activity Room</v>
      </c>
      <c r="C95" s="51"/>
      <c r="D95" s="52">
        <f>IF($B95="",NA(),COUNTIFS(May[Location],$B95))</f>
        <v>0</v>
      </c>
    </row>
    <row r="96" spans="1:7" x14ac:dyDescent="0.25">
      <c r="A96" s="38"/>
      <c r="B96" s="50" t="str">
        <v>Bedroom</v>
      </c>
      <c r="C96" s="51"/>
      <c r="D96" s="52">
        <f>IF($B96="",NA(),COUNTIFS(May[Location],$B96))</f>
        <v>0</v>
      </c>
    </row>
    <row r="97" spans="1:4" x14ac:dyDescent="0.25">
      <c r="A97" s="38"/>
      <c r="B97" s="50" t="str">
        <v>Bathroom</v>
      </c>
      <c r="C97" s="51"/>
      <c r="D97" s="52">
        <f>IF($B97="",NA(),COUNTIFS(May[Location],$B97))</f>
        <v>0</v>
      </c>
    </row>
    <row r="98" spans="1:4" x14ac:dyDescent="0.25">
      <c r="A98" s="38"/>
      <c r="B98" s="50" t="str">
        <v>Hallway</v>
      </c>
      <c r="C98" s="51"/>
      <c r="D98" s="52">
        <f>IF($B98="",NA(),COUNTIFS(May[Location],$B98))</f>
        <v>0</v>
      </c>
    </row>
    <row r="99" spans="1:4" x14ac:dyDescent="0.25">
      <c r="A99" s="38"/>
      <c r="B99" s="50" t="str">
        <v>Offsite</v>
      </c>
      <c r="C99" s="51"/>
      <c r="D99" s="52">
        <f>IF($B99="",NA(),COUNTIFS(May[Location],$B99))</f>
        <v>0</v>
      </c>
    </row>
    <row r="100" spans="1:4" x14ac:dyDescent="0.25">
      <c r="A100" s="38"/>
      <c r="B100" s="53" t="str">
        <v>Shower Room</v>
      </c>
      <c r="C100" s="54"/>
      <c r="D100" s="52">
        <f>IF($B100="",NA(),COUNTIFS(May[Location],$B100))</f>
        <v>0</v>
      </c>
    </row>
    <row r="101" spans="1:4" x14ac:dyDescent="0.25">
      <c r="A101" s="38"/>
      <c r="B101" s="55" t="str">
        <v>Dining Room</v>
      </c>
      <c r="C101" s="56"/>
      <c r="D101" s="52">
        <f>IF($B101="",NA(),COUNTIFS(May[Location],$B101))</f>
        <v>0</v>
      </c>
    </row>
    <row r="102" spans="1:4" x14ac:dyDescent="0.25">
      <c r="A102" s="38"/>
      <c r="B102" s="57" t="str">
        <v/>
      </c>
      <c r="C102" s="58"/>
      <c r="D102" s="52" t="e">
        <f>IF($B102="",NA(),COUNTIFS(May[Location],$B102))</f>
        <v>#N/A</v>
      </c>
    </row>
    <row r="103" spans="1:4" x14ac:dyDescent="0.25">
      <c r="A103" s="38"/>
      <c r="B103" s="59" t="str">
        <v/>
      </c>
      <c r="C103" s="51"/>
      <c r="D103" s="52" t="e">
        <f>IF($B103="",NA(),COUNTIFS(May[Location],$B103))</f>
        <v>#N/A</v>
      </c>
    </row>
    <row r="104" spans="1:4" x14ac:dyDescent="0.25">
      <c r="A104" s="38"/>
      <c r="B104" s="53" t="str">
        <v/>
      </c>
      <c r="C104" s="60"/>
      <c r="D104" s="52" t="e">
        <f>IF($B104="",NA(),COUNTIFS(May[Location],$B104))</f>
        <v>#N/A</v>
      </c>
    </row>
    <row r="105" spans="1:4" ht="15.75" thickBot="1" x14ac:dyDescent="0.3">
      <c r="A105" s="38"/>
      <c r="B105" s="59" t="str">
        <v/>
      </c>
      <c r="C105" s="61"/>
      <c r="D105" s="52" t="e">
        <f>IF($B105="",NA(),COUNTIFS(May[Location],$B105))</f>
        <v>#N/A</v>
      </c>
    </row>
    <row r="106" spans="1:4" ht="15.75" thickBot="1" x14ac:dyDescent="0.3">
      <c r="B106" s="298" t="s">
        <v>16</v>
      </c>
      <c r="C106" s="299"/>
      <c r="D106" s="37">
        <f>_xlfn.AGGREGATE(9,6,D95:D105)</f>
        <v>0</v>
      </c>
    </row>
    <row r="107" spans="1:4" ht="15.75" thickBot="1" x14ac:dyDescent="0.3"/>
    <row r="108" spans="1:4" ht="21.4" customHeight="1" thickBot="1" x14ac:dyDescent="0.3">
      <c r="B108" s="282" t="str">
        <f>"Falls by Nursing Station "</f>
        <v xml:space="preserve">Falls by Nursing Station </v>
      </c>
      <c r="C108" s="283"/>
      <c r="D108" s="284"/>
    </row>
    <row r="109" spans="1:4" ht="15.75" x14ac:dyDescent="0.25">
      <c r="B109" s="293" t="s">
        <v>2</v>
      </c>
      <c r="C109" s="293"/>
      <c r="D109" s="28" t="s">
        <v>35</v>
      </c>
    </row>
    <row r="110" spans="1:4" x14ac:dyDescent="0.25">
      <c r="B110" s="62" cm="1">
        <f t="array" ref="B110:B120">IF(_xlfn._xlws.SORT(NS[Nurses Stations],1,1,TRUE)=0,"",(_xlfn._xlws.SORT(NS[Nurses Stations],1,1,TRUE)))</f>
        <v>1</v>
      </c>
      <c r="C110" s="63"/>
      <c r="D110" s="31">
        <f>IF($B110="",NA(),COUNTIFS(May[Station],$B110))</f>
        <v>0</v>
      </c>
    </row>
    <row r="111" spans="1:4" x14ac:dyDescent="0.25">
      <c r="B111" s="62">
        <v>2</v>
      </c>
      <c r="C111" s="63"/>
      <c r="D111" s="31">
        <f>IF($B111="",NA(),COUNTIFS(May[Station],$B111))</f>
        <v>0</v>
      </c>
    </row>
    <row r="112" spans="1:4" x14ac:dyDescent="0.25">
      <c r="B112" s="62">
        <v>3</v>
      </c>
      <c r="C112" s="63"/>
      <c r="D112" s="31">
        <f>IF($B112="",NA(),COUNTIFS(May[Station],$B112))</f>
        <v>0</v>
      </c>
    </row>
    <row r="113" spans="2:4" x14ac:dyDescent="0.25">
      <c r="B113" s="62">
        <v>4</v>
      </c>
      <c r="C113" s="63"/>
      <c r="D113" s="31">
        <f>IF($B113="",NA(),COUNTIFS(May[Station],$B113))</f>
        <v>0</v>
      </c>
    </row>
    <row r="114" spans="2:4" x14ac:dyDescent="0.25">
      <c r="B114" s="62">
        <v>5</v>
      </c>
      <c r="C114" s="63"/>
      <c r="D114" s="31">
        <f>IF($B114="",NA(),COUNTIFS(May[Station],$B114))</f>
        <v>0</v>
      </c>
    </row>
    <row r="115" spans="2:4" x14ac:dyDescent="0.25">
      <c r="B115" s="62" t="str">
        <v/>
      </c>
      <c r="C115" s="63"/>
      <c r="D115" s="31" t="e">
        <f>IF($B115="",NA(),COUNTIFS(May[Station],$B115))</f>
        <v>#N/A</v>
      </c>
    </row>
    <row r="116" spans="2:4" x14ac:dyDescent="0.25">
      <c r="B116" s="62" t="str">
        <v/>
      </c>
      <c r="C116" s="63"/>
      <c r="D116" s="31" t="e">
        <f>IF($B116="",NA(),COUNTIFS(May[Station],$B116))</f>
        <v>#N/A</v>
      </c>
    </row>
    <row r="117" spans="2:4" x14ac:dyDescent="0.25">
      <c r="B117" s="62" t="str">
        <v/>
      </c>
      <c r="C117" s="63"/>
      <c r="D117" s="31" t="e">
        <f>IF($B117="",NA(),COUNTIFS(May[Station],$B117))</f>
        <v>#N/A</v>
      </c>
    </row>
    <row r="118" spans="2:4" x14ac:dyDescent="0.25">
      <c r="B118" s="62" t="str">
        <v/>
      </c>
      <c r="C118" s="63"/>
      <c r="D118" s="31" t="e">
        <f>IF($B118="",NA(),COUNTIFS(May[Station],$B118))</f>
        <v>#N/A</v>
      </c>
    </row>
    <row r="119" spans="2:4" x14ac:dyDescent="0.25">
      <c r="B119" s="62" t="str">
        <v/>
      </c>
      <c r="C119" s="63"/>
      <c r="D119" s="31" t="e">
        <f>IF($B119="",NA(),COUNTIFS(May[Station],$B119))</f>
        <v>#N/A</v>
      </c>
    </row>
    <row r="120" spans="2:4" ht="15.75" thickBot="1" x14ac:dyDescent="0.3">
      <c r="B120" s="64" t="str">
        <v/>
      </c>
      <c r="C120" s="63"/>
      <c r="D120" s="31" t="e">
        <f>IF($B120="",NA(),COUNTIFS(May[Station],$B120))</f>
        <v>#N/A</v>
      </c>
    </row>
    <row r="121" spans="2:4" ht="15.6" customHeight="1" thickBot="1" x14ac:dyDescent="0.3">
      <c r="B121" s="287" t="s">
        <v>16</v>
      </c>
      <c r="C121" s="288"/>
      <c r="D121" s="37">
        <f>_xlfn.AGGREGATE(9,6,D110:D120)</f>
        <v>0</v>
      </c>
    </row>
    <row r="122" spans="2:4" ht="15.6" customHeight="1" thickBot="1" x14ac:dyDescent="0.3">
      <c r="B122" s="65"/>
      <c r="C122" s="66"/>
      <c r="D122" s="67"/>
    </row>
    <row r="123" spans="2:4" ht="21.95" customHeight="1" thickBot="1" x14ac:dyDescent="0.3">
      <c r="B123" s="282" t="str">
        <f>"Falls by Day of the Week "</f>
        <v xml:space="preserve">Falls by Day of the Week </v>
      </c>
      <c r="C123" s="283"/>
      <c r="D123" s="284"/>
    </row>
    <row r="124" spans="2:4" ht="15.75" x14ac:dyDescent="0.25">
      <c r="B124" s="293" t="s">
        <v>3</v>
      </c>
      <c r="C124" s="293"/>
      <c r="D124" s="28" t="s">
        <v>35</v>
      </c>
    </row>
    <row r="125" spans="2:4" x14ac:dyDescent="0.25">
      <c r="B125" s="294" t="s">
        <v>46</v>
      </c>
      <c r="C125" s="294"/>
      <c r="D125" s="31">
        <f>COUNTIFS(May[Day],$B125)</f>
        <v>0</v>
      </c>
    </row>
    <row r="126" spans="2:4" x14ac:dyDescent="0.25">
      <c r="B126" s="294" t="s">
        <v>47</v>
      </c>
      <c r="C126" s="294"/>
      <c r="D126" s="31">
        <f>COUNTIFS(May[Day],$B126)</f>
        <v>0</v>
      </c>
    </row>
    <row r="127" spans="2:4" x14ac:dyDescent="0.25">
      <c r="B127" s="294" t="s">
        <v>52</v>
      </c>
      <c r="C127" s="294"/>
      <c r="D127" s="31">
        <f>COUNTIFS(May[Day],$B127)</f>
        <v>0</v>
      </c>
    </row>
    <row r="128" spans="2:4" x14ac:dyDescent="0.25">
      <c r="B128" s="294" t="s">
        <v>48</v>
      </c>
      <c r="C128" s="294"/>
      <c r="D128" s="31">
        <f>COUNTIFS(May[Day],$B128)</f>
        <v>0</v>
      </c>
    </row>
    <row r="129" spans="2:4" x14ac:dyDescent="0.25">
      <c r="B129" s="294" t="s">
        <v>51</v>
      </c>
      <c r="C129" s="294"/>
      <c r="D129" s="31">
        <f>COUNTIFS(May[Day],$B129)</f>
        <v>0</v>
      </c>
    </row>
    <row r="130" spans="2:4" x14ac:dyDescent="0.25">
      <c r="B130" s="294" t="s">
        <v>49</v>
      </c>
      <c r="C130" s="294"/>
      <c r="D130" s="31">
        <f>COUNTIFS(May[Day],$B130)</f>
        <v>0</v>
      </c>
    </row>
    <row r="131" spans="2:4" ht="15.75" thickBot="1" x14ac:dyDescent="0.3">
      <c r="B131" s="294" t="s">
        <v>50</v>
      </c>
      <c r="C131" s="294"/>
      <c r="D131" s="34">
        <f>COUNTIFS(May[Day],$B131)</f>
        <v>0</v>
      </c>
    </row>
    <row r="132" spans="2:4" ht="15.6" customHeight="1" thickBot="1" x14ac:dyDescent="0.3">
      <c r="B132" s="287" t="s">
        <v>16</v>
      </c>
      <c r="C132" s="288"/>
      <c r="D132" s="35">
        <f>SUM(D125:D131)</f>
        <v>0</v>
      </c>
    </row>
    <row r="133" spans="2:4" ht="15.75" thickBot="1" x14ac:dyDescent="0.3"/>
    <row r="134" spans="2:4" ht="21.4" customHeight="1" thickBot="1" x14ac:dyDescent="0.3">
      <c r="B134" s="282" t="str">
        <f>"Falls by Shift"</f>
        <v>Falls by Shift</v>
      </c>
      <c r="C134" s="283"/>
      <c r="D134" s="284"/>
    </row>
    <row r="135" spans="2:4" ht="15.75" x14ac:dyDescent="0.25">
      <c r="B135" s="293" t="s">
        <v>34</v>
      </c>
      <c r="C135" s="293"/>
      <c r="D135" s="28" t="s">
        <v>35</v>
      </c>
    </row>
    <row r="136" spans="2:4" x14ac:dyDescent="0.25">
      <c r="B136" s="29" t="str" cm="1">
        <f t="array" ref="B136:B140">IF(_xlfn._xlws.SORT('Data Validation'!P3:P7,1,1,TRUE)=0,"",(_xlfn._xlws.SORT('Data Validation'!P3:P7,1,1,TRUE)))</f>
        <v>11-7</v>
      </c>
      <c r="C136" s="58"/>
      <c r="D136" s="31">
        <f>IF($B136="",NA(),COUNTIFS(May[Shift],$B136))</f>
        <v>0</v>
      </c>
    </row>
    <row r="137" spans="2:4" x14ac:dyDescent="0.25">
      <c r="B137" s="29" t="str">
        <v>11–7</v>
      </c>
      <c r="C137" s="58"/>
      <c r="D137" s="31">
        <f>IF($B137="",NA(),COUNTIFS(May[Shift],$B137))</f>
        <v>0</v>
      </c>
    </row>
    <row r="138" spans="2:4" x14ac:dyDescent="0.25">
      <c r="B138" s="29" t="str">
        <v>7–3</v>
      </c>
      <c r="C138" s="58"/>
      <c r="D138" s="31">
        <f>IF($B138="",NA(),COUNTIFS(May[Shift],$B138))</f>
        <v>0</v>
      </c>
    </row>
    <row r="139" spans="2:4" x14ac:dyDescent="0.25">
      <c r="B139" s="29" t="str">
        <v>3–11</v>
      </c>
      <c r="C139" s="58"/>
      <c r="D139" s="31">
        <f>IF($B139="",NA(),COUNTIFS(May[Shift],$B139))</f>
        <v>0</v>
      </c>
    </row>
    <row r="140" spans="2:4" ht="15.75" thickBot="1" x14ac:dyDescent="0.3">
      <c r="B140" s="29" t="str">
        <v/>
      </c>
      <c r="C140" s="68"/>
      <c r="D140" s="34" t="e">
        <f>IF($B140="",NA(),COUNTIFS(May[Shift],$B140))</f>
        <v>#N/A</v>
      </c>
    </row>
    <row r="141" spans="2:4" ht="15.75" thickBot="1" x14ac:dyDescent="0.3">
      <c r="B141" s="287" t="s">
        <v>16</v>
      </c>
      <c r="C141" s="288"/>
      <c r="D141" s="35">
        <f>_xlfn.AGGREGATE(9,6,D136:D140)</f>
        <v>0</v>
      </c>
    </row>
    <row r="142" spans="2:4" ht="15.75" thickBot="1" x14ac:dyDescent="0.3"/>
    <row r="143" spans="2:4" ht="21.4" customHeight="1" thickBot="1" x14ac:dyDescent="0.3">
      <c r="B143" s="282" t="str">
        <f>"Falls by Hour "</f>
        <v xml:space="preserve">Falls by Hour </v>
      </c>
      <c r="C143" s="283"/>
      <c r="D143" s="284"/>
    </row>
    <row r="144" spans="2:4" ht="15.75" x14ac:dyDescent="0.25">
      <c r="B144" s="293" t="s">
        <v>33</v>
      </c>
      <c r="C144" s="293"/>
      <c r="D144" s="28" t="s">
        <v>35</v>
      </c>
    </row>
    <row r="145" spans="2:4" x14ac:dyDescent="0.25">
      <c r="B145" s="294" t="s">
        <v>115</v>
      </c>
      <c r="C145" s="294"/>
      <c r="D145" s="31">
        <f>COUNTIFS(May[Hour],$B145)</f>
        <v>0</v>
      </c>
    </row>
    <row r="146" spans="2:4" x14ac:dyDescent="0.25">
      <c r="B146" s="294" t="s">
        <v>116</v>
      </c>
      <c r="C146" s="294"/>
      <c r="D146" s="31">
        <f>COUNTIFS(May[Hour],$B146)</f>
        <v>0</v>
      </c>
    </row>
    <row r="147" spans="2:4" x14ac:dyDescent="0.25">
      <c r="B147" s="294" t="s">
        <v>117</v>
      </c>
      <c r="C147" s="294"/>
      <c r="D147" s="31">
        <f>COUNTIFS(May[Hour],$B147)</f>
        <v>0</v>
      </c>
    </row>
    <row r="148" spans="2:4" x14ac:dyDescent="0.25">
      <c r="B148" s="294" t="s">
        <v>118</v>
      </c>
      <c r="C148" s="294"/>
      <c r="D148" s="31">
        <f>COUNTIFS(May[Hour],$B148)</f>
        <v>0</v>
      </c>
    </row>
    <row r="149" spans="2:4" x14ac:dyDescent="0.25">
      <c r="B149" s="294" t="s">
        <v>119</v>
      </c>
      <c r="C149" s="294"/>
      <c r="D149" s="31">
        <f>COUNTIFS(May[Hour],$B149)</f>
        <v>0</v>
      </c>
    </row>
    <row r="150" spans="2:4" x14ac:dyDescent="0.25">
      <c r="B150" s="294" t="s">
        <v>120</v>
      </c>
      <c r="C150" s="294"/>
      <c r="D150" s="31">
        <f>COUNTIFS(May[Hour],$B150)</f>
        <v>0</v>
      </c>
    </row>
    <row r="151" spans="2:4" x14ac:dyDescent="0.25">
      <c r="B151" s="294" t="s">
        <v>121</v>
      </c>
      <c r="C151" s="294"/>
      <c r="D151" s="31">
        <f>COUNTIFS(May[Hour],$B151)</f>
        <v>0</v>
      </c>
    </row>
    <row r="152" spans="2:4" x14ac:dyDescent="0.25">
      <c r="B152" s="294" t="s">
        <v>122</v>
      </c>
      <c r="C152" s="294"/>
      <c r="D152" s="31">
        <f>COUNTIFS(May[Hour],$B152)</f>
        <v>0</v>
      </c>
    </row>
    <row r="153" spans="2:4" x14ac:dyDescent="0.25">
      <c r="B153" s="294" t="s">
        <v>123</v>
      </c>
      <c r="C153" s="294"/>
      <c r="D153" s="31">
        <f>COUNTIFS(May[Hour],$B153)</f>
        <v>0</v>
      </c>
    </row>
    <row r="154" spans="2:4" x14ac:dyDescent="0.25">
      <c r="B154" s="294" t="s">
        <v>124</v>
      </c>
      <c r="C154" s="294"/>
      <c r="D154" s="31">
        <f>COUNTIFS(May[Hour],$B154)</f>
        <v>0</v>
      </c>
    </row>
    <row r="155" spans="2:4" x14ac:dyDescent="0.25">
      <c r="B155" s="294" t="s">
        <v>125</v>
      </c>
      <c r="C155" s="294"/>
      <c r="D155" s="31">
        <f>COUNTIFS(May[Hour],$B155)</f>
        <v>0</v>
      </c>
    </row>
    <row r="156" spans="2:4" x14ac:dyDescent="0.25">
      <c r="B156" s="294" t="s">
        <v>126</v>
      </c>
      <c r="C156" s="294"/>
      <c r="D156" s="31">
        <f>COUNTIFS(May[Hour],$B156)</f>
        <v>0</v>
      </c>
    </row>
    <row r="157" spans="2:4" x14ac:dyDescent="0.25">
      <c r="B157" s="294" t="s">
        <v>127</v>
      </c>
      <c r="C157" s="294"/>
      <c r="D157" s="31">
        <f>COUNTIFS(May[Hour],$B157)</f>
        <v>0</v>
      </c>
    </row>
    <row r="158" spans="2:4" x14ac:dyDescent="0.25">
      <c r="B158" s="294" t="s">
        <v>128</v>
      </c>
      <c r="C158" s="294"/>
      <c r="D158" s="31">
        <f>COUNTIFS(May[Hour],$B158)</f>
        <v>0</v>
      </c>
    </row>
    <row r="159" spans="2:4" x14ac:dyDescent="0.25">
      <c r="B159" s="294" t="s">
        <v>129</v>
      </c>
      <c r="C159" s="294"/>
      <c r="D159" s="31">
        <f>COUNTIFS(May[Hour],$B159)</f>
        <v>0</v>
      </c>
    </row>
    <row r="160" spans="2:4" x14ac:dyDescent="0.25">
      <c r="B160" s="294" t="s">
        <v>130</v>
      </c>
      <c r="C160" s="294"/>
      <c r="D160" s="31">
        <f>COUNTIFS(May[Hour],$B160)</f>
        <v>0</v>
      </c>
    </row>
    <row r="161" spans="1:8" x14ac:dyDescent="0.25">
      <c r="B161" s="294" t="s">
        <v>131</v>
      </c>
      <c r="C161" s="294"/>
      <c r="D161" s="31">
        <f>COUNTIFS(May[Hour],$B161)</f>
        <v>0</v>
      </c>
    </row>
    <row r="162" spans="1:8" x14ac:dyDescent="0.25">
      <c r="B162" s="294" t="s">
        <v>132</v>
      </c>
      <c r="C162" s="294"/>
      <c r="D162" s="31">
        <f>COUNTIFS(May[Hour],$B162)</f>
        <v>0</v>
      </c>
    </row>
    <row r="163" spans="1:8" x14ac:dyDescent="0.25">
      <c r="B163" s="294" t="s">
        <v>133</v>
      </c>
      <c r="C163" s="294"/>
      <c r="D163" s="31">
        <f>COUNTIFS(May[Hour],$B163)</f>
        <v>0</v>
      </c>
    </row>
    <row r="164" spans="1:8" x14ac:dyDescent="0.25">
      <c r="B164" s="294" t="s">
        <v>134</v>
      </c>
      <c r="C164" s="294"/>
      <c r="D164" s="31">
        <f>COUNTIFS(May[Hour],$B164)</f>
        <v>0</v>
      </c>
    </row>
    <row r="165" spans="1:8" x14ac:dyDescent="0.25">
      <c r="B165" s="294" t="s">
        <v>135</v>
      </c>
      <c r="C165" s="294"/>
      <c r="D165" s="31">
        <f>COUNTIFS(May[Hour],$B165)</f>
        <v>0</v>
      </c>
    </row>
    <row r="166" spans="1:8" x14ac:dyDescent="0.25">
      <c r="B166" s="294" t="s">
        <v>136</v>
      </c>
      <c r="C166" s="294"/>
      <c r="D166" s="31">
        <f>COUNTIFS(May[Hour],$B166)</f>
        <v>0</v>
      </c>
    </row>
    <row r="167" spans="1:8" x14ac:dyDescent="0.25">
      <c r="B167" s="294" t="s">
        <v>137</v>
      </c>
      <c r="C167" s="294"/>
      <c r="D167" s="31">
        <f>COUNTIFS(May[Hour],$B167)</f>
        <v>0</v>
      </c>
    </row>
    <row r="168" spans="1:8" ht="15.75" thickBot="1" x14ac:dyDescent="0.3">
      <c r="B168" s="294" t="s">
        <v>138</v>
      </c>
      <c r="C168" s="294"/>
      <c r="D168" s="34">
        <f>COUNTIFS(May[Hour],$B168)</f>
        <v>0</v>
      </c>
    </row>
    <row r="169" spans="1:8" ht="15.75" thickBot="1" x14ac:dyDescent="0.3">
      <c r="B169" s="287" t="s">
        <v>35</v>
      </c>
      <c r="C169" s="288"/>
      <c r="D169" s="35">
        <f>SUM(D145:D168)</f>
        <v>0</v>
      </c>
    </row>
    <row r="170" spans="1:8" ht="15.75" thickBot="1" x14ac:dyDescent="0.3"/>
    <row r="171" spans="1:8" ht="21.4" customHeight="1" thickBot="1" x14ac:dyDescent="0.3">
      <c r="B171" s="282" t="str">
        <f>"Falls by Contributing Factors"</f>
        <v>Falls by Contributing Factors</v>
      </c>
      <c r="C171" s="283"/>
      <c r="D171" s="283"/>
      <c r="E171" s="283"/>
      <c r="F171" s="283"/>
      <c r="G171" s="284"/>
    </row>
    <row r="172" spans="1:8" ht="15.6" customHeight="1" x14ac:dyDescent="0.25">
      <c r="A172" s="38"/>
      <c r="B172" s="290" t="s">
        <v>92</v>
      </c>
      <c r="C172" s="291"/>
      <c r="D172" s="291"/>
      <c r="E172" s="291"/>
      <c r="F172" s="292"/>
      <c r="G172" s="28" t="s">
        <v>35</v>
      </c>
    </row>
    <row r="173" spans="1:8" x14ac:dyDescent="0.25">
      <c r="A173" s="38"/>
      <c r="B173" s="44" t="str" cm="1">
        <f t="array" ref="B173:B196">IF(_xlfn._xlws.SORT(CF[Contributing Factors],1,1,TRUE)=0,"",(_xlfn._xlws.SORT(CF[Contributing Factors],1,1,TRUE)))</f>
        <v>Assisted/caregiver transfer</v>
      </c>
      <c r="C173" s="45"/>
      <c r="D173" s="45"/>
      <c r="E173" s="45"/>
      <c r="F173" s="46"/>
      <c r="G173" s="42">
        <f>IF($B173="",NA(),COUNTIFS(May[Contributing Factors],$B173))</f>
        <v>0</v>
      </c>
      <c r="H173" s="43"/>
    </row>
    <row r="174" spans="1:8" x14ac:dyDescent="0.25">
      <c r="A174" s="38"/>
      <c r="B174" s="39" t="str">
        <v>Bowel and bladder (B&amp;B) needs</v>
      </c>
      <c r="C174" s="40"/>
      <c r="D174" s="40"/>
      <c r="E174" s="40"/>
      <c r="F174" s="41"/>
      <c r="G174" s="42">
        <f>IF($B174="",NA(),COUNTIFS(May[Contributing Factors],$B174))</f>
        <v>0</v>
      </c>
    </row>
    <row r="175" spans="1:8" x14ac:dyDescent="0.25">
      <c r="A175" s="38"/>
      <c r="B175" s="44" t="str">
        <v>Behavioral or situational</v>
      </c>
      <c r="C175" s="45"/>
      <c r="D175" s="45"/>
      <c r="E175" s="45"/>
      <c r="F175" s="46"/>
      <c r="G175" s="42">
        <f>IF($B175="",NA(),COUNTIFS(May[Contributing Factors],$B175))</f>
        <v>0</v>
      </c>
    </row>
    <row r="176" spans="1:8" x14ac:dyDescent="0.25">
      <c r="A176" s="38"/>
      <c r="B176" s="39" t="str">
        <v>Change of condition</v>
      </c>
      <c r="C176" s="40"/>
      <c r="D176" s="40"/>
      <c r="E176" s="40"/>
      <c r="F176" s="41"/>
      <c r="G176" s="42">
        <f>IF($B176="",NA(),COUNTIFS(May[Contributing Factors],$B176))</f>
        <v>0</v>
      </c>
    </row>
    <row r="177" spans="1:7" x14ac:dyDescent="0.25">
      <c r="A177" s="38"/>
      <c r="B177" s="44" t="str">
        <v>Environmental factors</v>
      </c>
      <c r="C177" s="45"/>
      <c r="D177" s="45"/>
      <c r="E177" s="45"/>
      <c r="F177" s="46"/>
      <c r="G177" s="42">
        <f>IF($B177="",NA(),COUNTIFS(May[Contributing Factors],$B177))</f>
        <v>0</v>
      </c>
    </row>
    <row r="178" spans="1:7" x14ac:dyDescent="0.25">
      <c r="A178" s="38"/>
      <c r="B178" s="39" t="str">
        <v>Equipment malfunction</v>
      </c>
      <c r="C178" s="40"/>
      <c r="D178" s="40"/>
      <c r="E178" s="40"/>
      <c r="F178" s="41"/>
      <c r="G178" s="42">
        <f>IF($B178="",NA(),COUNTIFS(May[Contributing Factors],$B178))</f>
        <v>0</v>
      </c>
    </row>
    <row r="179" spans="1:7" x14ac:dyDescent="0.25">
      <c r="A179" s="38"/>
      <c r="B179" s="44" t="str">
        <v>Equipment or assistive device</v>
      </c>
      <c r="C179" s="45"/>
      <c r="D179" s="45"/>
      <c r="E179" s="45"/>
      <c r="F179" s="46"/>
      <c r="G179" s="42">
        <f>IF($B179="",NA(),COUNTIFS(May[Contributing Factors],$B179))</f>
        <v>0</v>
      </c>
    </row>
    <row r="180" spans="1:7" x14ac:dyDescent="0.25">
      <c r="A180" s="38"/>
      <c r="B180" s="39" t="str">
        <v>Medication related</v>
      </c>
      <c r="C180" s="40"/>
      <c r="D180" s="40"/>
      <c r="E180" s="40"/>
      <c r="F180" s="41"/>
      <c r="G180" s="42">
        <f>IF($B180="",NA(),COUNTIFS(May[Contributing Factors],$B180))</f>
        <v>0</v>
      </c>
    </row>
    <row r="181" spans="1:7" x14ac:dyDescent="0.25">
      <c r="A181" s="38"/>
      <c r="B181" s="44" t="str">
        <v>Process(s) not followed</v>
      </c>
      <c r="C181" s="45"/>
      <c r="D181" s="45"/>
      <c r="E181" s="45"/>
      <c r="F181" s="46"/>
      <c r="G181" s="42">
        <f>IF($B181="",NA(),COUNTIFS(May[Contributing Factors],$B181))</f>
        <v>0</v>
      </c>
    </row>
    <row r="182" spans="1:7" x14ac:dyDescent="0.25">
      <c r="A182" s="38"/>
      <c r="B182" s="39" t="str">
        <v>Resident health conditions</v>
      </c>
      <c r="C182" s="40"/>
      <c r="D182" s="40"/>
      <c r="E182" s="40"/>
      <c r="F182" s="41"/>
      <c r="G182" s="42">
        <f>IF($B182="",NA(),COUNTIFS(May[Contributing Factors],$B182))</f>
        <v>0</v>
      </c>
    </row>
    <row r="183" spans="1:7" x14ac:dyDescent="0.25">
      <c r="A183" s="38"/>
      <c r="B183" s="44" t="str">
        <v>Staff</v>
      </c>
      <c r="C183" s="45"/>
      <c r="D183" s="45"/>
      <c r="E183" s="45"/>
      <c r="F183" s="46"/>
      <c r="G183" s="42">
        <f>IF($B183="",NA(),COUNTIFS(May[Contributing Factors],$B183))</f>
        <v>0</v>
      </c>
    </row>
    <row r="184" spans="1:7" x14ac:dyDescent="0.25">
      <c r="A184" s="38"/>
      <c r="B184" s="39" t="str">
        <v/>
      </c>
      <c r="C184" s="40"/>
      <c r="D184" s="40"/>
      <c r="E184" s="40"/>
      <c r="F184" s="41"/>
      <c r="G184" s="42" t="e">
        <f>IF($B184="",NA(),COUNTIFS(May[Contributing Factors],$B184))</f>
        <v>#N/A</v>
      </c>
    </row>
    <row r="185" spans="1:7" x14ac:dyDescent="0.25">
      <c r="A185" s="38"/>
      <c r="B185" s="44" t="str">
        <v/>
      </c>
      <c r="C185" s="45"/>
      <c r="D185" s="45"/>
      <c r="E185" s="45"/>
      <c r="F185" s="46"/>
      <c r="G185" s="42" t="e">
        <f>IF($B185="",NA(),COUNTIFS(May[Contributing Factors],$B185))</f>
        <v>#N/A</v>
      </c>
    </row>
    <row r="186" spans="1:7" x14ac:dyDescent="0.25">
      <c r="A186" s="38"/>
      <c r="B186" s="39" t="str">
        <v/>
      </c>
      <c r="C186" s="40"/>
      <c r="D186" s="40"/>
      <c r="E186" s="40"/>
      <c r="F186" s="41"/>
      <c r="G186" s="42" t="e">
        <f>IF($B186="",NA(),COUNTIFS(May[Contributing Factors],$B186))</f>
        <v>#N/A</v>
      </c>
    </row>
    <row r="187" spans="1:7" x14ac:dyDescent="0.25">
      <c r="A187" s="38"/>
      <c r="B187" s="44" t="str">
        <v/>
      </c>
      <c r="C187" s="45"/>
      <c r="D187" s="45"/>
      <c r="E187" s="45"/>
      <c r="F187" s="46"/>
      <c r="G187" s="42" t="e">
        <f>IF($B187="",NA(),COUNTIFS(May[Contributing Factors],$B187))</f>
        <v>#N/A</v>
      </c>
    </row>
    <row r="188" spans="1:7" x14ac:dyDescent="0.25">
      <c r="A188" s="38"/>
      <c r="B188" s="39" t="str">
        <v/>
      </c>
      <c r="C188" s="40"/>
      <c r="D188" s="40"/>
      <c r="E188" s="40"/>
      <c r="F188" s="41"/>
      <c r="G188" s="42" t="e">
        <f>IF($B188="",NA(),COUNTIFS(May[Contributing Factors],$B188))</f>
        <v>#N/A</v>
      </c>
    </row>
    <row r="189" spans="1:7" x14ac:dyDescent="0.25">
      <c r="A189" s="38"/>
      <c r="B189" s="44" t="str">
        <v/>
      </c>
      <c r="C189" s="45"/>
      <c r="D189" s="45"/>
      <c r="E189" s="45"/>
      <c r="F189" s="46"/>
      <c r="G189" s="42" t="e">
        <f>IF($B189="",NA(),COUNTIFS(May[Contributing Factors],$B189))</f>
        <v>#N/A</v>
      </c>
    </row>
    <row r="190" spans="1:7" x14ac:dyDescent="0.25">
      <c r="A190" s="38"/>
      <c r="B190" s="39" t="str">
        <v/>
      </c>
      <c r="C190" s="40"/>
      <c r="D190" s="40"/>
      <c r="E190" s="40"/>
      <c r="F190" s="41"/>
      <c r="G190" s="42" t="e">
        <f>IF($B190="",NA(),COUNTIFS(May[Contributing Factors],$B190))</f>
        <v>#N/A</v>
      </c>
    </row>
    <row r="191" spans="1:7" x14ac:dyDescent="0.25">
      <c r="A191" s="38"/>
      <c r="B191" s="44" t="str">
        <v/>
      </c>
      <c r="C191" s="45"/>
      <c r="D191" s="45"/>
      <c r="E191" s="45"/>
      <c r="F191" s="46"/>
      <c r="G191" s="42" t="e">
        <f>IF($B191="",NA(),COUNTIFS(May[Contributing Factors],$B191))</f>
        <v>#N/A</v>
      </c>
    </row>
    <row r="192" spans="1:7" x14ac:dyDescent="0.25">
      <c r="A192" s="38"/>
      <c r="B192" s="39" t="str">
        <v/>
      </c>
      <c r="C192" s="40"/>
      <c r="D192" s="40"/>
      <c r="E192" s="40"/>
      <c r="F192" s="41"/>
      <c r="G192" s="42" t="e">
        <f>IF($B192="",NA(),COUNTIFS(May[Contributing Factors],$B192))</f>
        <v>#N/A</v>
      </c>
    </row>
    <row r="193" spans="1:7" x14ac:dyDescent="0.25">
      <c r="A193" s="38"/>
      <c r="B193" s="44" t="str">
        <v/>
      </c>
      <c r="C193" s="45"/>
      <c r="D193" s="45"/>
      <c r="E193" s="45"/>
      <c r="F193" s="46"/>
      <c r="G193" s="42" t="e">
        <f>IF($B193="",NA(),COUNTIFS(May[Contributing Factors],$B193))</f>
        <v>#N/A</v>
      </c>
    </row>
    <row r="194" spans="1:7" x14ac:dyDescent="0.25">
      <c r="A194" s="38"/>
      <c r="B194" s="39" t="str">
        <v/>
      </c>
      <c r="C194" s="40"/>
      <c r="D194" s="40"/>
      <c r="E194" s="40"/>
      <c r="F194" s="41"/>
      <c r="G194" s="42" t="e">
        <f>IF($B194="",NA(),COUNTIFS(May[Contributing Factors],$B194))</f>
        <v>#N/A</v>
      </c>
    </row>
    <row r="195" spans="1:7" x14ac:dyDescent="0.25">
      <c r="A195" s="38"/>
      <c r="B195" s="44" t="str">
        <v/>
      </c>
      <c r="C195" s="45"/>
      <c r="D195" s="45"/>
      <c r="E195" s="45"/>
      <c r="F195" s="46"/>
      <c r="G195" s="42" t="e">
        <f>IF($B195="",NA(),COUNTIFS(May[Contributing Factors],$B195))</f>
        <v>#N/A</v>
      </c>
    </row>
    <row r="196" spans="1:7" ht="15.75" thickBot="1" x14ac:dyDescent="0.3">
      <c r="A196" s="38"/>
      <c r="B196" s="39" t="str">
        <v/>
      </c>
      <c r="C196" s="40"/>
      <c r="D196" s="40"/>
      <c r="E196" s="40"/>
      <c r="F196" s="41"/>
      <c r="G196" s="42" t="e">
        <f>IF($B196="",NA(),COUNTIFS(May[Contributing Factors],$B196))</f>
        <v>#N/A</v>
      </c>
    </row>
    <row r="197" spans="1:7" ht="15.6" customHeight="1" thickBot="1" x14ac:dyDescent="0.3">
      <c r="B197" s="287" t="s">
        <v>35</v>
      </c>
      <c r="C197" s="288"/>
      <c r="D197" s="288"/>
      <c r="E197" s="288"/>
      <c r="F197" s="289"/>
      <c r="G197" s="37">
        <f>_xlfn.AGGREGATE(9,6,G173:G196)</f>
        <v>0</v>
      </c>
    </row>
  </sheetData>
  <sheetProtection algorithmName="SHA-512" hashValue="kERls8aZnwTzl4Kx/uHo4RvHWWNVhZBQoHp7g9mGWaDuadmKx5gV14DErf6/XJniKtEBp/vNW3R9Vrug/rJvTg==" saltValue="Jh6HeLncgrTjjY26jIwmgw==" spinCount="100000" sheet="1" formatCells="0" formatColumns="0" formatRows="0" sort="0" autoFilter="0"/>
  <mergeCells count="61">
    <mergeCell ref="F56:G56"/>
    <mergeCell ref="B51:D51"/>
    <mergeCell ref="F51:H51"/>
    <mergeCell ref="B52:C52"/>
    <mergeCell ref="F52:G52"/>
    <mergeCell ref="B55:C55"/>
    <mergeCell ref="B121:C121"/>
    <mergeCell ref="F58:H58"/>
    <mergeCell ref="F59:G59"/>
    <mergeCell ref="F63:G63"/>
    <mergeCell ref="B65:G65"/>
    <mergeCell ref="B66:F66"/>
    <mergeCell ref="B91:F91"/>
    <mergeCell ref="B93:D93"/>
    <mergeCell ref="B94:C94"/>
    <mergeCell ref="B106:C106"/>
    <mergeCell ref="B108:D108"/>
    <mergeCell ref="B109:C109"/>
    <mergeCell ref="B135:C135"/>
    <mergeCell ref="B123:D123"/>
    <mergeCell ref="B124:C124"/>
    <mergeCell ref="B125:C125"/>
    <mergeCell ref="B126:C126"/>
    <mergeCell ref="B127:C127"/>
    <mergeCell ref="B128:C128"/>
    <mergeCell ref="B129:C129"/>
    <mergeCell ref="B130:C130"/>
    <mergeCell ref="B131:C131"/>
    <mergeCell ref="B132:C132"/>
    <mergeCell ref="B134:D134"/>
    <mergeCell ref="B153:C153"/>
    <mergeCell ref="B141:C141"/>
    <mergeCell ref="B143:D143"/>
    <mergeCell ref="B144:C144"/>
    <mergeCell ref="B145:C145"/>
    <mergeCell ref="B146:C146"/>
    <mergeCell ref="B147:C147"/>
    <mergeCell ref="B148:C148"/>
    <mergeCell ref="B149:C149"/>
    <mergeCell ref="B150:C150"/>
    <mergeCell ref="B151:C151"/>
    <mergeCell ref="B152:C152"/>
    <mergeCell ref="B165:C165"/>
    <mergeCell ref="B154:C154"/>
    <mergeCell ref="B155:C155"/>
    <mergeCell ref="B156:C156"/>
    <mergeCell ref="B157:C157"/>
    <mergeCell ref="B158:C158"/>
    <mergeCell ref="B159:C159"/>
    <mergeCell ref="B160:C160"/>
    <mergeCell ref="B161:C161"/>
    <mergeCell ref="B162:C162"/>
    <mergeCell ref="B163:C163"/>
    <mergeCell ref="B164:C164"/>
    <mergeCell ref="B197:F197"/>
    <mergeCell ref="B166:C166"/>
    <mergeCell ref="B167:C167"/>
    <mergeCell ref="B168:C168"/>
    <mergeCell ref="B169:C169"/>
    <mergeCell ref="B171:G171"/>
    <mergeCell ref="B172:F172"/>
  </mergeCells>
  <conditionalFormatting sqref="C1">
    <cfRule type="expression" dxfId="238" priority="18">
      <formula>OR($C$1="",$C$1=0)</formula>
    </cfRule>
  </conditionalFormatting>
  <conditionalFormatting sqref="D1">
    <cfRule type="cellIs" dxfId="237" priority="19" operator="equal">
      <formula>"Enter year in Data Validation tab"</formula>
    </cfRule>
  </conditionalFormatting>
  <conditionalFormatting sqref="D4:D40">
    <cfRule type="expression" dxfId="236" priority="22">
      <formula>AND($C4&lt;&gt;"",$D4="")</formula>
    </cfRule>
  </conditionalFormatting>
  <conditionalFormatting sqref="D95:D105">
    <cfRule type="expression" dxfId="235" priority="9">
      <formula>ISERROR($D95)</formula>
    </cfRule>
  </conditionalFormatting>
  <conditionalFormatting sqref="D110:D120">
    <cfRule type="expression" dxfId="234" priority="10">
      <formula>ISERROR($D110)</formula>
    </cfRule>
  </conditionalFormatting>
  <conditionalFormatting sqref="D136:D140">
    <cfRule type="expression" dxfId="233" priority="1">
      <formula>ISERROR(D136)</formula>
    </cfRule>
  </conditionalFormatting>
  <conditionalFormatting sqref="E4:E40">
    <cfRule type="expression" dxfId="232" priority="21">
      <formula>AND($C4&lt;&gt;"",$E4="")</formula>
    </cfRule>
  </conditionalFormatting>
  <conditionalFormatting sqref="F4:F40">
    <cfRule type="expression" dxfId="231" priority="14">
      <formula>AND($C4&lt;&gt;"",$F4="")</formula>
    </cfRule>
  </conditionalFormatting>
  <conditionalFormatting sqref="G4:G40">
    <cfRule type="expression" dxfId="230" priority="13">
      <formula>AND($C4&lt;&gt;"",$G4="")</formula>
    </cfRule>
  </conditionalFormatting>
  <conditionalFormatting sqref="G67:G90">
    <cfRule type="expression" dxfId="229" priority="8">
      <formula>ISERROR($G67)</formula>
    </cfRule>
  </conditionalFormatting>
  <conditionalFormatting sqref="G173:G196">
    <cfRule type="expression" dxfId="228" priority="7">
      <formula>ISERROR($G173)</formula>
    </cfRule>
  </conditionalFormatting>
  <conditionalFormatting sqref="H4:H40">
    <cfRule type="expression" dxfId="227" priority="12">
      <formula>AND($C4&lt;&gt;"",$H4="")</formula>
    </cfRule>
  </conditionalFormatting>
  <conditionalFormatting sqref="I4:I40">
    <cfRule type="expression" dxfId="226" priority="11">
      <formula>AND($C4&lt;&gt;"",$I4="")</formula>
    </cfRule>
  </conditionalFormatting>
  <conditionalFormatting sqref="J4:J40">
    <cfRule type="expression" dxfId="225" priority="23">
      <formula>AND($C4&lt;&gt;"",$J4="")</formula>
    </cfRule>
  </conditionalFormatting>
  <conditionalFormatting sqref="L4:L40">
    <cfRule type="expression" dxfId="224" priority="20">
      <formula>AND($C4&lt;&gt;"",$L4="")</formula>
    </cfRule>
  </conditionalFormatting>
  <conditionalFormatting sqref="N4:N40">
    <cfRule type="expression" dxfId="223" priority="25">
      <formula>AND($C4&lt;&gt;"",$N4="")</formula>
    </cfRule>
  </conditionalFormatting>
  <conditionalFormatting sqref="O4:O40">
    <cfRule type="expression" dxfId="222" priority="4">
      <formula>AND($C4&lt;&gt;"",$O4="")</formula>
    </cfRule>
    <cfRule type="cellIs" dxfId="221" priority="15" operator="equal">
      <formula>"Intact (13-15)"</formula>
    </cfRule>
    <cfRule type="cellIs" dxfId="220" priority="16" operator="equal">
      <formula>"Moderate (8-12)"</formula>
    </cfRule>
    <cfRule type="cellIs" dxfId="219" priority="17" operator="equal">
      <formula>"Severe (1-7)"</formula>
    </cfRule>
  </conditionalFormatting>
  <conditionalFormatting sqref="P4:P40">
    <cfRule type="expression" dxfId="218" priority="5">
      <formula>AND($C4&lt;&gt;"",$P4="")</formula>
    </cfRule>
  </conditionalFormatting>
  <conditionalFormatting sqref="Q4:Q40">
    <cfRule type="expression" dxfId="217" priority="3">
      <formula>AND($C4&lt;&gt;"",$Q4="")</formula>
    </cfRule>
  </conditionalFormatting>
  <conditionalFormatting sqref="R4:R40">
    <cfRule type="expression" dxfId="216" priority="26">
      <formula>AND($C4&lt;&gt;"",$R4="")</formula>
    </cfRule>
  </conditionalFormatting>
  <conditionalFormatting sqref="S4:S40">
    <cfRule type="expression" dxfId="215" priority="6">
      <formula>AND($C4&lt;&gt;"",$S4="")</formula>
    </cfRule>
  </conditionalFormatting>
  <conditionalFormatting sqref="T4:T40">
    <cfRule type="expression" dxfId="214" priority="27">
      <formula>AND($C4&lt;&gt;"",$T4="")</formula>
    </cfRule>
  </conditionalFormatting>
  <conditionalFormatting sqref="U4:U40">
    <cfRule type="expression" dxfId="213" priority="24">
      <formula>AND($C4&lt;&gt;"",$U4="")</formula>
    </cfRule>
  </conditionalFormatting>
  <conditionalFormatting sqref="V4:V40">
    <cfRule type="expression" dxfId="212" priority="2">
      <formula>AND($C4&lt;&gt;"",$V4="")</formula>
    </cfRule>
  </conditionalFormatting>
  <dataValidations count="9">
    <dataValidation type="list" allowBlank="1" showInputMessage="1" showErrorMessage="1" sqref="R4:R40" xr:uid="{00000000-0002-0000-0600-000000000000}">
      <formula1>DV_RCAComp</formula1>
    </dataValidation>
    <dataValidation type="list" allowBlank="1" showInputMessage="1" showErrorMessage="1" sqref="G4:G40" xr:uid="{00000000-0002-0000-0600-000001000000}">
      <formula1>DV_FallCircumstances</formula1>
    </dataValidation>
    <dataValidation type="list" allowBlank="1" showInputMessage="1" showErrorMessage="1" sqref="P4:P40" xr:uid="{00000000-0002-0000-0600-000002000000}">
      <formula1>DV_PriortoFall</formula1>
    </dataValidation>
    <dataValidation type="list" allowBlank="1" showInputMessage="1" showErrorMessage="1" sqref="F4:F40" xr:uid="{00000000-0002-0000-0600-000003000000}">
      <formula1>DV_Witnessed</formula1>
    </dataValidation>
    <dataValidation type="list" allowBlank="1" showInputMessage="1" showErrorMessage="1" sqref="N4:N40" xr:uid="{00000000-0002-0000-0600-000004000000}">
      <formula1>DV_BIMSScore</formula1>
    </dataValidation>
    <dataValidation type="list" allowBlank="1" showInputMessage="1" showErrorMessage="1" sqref="L4:L40" xr:uid="{00000000-0002-0000-0600-000005000000}">
      <formula1>DV_Shifts</formula1>
    </dataValidation>
    <dataValidation type="list" allowBlank="1" showInputMessage="1" showErrorMessage="1" sqref="J4:J40" xr:uid="{00000000-0002-0000-0600-000006000000}">
      <formula1>DV_Station</formula1>
    </dataValidation>
    <dataValidation type="list" allowBlank="1" showInputMessage="1" showErrorMessage="1" sqref="I4:I40" xr:uid="{00000000-0002-0000-0600-000007000000}">
      <formula1>DV_Location</formula1>
    </dataValidation>
    <dataValidation type="list" allowBlank="1" showInputMessage="1" showErrorMessage="1" sqref="H4:H40" xr:uid="{00000000-0002-0000-0600-000008000000}">
      <formula1>DV_FallType</formula1>
    </dataValidation>
  </dataValidations>
  <printOptions horizontalCentered="1"/>
  <pageMargins left="0.15" right="0.15" top="0.5" bottom="0.25" header="0.3" footer="0.3"/>
  <pageSetup scale="59" fitToHeight="0" orientation="landscape" r:id="rId1"/>
  <rowBreaks count="3" manualBreakCount="3">
    <brk id="49" max="16383" man="1"/>
    <brk id="91" max="16383" man="1"/>
    <brk id="141" max="16383" man="1"/>
  </rowBreaks>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9000000}">
          <x14:formula1>
            <xm:f>'Data Validation'!$K$3:$K$26</xm:f>
          </x14:formula1>
          <xm:sqref>S4:S40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V197"/>
  <sheetViews>
    <sheetView showGridLines="0" zoomScaleNormal="100" zoomScaleSheetLayoutView="98" workbookViewId="0">
      <selection activeCell="B4" sqref="B4"/>
    </sheetView>
  </sheetViews>
  <sheetFormatPr defaultRowHeight="15" x14ac:dyDescent="0.25"/>
  <cols>
    <col min="1" max="1" width="1.28515625" customWidth="1"/>
    <col min="2" max="2" width="5.85546875" customWidth="1"/>
    <col min="3" max="3" width="17.140625" customWidth="1"/>
    <col min="4" max="4" width="9.28515625" customWidth="1"/>
    <col min="5" max="5" width="11" customWidth="1"/>
    <col min="6" max="6" width="8" customWidth="1"/>
    <col min="7" max="7" width="12.140625" customWidth="1"/>
    <col min="8" max="8" width="10.5703125" customWidth="1"/>
    <col min="9" max="9" width="7.7109375" customWidth="1"/>
    <col min="10" max="10" width="6" customWidth="1"/>
    <col min="11" max="11" width="4.7109375" customWidth="1"/>
    <col min="12" max="12" width="9.28515625" customWidth="1"/>
    <col min="13" max="14" width="4.7109375" customWidth="1"/>
    <col min="15" max="15" width="12.140625" customWidth="1"/>
    <col min="16" max="17" width="23.7109375" customWidth="1"/>
    <col min="18" max="18" width="8.7109375" customWidth="1"/>
    <col min="19" max="19" width="23.7109375" customWidth="1"/>
    <col min="20" max="22" width="11.7109375" customWidth="1"/>
    <col min="23" max="24" width="10.7109375" customWidth="1"/>
  </cols>
  <sheetData>
    <row r="1" spans="1:22" ht="18.75" customHeight="1" x14ac:dyDescent="0.25">
      <c r="B1" s="13" t="s">
        <v>28</v>
      </c>
      <c r="C1" s="14">
        <f>'Data Validation'!$C$4</f>
        <v>0</v>
      </c>
      <c r="D1" s="15" t="str">
        <f>IF(OR($C$1="",$C$1=0),"Enter Year in Data Validation tab",'Data Validation'!$C$2&amp;" June ")</f>
        <v>Enter Year in Data Validation tab</v>
      </c>
      <c r="E1" s="16"/>
      <c r="F1" s="16"/>
      <c r="G1" s="16"/>
      <c r="H1" s="16"/>
      <c r="I1" s="16"/>
      <c r="J1" s="16"/>
      <c r="K1" s="16"/>
      <c r="L1" s="16"/>
      <c r="M1" s="16"/>
      <c r="N1" s="4"/>
      <c r="O1" s="16"/>
      <c r="P1" s="16"/>
      <c r="Q1" s="16"/>
      <c r="R1" s="17" t="s">
        <v>59</v>
      </c>
      <c r="S1" s="14" t="str">
        <f>IF(COUNTIFS(June[Resident Name],"&lt;&gt;")=0,"No Data",COUNTIFS(June[Resident Name],"&lt;&gt;"))</f>
        <v>No Data</v>
      </c>
      <c r="T1" s="17" t="s">
        <v>62</v>
      </c>
      <c r="U1" s="14" t="str">
        <f>'Fall Rate and Census'!$Q$35</f>
        <v>No Data</v>
      </c>
    </row>
    <row r="2" spans="1:22" ht="8.1" customHeight="1" x14ac:dyDescent="0.25">
      <c r="B2" s="18"/>
      <c r="C2" s="16"/>
      <c r="D2" s="16"/>
      <c r="E2" s="16"/>
      <c r="F2" s="16"/>
      <c r="G2" s="16"/>
      <c r="H2" s="16"/>
      <c r="I2" s="16"/>
      <c r="J2" s="16"/>
      <c r="K2" s="16"/>
      <c r="L2" s="16"/>
      <c r="M2" s="16"/>
      <c r="N2" s="16"/>
      <c r="O2" s="16"/>
      <c r="P2" s="16"/>
      <c r="Q2" s="16"/>
      <c r="R2" s="16"/>
    </row>
    <row r="3" spans="1:22" ht="22.35" customHeight="1" x14ac:dyDescent="0.25">
      <c r="B3" s="19" t="s">
        <v>104</v>
      </c>
      <c r="C3" s="19" t="s">
        <v>105</v>
      </c>
      <c r="D3" s="20" t="s">
        <v>0</v>
      </c>
      <c r="E3" s="20" t="s">
        <v>89</v>
      </c>
      <c r="F3" s="20" t="s">
        <v>84</v>
      </c>
      <c r="G3" s="20" t="s">
        <v>100</v>
      </c>
      <c r="H3" s="20" t="s">
        <v>90</v>
      </c>
      <c r="I3" s="20" t="s">
        <v>1</v>
      </c>
      <c r="J3" s="20" t="s">
        <v>2</v>
      </c>
      <c r="K3" s="20" t="s">
        <v>3</v>
      </c>
      <c r="L3" s="20" t="s">
        <v>33</v>
      </c>
      <c r="M3" s="20" t="s">
        <v>34</v>
      </c>
      <c r="N3" s="20" t="s">
        <v>26</v>
      </c>
      <c r="O3" s="20" t="s">
        <v>30</v>
      </c>
      <c r="P3" s="19" t="s">
        <v>158</v>
      </c>
      <c r="Q3" s="19" t="s">
        <v>80</v>
      </c>
      <c r="R3" s="20" t="s">
        <v>81</v>
      </c>
      <c r="S3" s="20" t="s">
        <v>92</v>
      </c>
      <c r="T3" s="12" t="s">
        <v>95</v>
      </c>
      <c r="U3" s="12" t="s">
        <v>94</v>
      </c>
      <c r="V3" s="12" t="s">
        <v>96</v>
      </c>
    </row>
    <row r="4" spans="1:22" ht="20.85" customHeight="1" x14ac:dyDescent="0.25">
      <c r="A4" s="21"/>
      <c r="B4" s="266"/>
      <c r="C4" s="5"/>
      <c r="D4" s="263"/>
      <c r="E4" s="263"/>
      <c r="F4" s="266"/>
      <c r="G4" s="267"/>
      <c r="H4" s="2"/>
      <c r="I4" s="2"/>
      <c r="J4" s="2"/>
      <c r="K4" s="24" t="str">
        <f>IF(June[[#This Row],[Date of Incident]]="","",TEXT(June[[#This Row],[Date of Incident]],"ddd"))</f>
        <v/>
      </c>
      <c r="L4" s="1"/>
      <c r="M4" s="24" t="str">
        <f>IFERROR(VLOOKUP(June[[#This Row],[Hour]],Shifts[],2,FALSE),"")</f>
        <v/>
      </c>
      <c r="N4" s="2"/>
      <c r="O4" s="24" t="str">
        <f>IFERROR(VLOOKUP(June[[#This Row],[BIMS Score]],BIMS[],2,FALSE),"")</f>
        <v/>
      </c>
      <c r="P4" s="3"/>
      <c r="Q4" s="3"/>
      <c r="R4" s="2"/>
      <c r="S4" s="168"/>
      <c r="T4" s="3"/>
      <c r="U4" s="3"/>
      <c r="V4" s="3"/>
    </row>
    <row r="5" spans="1:22" ht="20.85" customHeight="1" x14ac:dyDescent="0.25">
      <c r="A5" s="21"/>
      <c r="B5" s="266"/>
      <c r="C5" s="5"/>
      <c r="D5" s="263"/>
      <c r="E5" s="263"/>
      <c r="F5" s="266"/>
      <c r="G5" s="267"/>
      <c r="H5" s="2"/>
      <c r="I5" s="2"/>
      <c r="J5" s="2"/>
      <c r="K5" s="24" t="str">
        <f>IF(June[[#This Row],[Date of Incident]]="","",TEXT(June[[#This Row],[Date of Incident]],"ddd"))</f>
        <v/>
      </c>
      <c r="L5" s="1"/>
      <c r="M5" s="24" t="str">
        <f>IFERROR(VLOOKUP(June[[#This Row],[Hour]],Shifts[],2,FALSE),"")</f>
        <v/>
      </c>
      <c r="N5" s="2"/>
      <c r="O5" s="24" t="str">
        <f>IFERROR(VLOOKUP(June[[#This Row],[BIMS Score]],BIMS[],2,FALSE),"")</f>
        <v/>
      </c>
      <c r="P5" s="3"/>
      <c r="Q5" s="3"/>
      <c r="R5" s="2"/>
      <c r="S5" s="168"/>
      <c r="T5" s="3"/>
      <c r="U5" s="3"/>
      <c r="V5" s="3"/>
    </row>
    <row r="6" spans="1:22" ht="20.85" customHeight="1" x14ac:dyDescent="0.25">
      <c r="A6" s="21"/>
      <c r="B6" s="266"/>
      <c r="C6" s="5"/>
      <c r="D6" s="263"/>
      <c r="E6" s="263"/>
      <c r="F6" s="266"/>
      <c r="G6" s="267"/>
      <c r="H6" s="2"/>
      <c r="I6" s="2"/>
      <c r="J6" s="2"/>
      <c r="K6" s="24" t="str">
        <f>IF(June[[#This Row],[Date of Incident]]="","",TEXT(June[[#This Row],[Date of Incident]],"ddd"))</f>
        <v/>
      </c>
      <c r="L6" s="1"/>
      <c r="M6" s="24" t="str">
        <f>IFERROR(VLOOKUP(June[[#This Row],[Hour]],Shifts[],2,FALSE),"")</f>
        <v/>
      </c>
      <c r="N6" s="2"/>
      <c r="O6" s="24" t="str">
        <f>IFERROR(VLOOKUP(June[[#This Row],[BIMS Score]],BIMS[],2,FALSE),"")</f>
        <v/>
      </c>
      <c r="P6" s="3"/>
      <c r="Q6" s="3"/>
      <c r="R6" s="2"/>
      <c r="S6" s="168"/>
      <c r="T6" s="3"/>
      <c r="U6" s="3"/>
      <c r="V6" s="3"/>
    </row>
    <row r="7" spans="1:22" ht="20.85" customHeight="1" x14ac:dyDescent="0.25">
      <c r="A7" s="21"/>
      <c r="B7" s="266"/>
      <c r="C7" s="5"/>
      <c r="D7" s="263"/>
      <c r="E7" s="263"/>
      <c r="F7" s="266"/>
      <c r="G7" s="267"/>
      <c r="H7" s="2"/>
      <c r="I7" s="2"/>
      <c r="J7" s="2"/>
      <c r="K7" s="24" t="str">
        <f>IF(June[[#This Row],[Date of Incident]]="","",TEXT(June[[#This Row],[Date of Incident]],"ddd"))</f>
        <v/>
      </c>
      <c r="L7" s="1"/>
      <c r="M7" s="24" t="str">
        <f>IFERROR(VLOOKUP(June[[#This Row],[Hour]],Shifts[],2,FALSE),"")</f>
        <v/>
      </c>
      <c r="N7" s="2"/>
      <c r="O7" s="24" t="str">
        <f>IFERROR(VLOOKUP(June[[#This Row],[BIMS Score]],BIMS[],2,FALSE),"")</f>
        <v/>
      </c>
      <c r="P7" s="3"/>
      <c r="Q7" s="3"/>
      <c r="R7" s="2"/>
      <c r="S7" s="168"/>
      <c r="T7" s="3"/>
      <c r="U7" s="3"/>
      <c r="V7" s="3"/>
    </row>
    <row r="8" spans="1:22" ht="20.85" customHeight="1" x14ac:dyDescent="0.25">
      <c r="A8" s="21"/>
      <c r="B8" s="266"/>
      <c r="C8" s="5"/>
      <c r="D8" s="263"/>
      <c r="E8" s="263"/>
      <c r="F8" s="266"/>
      <c r="G8" s="267"/>
      <c r="H8" s="2"/>
      <c r="I8" s="2"/>
      <c r="J8" s="2"/>
      <c r="K8" s="24" t="str">
        <f>IF(June[[#This Row],[Date of Incident]]="","",TEXT(June[[#This Row],[Date of Incident]],"ddd"))</f>
        <v/>
      </c>
      <c r="L8" s="1"/>
      <c r="M8" s="24" t="str">
        <f>IFERROR(VLOOKUP(June[[#This Row],[Hour]],Shifts[],2,FALSE),"")</f>
        <v/>
      </c>
      <c r="N8" s="2"/>
      <c r="O8" s="24" t="str">
        <f>IFERROR(VLOOKUP(June[[#This Row],[BIMS Score]],BIMS[],2,FALSE),"")</f>
        <v/>
      </c>
      <c r="P8" s="3"/>
      <c r="Q8" s="3"/>
      <c r="R8" s="2"/>
      <c r="S8" s="168"/>
      <c r="T8" s="3"/>
      <c r="U8" s="3"/>
      <c r="V8" s="3"/>
    </row>
    <row r="9" spans="1:22" ht="20.85" customHeight="1" x14ac:dyDescent="0.25">
      <c r="A9" s="21"/>
      <c r="B9" s="266"/>
      <c r="C9" s="5"/>
      <c r="D9" s="263"/>
      <c r="E9" s="263"/>
      <c r="F9" s="266"/>
      <c r="G9" s="267"/>
      <c r="H9" s="2"/>
      <c r="I9" s="2"/>
      <c r="J9" s="2"/>
      <c r="K9" s="24" t="str">
        <f>IF(June[[#This Row],[Date of Incident]]="","",TEXT(June[[#This Row],[Date of Incident]],"ddd"))</f>
        <v/>
      </c>
      <c r="L9" s="1"/>
      <c r="M9" s="24" t="str">
        <f>IFERROR(VLOOKUP(June[[#This Row],[Hour]],Shifts[],2,FALSE),"")</f>
        <v/>
      </c>
      <c r="N9" s="2"/>
      <c r="O9" s="24" t="str">
        <f>IFERROR(VLOOKUP(June[[#This Row],[BIMS Score]],BIMS[],2,FALSE),"")</f>
        <v/>
      </c>
      <c r="P9" s="3"/>
      <c r="Q9" s="3"/>
      <c r="R9" s="2"/>
      <c r="S9" s="168"/>
      <c r="T9" s="3"/>
      <c r="U9" s="3"/>
      <c r="V9" s="3"/>
    </row>
    <row r="10" spans="1:22" ht="20.85" customHeight="1" x14ac:dyDescent="0.25">
      <c r="A10" s="21"/>
      <c r="B10" s="266"/>
      <c r="C10" s="5"/>
      <c r="D10" s="263"/>
      <c r="E10" s="263"/>
      <c r="F10" s="266"/>
      <c r="G10" s="267"/>
      <c r="H10" s="2"/>
      <c r="I10" s="2"/>
      <c r="J10" s="2"/>
      <c r="K10" s="24" t="str">
        <f>IF(June[[#This Row],[Date of Incident]]="","",TEXT(June[[#This Row],[Date of Incident]],"ddd"))</f>
        <v/>
      </c>
      <c r="L10" s="1"/>
      <c r="M10" s="24" t="str">
        <f>IFERROR(VLOOKUP(June[[#This Row],[Hour]],Shifts[],2,FALSE),"")</f>
        <v/>
      </c>
      <c r="N10" s="2"/>
      <c r="O10" s="24" t="str">
        <f>IFERROR(VLOOKUP(June[[#This Row],[BIMS Score]],BIMS[],2,FALSE),"")</f>
        <v/>
      </c>
      <c r="P10" s="3"/>
      <c r="Q10" s="3"/>
      <c r="R10" s="2"/>
      <c r="S10" s="168"/>
      <c r="T10" s="3"/>
      <c r="U10" s="3"/>
      <c r="V10" s="3"/>
    </row>
    <row r="11" spans="1:22" ht="20.85" customHeight="1" x14ac:dyDescent="0.25">
      <c r="A11" s="21"/>
      <c r="B11" s="266"/>
      <c r="C11" s="5"/>
      <c r="D11" s="263"/>
      <c r="E11" s="263"/>
      <c r="F11" s="266"/>
      <c r="G11" s="267"/>
      <c r="H11" s="2"/>
      <c r="I11" s="2"/>
      <c r="J11" s="2"/>
      <c r="K11" s="24" t="str">
        <f>IF(June[[#This Row],[Date of Incident]]="","",TEXT(June[[#This Row],[Date of Incident]],"ddd"))</f>
        <v/>
      </c>
      <c r="L11" s="1"/>
      <c r="M11" s="24" t="str">
        <f>IFERROR(VLOOKUP(June[[#This Row],[Hour]],Shifts[],2,FALSE),"")</f>
        <v/>
      </c>
      <c r="N11" s="2"/>
      <c r="O11" s="24" t="str">
        <f>IFERROR(VLOOKUP(June[[#This Row],[BIMS Score]],BIMS[],2,FALSE),"")</f>
        <v/>
      </c>
      <c r="P11" s="3"/>
      <c r="Q11" s="3"/>
      <c r="R11" s="2"/>
      <c r="S11" s="168"/>
      <c r="T11" s="3"/>
      <c r="U11" s="3"/>
      <c r="V11" s="3"/>
    </row>
    <row r="12" spans="1:22" ht="20.85" customHeight="1" x14ac:dyDescent="0.25">
      <c r="A12" s="21"/>
      <c r="B12" s="267"/>
      <c r="C12" s="5"/>
      <c r="D12" s="264"/>
      <c r="E12" s="263"/>
      <c r="F12" s="267"/>
      <c r="G12" s="267"/>
      <c r="H12" s="2"/>
      <c r="I12" s="2"/>
      <c r="J12" s="2"/>
      <c r="K12" s="24" t="str">
        <f>IF(June[[#This Row],[Date of Incident]]="","",TEXT(June[[#This Row],[Date of Incident]],"ddd"))</f>
        <v/>
      </c>
      <c r="L12" s="1"/>
      <c r="M12" s="24" t="str">
        <f>IFERROR(VLOOKUP(June[[#This Row],[Hour]],Shifts[],2,FALSE),"")</f>
        <v/>
      </c>
      <c r="N12" s="2"/>
      <c r="O12" s="24" t="str">
        <f>IFERROR(VLOOKUP(June[[#This Row],[BIMS Score]],BIMS[],2,FALSE),"")</f>
        <v/>
      </c>
      <c r="P12" s="3"/>
      <c r="Q12" s="3"/>
      <c r="R12" s="2"/>
      <c r="S12" s="168"/>
      <c r="T12" s="3"/>
      <c r="U12" s="3"/>
      <c r="V12" s="3"/>
    </row>
    <row r="13" spans="1:22" ht="20.85" customHeight="1" x14ac:dyDescent="0.25">
      <c r="A13" s="21"/>
      <c r="B13" s="267"/>
      <c r="C13" s="5"/>
      <c r="D13" s="264"/>
      <c r="E13" s="263"/>
      <c r="F13" s="267"/>
      <c r="G13" s="267"/>
      <c r="H13" s="2"/>
      <c r="I13" s="2"/>
      <c r="J13" s="2"/>
      <c r="K13" s="24" t="str">
        <f>IF(June[[#This Row],[Date of Incident]]="","",TEXT(June[[#This Row],[Date of Incident]],"ddd"))</f>
        <v/>
      </c>
      <c r="L13" s="1"/>
      <c r="M13" s="24" t="str">
        <f>IFERROR(VLOOKUP(June[[#This Row],[Hour]],Shifts[],2,FALSE),"")</f>
        <v/>
      </c>
      <c r="N13" s="2"/>
      <c r="O13" s="24" t="str">
        <f>IFERROR(VLOOKUP(June[[#This Row],[BIMS Score]],BIMS[],2,FALSE),"")</f>
        <v/>
      </c>
      <c r="P13" s="3"/>
      <c r="Q13" s="3"/>
      <c r="R13" s="2"/>
      <c r="S13" s="168"/>
      <c r="T13" s="3"/>
      <c r="U13" s="3"/>
      <c r="V13" s="3"/>
    </row>
    <row r="14" spans="1:22" ht="20.85" customHeight="1" x14ac:dyDescent="0.25">
      <c r="A14" s="21"/>
      <c r="B14" s="267"/>
      <c r="C14" s="5"/>
      <c r="D14" s="264"/>
      <c r="E14" s="263"/>
      <c r="F14" s="267"/>
      <c r="G14" s="267"/>
      <c r="H14" s="2"/>
      <c r="I14" s="2"/>
      <c r="J14" s="2"/>
      <c r="K14" s="24" t="str">
        <f>IF(June[[#This Row],[Date of Incident]]="","",TEXT(June[[#This Row],[Date of Incident]],"ddd"))</f>
        <v/>
      </c>
      <c r="L14" s="1"/>
      <c r="M14" s="24" t="str">
        <f>IFERROR(VLOOKUP(June[[#This Row],[Hour]],Shifts[],2,FALSE),"")</f>
        <v/>
      </c>
      <c r="N14" s="2"/>
      <c r="O14" s="24" t="str">
        <f>IFERROR(VLOOKUP(June[[#This Row],[BIMS Score]],BIMS[],2,FALSE),"")</f>
        <v/>
      </c>
      <c r="P14" s="3"/>
      <c r="Q14" s="3"/>
      <c r="R14" s="2"/>
      <c r="S14" s="168"/>
      <c r="T14" s="3"/>
      <c r="U14" s="3"/>
      <c r="V14" s="3"/>
    </row>
    <row r="15" spans="1:22" ht="20.85" customHeight="1" x14ac:dyDescent="0.25">
      <c r="A15" s="21"/>
      <c r="B15" s="267"/>
      <c r="C15" s="5"/>
      <c r="D15" s="264"/>
      <c r="E15" s="263"/>
      <c r="F15" s="267"/>
      <c r="G15" s="267"/>
      <c r="H15" s="2"/>
      <c r="I15" s="2"/>
      <c r="J15" s="2"/>
      <c r="K15" s="24" t="str">
        <f>IF(June[[#This Row],[Date of Incident]]="","",TEXT(June[[#This Row],[Date of Incident]],"ddd"))</f>
        <v/>
      </c>
      <c r="L15" s="1"/>
      <c r="M15" s="24" t="str">
        <f>IFERROR(VLOOKUP(June[[#This Row],[Hour]],Shifts[],2,FALSE),"")</f>
        <v/>
      </c>
      <c r="N15" s="2"/>
      <c r="O15" s="24" t="str">
        <f>IFERROR(VLOOKUP(June[[#This Row],[BIMS Score]],BIMS[],2,FALSE),"")</f>
        <v/>
      </c>
      <c r="P15" s="3"/>
      <c r="Q15" s="3"/>
      <c r="R15" s="2"/>
      <c r="S15" s="168"/>
      <c r="T15" s="3"/>
      <c r="U15" s="3"/>
      <c r="V15" s="3"/>
    </row>
    <row r="16" spans="1:22" ht="20.85" customHeight="1" x14ac:dyDescent="0.25">
      <c r="A16" s="21"/>
      <c r="B16" s="267"/>
      <c r="C16" s="3"/>
      <c r="D16" s="264"/>
      <c r="E16" s="264"/>
      <c r="F16" s="267"/>
      <c r="G16" s="267"/>
      <c r="H16" s="2"/>
      <c r="I16" s="2"/>
      <c r="J16" s="2"/>
      <c r="K16" s="24" t="str">
        <f>IF(June[[#This Row],[Date of Incident]]="","",TEXT(June[[#This Row],[Date of Incident]],"ddd"))</f>
        <v/>
      </c>
      <c r="L16" s="1"/>
      <c r="M16" s="24" t="str">
        <f>IFERROR(VLOOKUP(June[[#This Row],[Hour]],Shifts[],2,FALSE),"")</f>
        <v/>
      </c>
      <c r="N16" s="2"/>
      <c r="O16" s="24" t="str">
        <f>IFERROR(VLOOKUP(June[[#This Row],[BIMS Score]],BIMS[],2,FALSE),"")</f>
        <v/>
      </c>
      <c r="P16" s="3"/>
      <c r="Q16" s="3"/>
      <c r="R16" s="2"/>
      <c r="S16" s="168"/>
      <c r="T16" s="3"/>
      <c r="U16" s="3"/>
      <c r="V16" s="3"/>
    </row>
    <row r="17" spans="1:22" ht="20.85" customHeight="1" x14ac:dyDescent="0.25">
      <c r="A17" s="21"/>
      <c r="B17" s="267"/>
      <c r="C17" s="3"/>
      <c r="D17" s="264"/>
      <c r="E17" s="264"/>
      <c r="F17" s="267"/>
      <c r="G17" s="267"/>
      <c r="H17" s="2"/>
      <c r="I17" s="2"/>
      <c r="J17" s="2"/>
      <c r="K17" s="24" t="str">
        <f>IF(June[[#This Row],[Date of Incident]]="","",TEXT(June[[#This Row],[Date of Incident]],"ddd"))</f>
        <v/>
      </c>
      <c r="L17" s="1"/>
      <c r="M17" s="24" t="str">
        <f>IFERROR(VLOOKUP(June[[#This Row],[Hour]],Shifts[],2,FALSE),"")</f>
        <v/>
      </c>
      <c r="N17" s="2"/>
      <c r="O17" s="24" t="str">
        <f>IFERROR(VLOOKUP(June[[#This Row],[BIMS Score]],BIMS[],2,FALSE),"")</f>
        <v/>
      </c>
      <c r="P17" s="3"/>
      <c r="Q17" s="3"/>
      <c r="R17" s="2"/>
      <c r="S17" s="168"/>
      <c r="T17" s="3"/>
      <c r="U17" s="3"/>
      <c r="V17" s="3"/>
    </row>
    <row r="18" spans="1:22" ht="20.85" customHeight="1" x14ac:dyDescent="0.25">
      <c r="A18" s="21"/>
      <c r="B18" s="267"/>
      <c r="C18" s="3"/>
      <c r="D18" s="264"/>
      <c r="E18" s="264"/>
      <c r="F18" s="267"/>
      <c r="G18" s="267"/>
      <c r="H18" s="2"/>
      <c r="I18" s="2"/>
      <c r="J18" s="2"/>
      <c r="K18" s="24" t="str">
        <f>IF(June[[#This Row],[Date of Incident]]="","",TEXT(June[[#This Row],[Date of Incident]],"ddd"))</f>
        <v/>
      </c>
      <c r="L18" s="1"/>
      <c r="M18" s="24" t="str">
        <f>IFERROR(VLOOKUP(June[[#This Row],[Hour]],Shifts[],2,FALSE),"")</f>
        <v/>
      </c>
      <c r="N18" s="2"/>
      <c r="O18" s="24" t="str">
        <f>IFERROR(VLOOKUP(June[[#This Row],[BIMS Score]],BIMS[],2,FALSE),"")</f>
        <v/>
      </c>
      <c r="P18" s="3"/>
      <c r="Q18" s="3"/>
      <c r="R18" s="2"/>
      <c r="S18" s="168"/>
      <c r="T18" s="3"/>
      <c r="U18" s="3"/>
      <c r="V18" s="3"/>
    </row>
    <row r="19" spans="1:22" ht="20.85" customHeight="1" x14ac:dyDescent="0.25">
      <c r="A19" s="21"/>
      <c r="B19" s="267"/>
      <c r="C19" s="3"/>
      <c r="D19" s="264"/>
      <c r="E19" s="264"/>
      <c r="F19" s="267"/>
      <c r="G19" s="267"/>
      <c r="H19" s="2"/>
      <c r="I19" s="2"/>
      <c r="J19" s="2"/>
      <c r="K19" s="24" t="str">
        <f>IF(June[[#This Row],[Date of Incident]]="","",TEXT(June[[#This Row],[Date of Incident]],"ddd"))</f>
        <v/>
      </c>
      <c r="L19" s="1"/>
      <c r="M19" s="24" t="str">
        <f>IFERROR(VLOOKUP(June[[#This Row],[Hour]],Shifts[],2,FALSE),"")</f>
        <v/>
      </c>
      <c r="N19" s="2"/>
      <c r="O19" s="24" t="str">
        <f>IFERROR(VLOOKUP(June[[#This Row],[BIMS Score]],BIMS[],2,FALSE),"")</f>
        <v/>
      </c>
      <c r="P19" s="3"/>
      <c r="Q19" s="3"/>
      <c r="R19" s="2"/>
      <c r="S19" s="168"/>
      <c r="T19" s="3"/>
      <c r="U19" s="3"/>
      <c r="V19" s="3"/>
    </row>
    <row r="20" spans="1:22" ht="20.85" customHeight="1" x14ac:dyDescent="0.25">
      <c r="A20" s="21"/>
      <c r="B20" s="267"/>
      <c r="C20" s="3"/>
      <c r="D20" s="264"/>
      <c r="E20" s="264"/>
      <c r="F20" s="267"/>
      <c r="G20" s="267"/>
      <c r="H20" s="2"/>
      <c r="I20" s="2"/>
      <c r="J20" s="2"/>
      <c r="K20" s="24" t="str">
        <f>IF(June[[#This Row],[Date of Incident]]="","",TEXT(June[[#This Row],[Date of Incident]],"ddd"))</f>
        <v/>
      </c>
      <c r="L20" s="1"/>
      <c r="M20" s="24" t="str">
        <f>IFERROR(VLOOKUP(June[[#This Row],[Hour]],Shifts[],2,FALSE),"")</f>
        <v/>
      </c>
      <c r="N20" s="2"/>
      <c r="O20" s="24" t="str">
        <f>IFERROR(VLOOKUP(June[[#This Row],[BIMS Score]],BIMS[],2,FALSE),"")</f>
        <v/>
      </c>
      <c r="P20" s="3"/>
      <c r="Q20" s="3"/>
      <c r="R20" s="2"/>
      <c r="S20" s="168"/>
      <c r="T20" s="3"/>
      <c r="U20" s="3"/>
      <c r="V20" s="3"/>
    </row>
    <row r="21" spans="1:22" ht="20.85" customHeight="1" x14ac:dyDescent="0.25">
      <c r="A21" s="21"/>
      <c r="B21" s="267"/>
      <c r="C21" s="3"/>
      <c r="D21" s="264"/>
      <c r="E21" s="264"/>
      <c r="F21" s="267"/>
      <c r="G21" s="267"/>
      <c r="H21" s="2"/>
      <c r="I21" s="2"/>
      <c r="J21" s="2"/>
      <c r="K21" s="24" t="str">
        <f>IF(June[[#This Row],[Date of Incident]]="","",TEXT(June[[#This Row],[Date of Incident]],"ddd"))</f>
        <v/>
      </c>
      <c r="L21" s="1"/>
      <c r="M21" s="24" t="str">
        <f>IFERROR(VLOOKUP(June[[#This Row],[Hour]],Shifts[],2,FALSE),"")</f>
        <v/>
      </c>
      <c r="N21" s="2"/>
      <c r="O21" s="24" t="str">
        <f>IFERROR(VLOOKUP(June[[#This Row],[BIMS Score]],BIMS[],2,FALSE),"")</f>
        <v/>
      </c>
      <c r="P21" s="3"/>
      <c r="Q21" s="3"/>
      <c r="R21" s="2"/>
      <c r="S21" s="168"/>
      <c r="T21" s="3"/>
      <c r="U21" s="3"/>
      <c r="V21" s="3"/>
    </row>
    <row r="22" spans="1:22" ht="20.85" customHeight="1" x14ac:dyDescent="0.25">
      <c r="A22" s="21"/>
      <c r="B22" s="267"/>
      <c r="C22" s="3"/>
      <c r="D22" s="264"/>
      <c r="E22" s="264"/>
      <c r="F22" s="267"/>
      <c r="G22" s="267"/>
      <c r="H22" s="2"/>
      <c r="I22" s="2"/>
      <c r="J22" s="2"/>
      <c r="K22" s="24" t="str">
        <f>IF(June[[#This Row],[Date of Incident]]="","",TEXT(June[[#This Row],[Date of Incident]],"ddd"))</f>
        <v/>
      </c>
      <c r="L22" s="1"/>
      <c r="M22" s="24" t="str">
        <f>IFERROR(VLOOKUP(June[[#This Row],[Hour]],Shifts[],2,FALSE),"")</f>
        <v/>
      </c>
      <c r="N22" s="1"/>
      <c r="O22" s="24" t="str">
        <f>IFERROR(VLOOKUP(June[[#This Row],[BIMS Score]],BIMS[],2,FALSE),"")</f>
        <v/>
      </c>
      <c r="P22" s="3"/>
      <c r="Q22" s="3"/>
      <c r="R22" s="2"/>
      <c r="S22" s="168"/>
      <c r="T22" s="3"/>
      <c r="U22" s="3"/>
      <c r="V22" s="3"/>
    </row>
    <row r="23" spans="1:22" ht="20.85" customHeight="1" x14ac:dyDescent="0.25">
      <c r="A23" s="21"/>
      <c r="B23" s="267"/>
      <c r="C23" s="3"/>
      <c r="D23" s="264"/>
      <c r="E23" s="264"/>
      <c r="F23" s="267"/>
      <c r="G23" s="267"/>
      <c r="H23" s="2"/>
      <c r="I23" s="2"/>
      <c r="J23" s="2"/>
      <c r="K23" s="24" t="str">
        <f>IF(June[[#This Row],[Date of Incident]]="","",TEXT(June[[#This Row],[Date of Incident]],"ddd"))</f>
        <v/>
      </c>
      <c r="L23" s="1"/>
      <c r="M23" s="24" t="str">
        <f>IFERROR(VLOOKUP(June[[#This Row],[Hour]],Shifts[],2,FALSE),"")</f>
        <v/>
      </c>
      <c r="N23" s="1"/>
      <c r="O23" s="24" t="str">
        <f>IFERROR(VLOOKUP(June[[#This Row],[BIMS Score]],BIMS[],2,FALSE),"")</f>
        <v/>
      </c>
      <c r="P23" s="3"/>
      <c r="Q23" s="3"/>
      <c r="R23" s="2"/>
      <c r="S23" s="168"/>
      <c r="T23" s="3"/>
      <c r="U23" s="3"/>
      <c r="V23" s="3"/>
    </row>
    <row r="24" spans="1:22" s="10" customFormat="1" ht="20.85" customHeight="1" x14ac:dyDescent="0.25">
      <c r="A24" s="26"/>
      <c r="B24" s="266"/>
      <c r="C24" s="5"/>
      <c r="D24" s="263"/>
      <c r="E24" s="263"/>
      <c r="F24" s="267"/>
      <c r="G24" s="267"/>
      <c r="H24" s="1"/>
      <c r="I24" s="1"/>
      <c r="J24" s="1"/>
      <c r="K24" s="24" t="str">
        <f>IF(June[[#This Row],[Date of Incident]]="","",TEXT(June[[#This Row],[Date of Incident]],"ddd"))</f>
        <v/>
      </c>
      <c r="L24" s="1"/>
      <c r="M24" s="24" t="str">
        <f>IFERROR(VLOOKUP(June[[#This Row],[Hour]],Shifts[],2,FALSE),"")</f>
        <v/>
      </c>
      <c r="N24" s="1"/>
      <c r="O24" s="24" t="str">
        <f>IFERROR(VLOOKUP(June[[#This Row],[BIMS Score]],BIMS[],2,FALSE),"")</f>
        <v/>
      </c>
      <c r="P24" s="3"/>
      <c r="Q24" s="3"/>
      <c r="R24" s="2"/>
      <c r="S24" s="168"/>
      <c r="T24" s="5"/>
      <c r="U24" s="5"/>
      <c r="V24" s="3"/>
    </row>
    <row r="25" spans="1:22" ht="20.85" customHeight="1" x14ac:dyDescent="0.25">
      <c r="A25" s="21"/>
      <c r="B25" s="266"/>
      <c r="C25" s="5"/>
      <c r="D25" s="263"/>
      <c r="E25" s="263"/>
      <c r="F25" s="267"/>
      <c r="G25" s="267"/>
      <c r="H25" s="1"/>
      <c r="I25" s="1"/>
      <c r="J25" s="1"/>
      <c r="K25" s="24" t="str">
        <f>IF(June[[#This Row],[Date of Incident]]="","",TEXT(June[[#This Row],[Date of Incident]],"ddd"))</f>
        <v/>
      </c>
      <c r="L25" s="1"/>
      <c r="M25" s="24" t="str">
        <f>IFERROR(VLOOKUP(June[[#This Row],[Hour]],Shifts[],2,FALSE),"")</f>
        <v/>
      </c>
      <c r="N25" s="1"/>
      <c r="O25" s="24" t="str">
        <f>IFERROR(VLOOKUP(June[[#This Row],[BIMS Score]],BIMS[],2,FALSE),"")</f>
        <v/>
      </c>
      <c r="P25" s="3"/>
      <c r="Q25" s="3"/>
      <c r="R25" s="2"/>
      <c r="S25" s="168"/>
      <c r="T25" s="5"/>
      <c r="U25" s="5"/>
      <c r="V25" s="3"/>
    </row>
    <row r="26" spans="1:22" ht="20.85" customHeight="1" x14ac:dyDescent="0.25">
      <c r="A26" s="21"/>
      <c r="B26" s="266"/>
      <c r="C26" s="5"/>
      <c r="D26" s="263"/>
      <c r="E26" s="263"/>
      <c r="F26" s="267"/>
      <c r="G26" s="267"/>
      <c r="H26" s="1"/>
      <c r="I26" s="1"/>
      <c r="J26" s="1"/>
      <c r="K26" s="24" t="str">
        <f>IF(June[[#This Row],[Date of Incident]]="","",TEXT(June[[#This Row],[Date of Incident]],"ddd"))</f>
        <v/>
      </c>
      <c r="L26" s="1"/>
      <c r="M26" s="24" t="str">
        <f>IFERROR(VLOOKUP(June[[#This Row],[Hour]],Shifts[],2,FALSE),"")</f>
        <v/>
      </c>
      <c r="N26" s="1"/>
      <c r="O26" s="24" t="str">
        <f>IFERROR(VLOOKUP(June[[#This Row],[BIMS Score]],BIMS[],2,FALSE),"")</f>
        <v/>
      </c>
      <c r="P26" s="3"/>
      <c r="Q26" s="3"/>
      <c r="R26" s="2"/>
      <c r="S26" s="168"/>
      <c r="T26" s="5"/>
      <c r="U26" s="5"/>
      <c r="V26" s="3"/>
    </row>
    <row r="27" spans="1:22" ht="20.85" customHeight="1" x14ac:dyDescent="0.25">
      <c r="A27" s="21"/>
      <c r="B27" s="266"/>
      <c r="C27" s="5"/>
      <c r="D27" s="263"/>
      <c r="E27" s="263"/>
      <c r="F27" s="267"/>
      <c r="G27" s="267"/>
      <c r="H27" s="1"/>
      <c r="I27" s="1"/>
      <c r="J27" s="1"/>
      <c r="K27" s="24" t="str">
        <f>IF(June[[#This Row],[Date of Incident]]="","",TEXT(June[[#This Row],[Date of Incident]],"ddd"))</f>
        <v/>
      </c>
      <c r="L27" s="1"/>
      <c r="M27" s="24" t="str">
        <f>IFERROR(VLOOKUP(June[[#This Row],[Hour]],Shifts[],2,FALSE),"")</f>
        <v/>
      </c>
      <c r="N27" s="1"/>
      <c r="O27" s="24" t="str">
        <f>IFERROR(VLOOKUP(June[[#This Row],[BIMS Score]],BIMS[],2,FALSE),"")</f>
        <v/>
      </c>
      <c r="P27" s="3"/>
      <c r="Q27" s="3"/>
      <c r="R27" s="2"/>
      <c r="S27" s="168"/>
      <c r="T27" s="5"/>
      <c r="U27" s="5"/>
      <c r="V27" s="3"/>
    </row>
    <row r="28" spans="1:22" ht="20.85" customHeight="1" x14ac:dyDescent="0.25">
      <c r="A28" s="21"/>
      <c r="B28" s="266"/>
      <c r="C28" s="5"/>
      <c r="D28" s="263"/>
      <c r="E28" s="263"/>
      <c r="F28" s="267"/>
      <c r="G28" s="267"/>
      <c r="H28" s="1"/>
      <c r="I28" s="1"/>
      <c r="J28" s="1"/>
      <c r="K28" s="24" t="str">
        <f>IF(June[[#This Row],[Date of Incident]]="","",TEXT(June[[#This Row],[Date of Incident]],"ddd"))</f>
        <v/>
      </c>
      <c r="L28" s="1"/>
      <c r="M28" s="24" t="str">
        <f>IFERROR(VLOOKUP(June[[#This Row],[Hour]],Shifts[],2,FALSE),"")</f>
        <v/>
      </c>
      <c r="N28" s="1"/>
      <c r="O28" s="24" t="str">
        <f>IFERROR(VLOOKUP(June[[#This Row],[BIMS Score]],BIMS[],2,FALSE),"")</f>
        <v/>
      </c>
      <c r="P28" s="3"/>
      <c r="Q28" s="3"/>
      <c r="R28" s="2"/>
      <c r="S28" s="168"/>
      <c r="T28" s="5"/>
      <c r="U28" s="5"/>
      <c r="V28" s="3"/>
    </row>
    <row r="29" spans="1:22" ht="20.85" customHeight="1" x14ac:dyDescent="0.25">
      <c r="B29" s="266"/>
      <c r="C29" s="5"/>
      <c r="D29" s="263"/>
      <c r="E29" s="263"/>
      <c r="F29" s="267"/>
      <c r="G29" s="267"/>
      <c r="H29" s="1"/>
      <c r="I29" s="1"/>
      <c r="J29" s="1"/>
      <c r="K29" s="27" t="str">
        <f>IF(June[[#This Row],[Date of Incident]]="","",TEXT(June[[#This Row],[Date of Incident]],"ddd"))</f>
        <v/>
      </c>
      <c r="L29" s="1"/>
      <c r="M29" s="27" t="str">
        <f>IFERROR(VLOOKUP(June[[#This Row],[Hour]],Shifts[],2,FALSE),"")</f>
        <v/>
      </c>
      <c r="N29" s="2"/>
      <c r="O29" s="24" t="str">
        <f>IFERROR(VLOOKUP(June[[#This Row],[BIMS Score]],BIMS[],2,FALSE),"")</f>
        <v/>
      </c>
      <c r="P29" s="3"/>
      <c r="Q29" s="3"/>
      <c r="R29" s="2"/>
      <c r="S29" s="168"/>
      <c r="T29" s="5"/>
      <c r="U29" s="5"/>
      <c r="V29" s="5"/>
    </row>
    <row r="30" spans="1:22" ht="20.85" customHeight="1" x14ac:dyDescent="0.25">
      <c r="B30" s="266"/>
      <c r="C30" s="5"/>
      <c r="D30" s="263"/>
      <c r="E30" s="263"/>
      <c r="F30" s="267"/>
      <c r="G30" s="267"/>
      <c r="H30" s="1"/>
      <c r="I30" s="1"/>
      <c r="J30" s="1"/>
      <c r="K30" s="27" t="str">
        <f>IF(June[[#This Row],[Date of Incident]]="","",TEXT(June[[#This Row],[Date of Incident]],"ddd"))</f>
        <v/>
      </c>
      <c r="L30" s="1"/>
      <c r="M30" s="27" t="str">
        <f>IFERROR(VLOOKUP(June[[#This Row],[Hour]],Shifts[],2,FALSE),"")</f>
        <v/>
      </c>
      <c r="N30" s="2"/>
      <c r="O30" s="24" t="str">
        <f>IFERROR(VLOOKUP(June[[#This Row],[BIMS Score]],BIMS[],2,FALSE),"")</f>
        <v/>
      </c>
      <c r="P30" s="3"/>
      <c r="Q30" s="3"/>
      <c r="R30" s="2"/>
      <c r="S30" s="168"/>
      <c r="T30" s="5"/>
      <c r="U30" s="5"/>
      <c r="V30" s="5"/>
    </row>
    <row r="31" spans="1:22" ht="20.85" customHeight="1" x14ac:dyDescent="0.25">
      <c r="B31" s="266"/>
      <c r="C31" s="5"/>
      <c r="D31" s="263"/>
      <c r="E31" s="263"/>
      <c r="F31" s="267"/>
      <c r="G31" s="267"/>
      <c r="H31" s="1"/>
      <c r="I31" s="1"/>
      <c r="J31" s="1"/>
      <c r="K31" s="27" t="str">
        <f>IF(June[[#This Row],[Date of Incident]]="","",TEXT(June[[#This Row],[Date of Incident]],"ddd"))</f>
        <v/>
      </c>
      <c r="L31" s="1"/>
      <c r="M31" s="27" t="str">
        <f>IFERROR(VLOOKUP(June[[#This Row],[Hour]],Shifts[],2,FALSE),"")</f>
        <v/>
      </c>
      <c r="N31" s="2"/>
      <c r="O31" s="24" t="str">
        <f>IFERROR(VLOOKUP(June[[#This Row],[BIMS Score]],BIMS[],2,FALSE),"")</f>
        <v/>
      </c>
      <c r="P31" s="3"/>
      <c r="Q31" s="3"/>
      <c r="R31" s="2"/>
      <c r="S31" s="168"/>
      <c r="T31" s="5"/>
      <c r="U31" s="5"/>
      <c r="V31" s="5"/>
    </row>
    <row r="32" spans="1:22" ht="20.85" customHeight="1" x14ac:dyDescent="0.25">
      <c r="B32" s="266"/>
      <c r="C32" s="5"/>
      <c r="D32" s="263"/>
      <c r="E32" s="263"/>
      <c r="F32" s="267"/>
      <c r="G32" s="267"/>
      <c r="H32" s="1"/>
      <c r="I32" s="1"/>
      <c r="J32" s="1"/>
      <c r="K32" s="27" t="str">
        <f>IF(June[[#This Row],[Date of Incident]]="","",TEXT(June[[#This Row],[Date of Incident]],"ddd"))</f>
        <v/>
      </c>
      <c r="L32" s="1"/>
      <c r="M32" s="27" t="str">
        <f>IFERROR(VLOOKUP(June[[#This Row],[Hour]],Shifts[],2,FALSE),"")</f>
        <v/>
      </c>
      <c r="N32" s="2"/>
      <c r="O32" s="24" t="str">
        <f>IFERROR(VLOOKUP(June[[#This Row],[BIMS Score]],BIMS[],2,FALSE),"")</f>
        <v/>
      </c>
      <c r="P32" s="3"/>
      <c r="Q32" s="3"/>
      <c r="R32" s="2"/>
      <c r="S32" s="168"/>
      <c r="T32" s="5"/>
      <c r="U32" s="5"/>
      <c r="V32" s="5"/>
    </row>
    <row r="33" spans="2:22" ht="20.85" customHeight="1" x14ac:dyDescent="0.25">
      <c r="B33" s="266"/>
      <c r="C33" s="5"/>
      <c r="D33" s="263"/>
      <c r="E33" s="263"/>
      <c r="F33" s="267"/>
      <c r="G33" s="267"/>
      <c r="H33" s="1"/>
      <c r="I33" s="1"/>
      <c r="J33" s="1"/>
      <c r="K33" s="27" t="str">
        <f>IF(June[[#This Row],[Date of Incident]]="","",TEXT(June[[#This Row],[Date of Incident]],"ddd"))</f>
        <v/>
      </c>
      <c r="L33" s="1"/>
      <c r="M33" s="27" t="str">
        <f>IFERROR(VLOOKUP(June[[#This Row],[Hour]],Shifts[],2,FALSE),"")</f>
        <v/>
      </c>
      <c r="N33" s="2"/>
      <c r="O33" s="24" t="str">
        <f>IFERROR(VLOOKUP(June[[#This Row],[BIMS Score]],BIMS[],2,FALSE),"")</f>
        <v/>
      </c>
      <c r="P33" s="3"/>
      <c r="Q33" s="3"/>
      <c r="R33" s="2"/>
      <c r="S33" s="168"/>
      <c r="T33" s="5"/>
      <c r="U33" s="5"/>
      <c r="V33" s="5"/>
    </row>
    <row r="34" spans="2:22" ht="20.85" customHeight="1" x14ac:dyDescent="0.25">
      <c r="B34" s="266"/>
      <c r="C34" s="5"/>
      <c r="D34" s="263"/>
      <c r="E34" s="263"/>
      <c r="F34" s="267"/>
      <c r="G34" s="267"/>
      <c r="H34" s="1"/>
      <c r="I34" s="1"/>
      <c r="J34" s="1"/>
      <c r="K34" s="27" t="str">
        <f>IF(June[[#This Row],[Date of Incident]]="","",TEXT(June[[#This Row],[Date of Incident]],"ddd"))</f>
        <v/>
      </c>
      <c r="L34" s="1"/>
      <c r="M34" s="27" t="str">
        <f>IFERROR(VLOOKUP(June[[#This Row],[Hour]],Shifts[],2,FALSE),"")</f>
        <v/>
      </c>
      <c r="N34" s="2"/>
      <c r="O34" s="24" t="str">
        <f>IFERROR(VLOOKUP(June[[#This Row],[BIMS Score]],BIMS[],2,FALSE),"")</f>
        <v/>
      </c>
      <c r="P34" s="3"/>
      <c r="Q34" s="3"/>
      <c r="R34" s="2"/>
      <c r="S34" s="168"/>
      <c r="T34" s="5"/>
      <c r="U34" s="5"/>
      <c r="V34" s="5"/>
    </row>
    <row r="35" spans="2:22" ht="20.85" customHeight="1" x14ac:dyDescent="0.25">
      <c r="B35" s="266"/>
      <c r="C35" s="5"/>
      <c r="D35" s="263"/>
      <c r="E35" s="263"/>
      <c r="F35" s="267"/>
      <c r="G35" s="267"/>
      <c r="H35" s="1"/>
      <c r="I35" s="1"/>
      <c r="J35" s="1"/>
      <c r="K35" s="27" t="str">
        <f>IF(June[[#This Row],[Date of Incident]]="","",TEXT(June[[#This Row],[Date of Incident]],"ddd"))</f>
        <v/>
      </c>
      <c r="L35" s="1"/>
      <c r="M35" s="27" t="str">
        <f>IFERROR(VLOOKUP(June[[#This Row],[Hour]],Shifts[],2,FALSE),"")</f>
        <v/>
      </c>
      <c r="N35" s="2"/>
      <c r="O35" s="24" t="str">
        <f>IFERROR(VLOOKUP(June[[#This Row],[BIMS Score]],BIMS[],2,FALSE),"")</f>
        <v/>
      </c>
      <c r="P35" s="3"/>
      <c r="Q35" s="3"/>
      <c r="R35" s="2"/>
      <c r="S35" s="168"/>
      <c r="T35" s="5"/>
      <c r="U35" s="5"/>
      <c r="V35" s="5"/>
    </row>
    <row r="36" spans="2:22" ht="20.85" customHeight="1" x14ac:dyDescent="0.25">
      <c r="B36" s="266"/>
      <c r="C36" s="5"/>
      <c r="D36" s="263"/>
      <c r="E36" s="263"/>
      <c r="F36" s="267"/>
      <c r="G36" s="267"/>
      <c r="H36" s="1"/>
      <c r="I36" s="1"/>
      <c r="J36" s="1"/>
      <c r="K36" s="27" t="str">
        <f>IF(June[[#This Row],[Date of Incident]]="","",TEXT(June[[#This Row],[Date of Incident]],"ddd"))</f>
        <v/>
      </c>
      <c r="L36" s="1"/>
      <c r="M36" s="27" t="str">
        <f>IFERROR(VLOOKUP(June[[#This Row],[Hour]],Shifts[],2,FALSE),"")</f>
        <v/>
      </c>
      <c r="N36" s="2"/>
      <c r="O36" s="24" t="str">
        <f>IFERROR(VLOOKUP(June[[#This Row],[BIMS Score]],BIMS[],2,FALSE),"")</f>
        <v/>
      </c>
      <c r="P36" s="3"/>
      <c r="Q36" s="3"/>
      <c r="R36" s="2"/>
      <c r="S36" s="168"/>
      <c r="T36" s="5"/>
      <c r="U36" s="5"/>
      <c r="V36" s="5"/>
    </row>
    <row r="37" spans="2:22" ht="20.85" customHeight="1" x14ac:dyDescent="0.25">
      <c r="B37" s="266"/>
      <c r="C37" s="5"/>
      <c r="D37" s="263"/>
      <c r="E37" s="263"/>
      <c r="F37" s="267"/>
      <c r="G37" s="267"/>
      <c r="H37" s="1"/>
      <c r="I37" s="1"/>
      <c r="J37" s="1"/>
      <c r="K37" s="27" t="str">
        <f>IF(June[[#This Row],[Date of Incident]]="","",TEXT(June[[#This Row],[Date of Incident]],"ddd"))</f>
        <v/>
      </c>
      <c r="L37" s="1"/>
      <c r="M37" s="27" t="str">
        <f>IFERROR(VLOOKUP(June[[#This Row],[Hour]],Shifts[],2,FALSE),"")</f>
        <v/>
      </c>
      <c r="N37" s="2"/>
      <c r="O37" s="24" t="str">
        <f>IFERROR(VLOOKUP(June[[#This Row],[BIMS Score]],BIMS[],2,FALSE),"")</f>
        <v/>
      </c>
      <c r="P37" s="3"/>
      <c r="Q37" s="3"/>
      <c r="R37" s="2"/>
      <c r="S37" s="168"/>
      <c r="T37" s="5"/>
      <c r="U37" s="5"/>
      <c r="V37" s="5"/>
    </row>
    <row r="38" spans="2:22" ht="20.85" customHeight="1" x14ac:dyDescent="0.25">
      <c r="B38" s="266"/>
      <c r="C38" s="5"/>
      <c r="D38" s="263"/>
      <c r="E38" s="263"/>
      <c r="F38" s="267"/>
      <c r="G38" s="267"/>
      <c r="H38" s="1"/>
      <c r="I38" s="1"/>
      <c r="J38" s="1"/>
      <c r="K38" s="27" t="str">
        <f>IF(June[[#This Row],[Date of Incident]]="","",TEXT(June[[#This Row],[Date of Incident]],"ddd"))</f>
        <v/>
      </c>
      <c r="L38" s="1"/>
      <c r="M38" s="27" t="str">
        <f>IFERROR(VLOOKUP(June[[#This Row],[Hour]],Shifts[],2,FALSE),"")</f>
        <v/>
      </c>
      <c r="N38" s="2"/>
      <c r="O38" s="24" t="str">
        <f>IFERROR(VLOOKUP(June[[#This Row],[BIMS Score]],BIMS[],2,FALSE),"")</f>
        <v/>
      </c>
      <c r="P38" s="3"/>
      <c r="Q38" s="3"/>
      <c r="R38" s="2"/>
      <c r="S38" s="168"/>
      <c r="T38" s="5"/>
      <c r="U38" s="5"/>
      <c r="V38" s="5"/>
    </row>
    <row r="39" spans="2:22" ht="20.85" customHeight="1" x14ac:dyDescent="0.25">
      <c r="B39" s="266"/>
      <c r="C39" s="5"/>
      <c r="D39" s="263"/>
      <c r="E39" s="263"/>
      <c r="F39" s="267"/>
      <c r="G39" s="267"/>
      <c r="H39" s="1"/>
      <c r="I39" s="1"/>
      <c r="J39" s="1"/>
      <c r="K39" s="27" t="str">
        <f>IF(June[[#This Row],[Date of Incident]]="","",TEXT(June[[#This Row],[Date of Incident]],"ddd"))</f>
        <v/>
      </c>
      <c r="L39" s="1"/>
      <c r="M39" s="27" t="str">
        <f>IFERROR(VLOOKUP(June[[#This Row],[Hour]],Shifts[],2,FALSE),"")</f>
        <v/>
      </c>
      <c r="N39" s="2"/>
      <c r="O39" s="24" t="str">
        <f>IFERROR(VLOOKUP(June[[#This Row],[BIMS Score]],BIMS[],2,FALSE),"")</f>
        <v/>
      </c>
      <c r="P39" s="3"/>
      <c r="Q39" s="3"/>
      <c r="R39" s="2"/>
      <c r="S39" s="168"/>
      <c r="T39" s="5"/>
      <c r="U39" s="5"/>
      <c r="V39" s="5"/>
    </row>
    <row r="40" spans="2:22" ht="20.85" customHeight="1" x14ac:dyDescent="0.25">
      <c r="B40" s="266"/>
      <c r="C40" s="5"/>
      <c r="D40" s="263"/>
      <c r="E40" s="263"/>
      <c r="F40" s="267"/>
      <c r="G40" s="267"/>
      <c r="H40" s="1"/>
      <c r="I40" s="1"/>
      <c r="J40" s="1"/>
      <c r="K40" s="27" t="str">
        <f>IF(June[[#This Row],[Date of Incident]]="","",TEXT(June[[#This Row],[Date of Incident]],"ddd"))</f>
        <v/>
      </c>
      <c r="L40" s="1"/>
      <c r="M40" s="27" t="str">
        <f>IFERROR(VLOOKUP(June[[#This Row],[Hour]],Shifts[],2,FALSE),"")</f>
        <v/>
      </c>
      <c r="N40" s="2"/>
      <c r="O40" s="24" t="str">
        <f>IFERROR(VLOOKUP(June[[#This Row],[BIMS Score]],BIMS[],2,FALSE),"")</f>
        <v/>
      </c>
      <c r="P40" s="3"/>
      <c r="Q40" s="3"/>
      <c r="R40" s="2"/>
      <c r="S40" s="168"/>
      <c r="T40" s="5"/>
      <c r="U40" s="5"/>
      <c r="V40" s="5"/>
    </row>
    <row r="41" spans="2:22" x14ac:dyDescent="0.25">
      <c r="B41" s="26"/>
      <c r="C41" s="21"/>
      <c r="D41" s="22"/>
      <c r="E41" s="23"/>
      <c r="F41" s="26"/>
      <c r="G41" s="26"/>
      <c r="H41" s="26"/>
      <c r="I41" s="26"/>
      <c r="J41" s="26"/>
      <c r="K41" s="26"/>
      <c r="L41" s="26"/>
      <c r="M41" s="26"/>
      <c r="N41" s="20"/>
      <c r="O41" s="25"/>
      <c r="P41" s="21"/>
      <c r="Q41" s="21"/>
      <c r="R41" s="25"/>
    </row>
    <row r="42" spans="2:22" x14ac:dyDescent="0.25">
      <c r="B42" s="26"/>
      <c r="C42" s="21"/>
      <c r="D42" s="22"/>
      <c r="E42" s="23"/>
      <c r="F42" s="26"/>
      <c r="G42" s="26"/>
      <c r="H42" s="26"/>
      <c r="I42" s="26"/>
      <c r="J42" s="26"/>
      <c r="K42" s="26"/>
      <c r="L42" s="26"/>
      <c r="M42" s="26"/>
      <c r="N42" s="20"/>
      <c r="O42" s="25"/>
      <c r="P42" s="21"/>
      <c r="Q42" s="21"/>
      <c r="R42" s="25"/>
    </row>
    <row r="43" spans="2:22" x14ac:dyDescent="0.25">
      <c r="B43" s="26"/>
      <c r="C43" s="21"/>
      <c r="D43" s="22"/>
      <c r="E43" s="23"/>
      <c r="F43" s="26"/>
      <c r="G43" s="26"/>
      <c r="H43" s="26"/>
      <c r="I43" s="26"/>
      <c r="J43" s="26"/>
      <c r="K43" s="26"/>
      <c r="L43" s="26"/>
      <c r="M43" s="26"/>
      <c r="N43" s="20"/>
      <c r="O43" s="25"/>
      <c r="P43" s="21"/>
      <c r="Q43" s="21"/>
      <c r="R43" s="25"/>
    </row>
    <row r="44" spans="2:22" x14ac:dyDescent="0.25">
      <c r="B44" s="26"/>
      <c r="C44" s="21"/>
      <c r="D44" s="22"/>
      <c r="E44" s="23"/>
      <c r="F44" s="26"/>
      <c r="G44" s="26"/>
      <c r="H44" s="26"/>
      <c r="I44" s="26"/>
      <c r="J44" s="26"/>
      <c r="K44" s="26"/>
      <c r="L44" s="26"/>
      <c r="M44" s="26"/>
      <c r="N44" s="20"/>
      <c r="O44" s="25"/>
      <c r="P44" s="21"/>
      <c r="Q44" s="21"/>
      <c r="R44" s="25"/>
    </row>
    <row r="45" spans="2:22" x14ac:dyDescent="0.25">
      <c r="B45" s="26"/>
      <c r="C45" s="21"/>
      <c r="D45" s="22"/>
      <c r="E45" s="23"/>
      <c r="F45" s="26"/>
      <c r="G45" s="26"/>
      <c r="H45" s="26"/>
      <c r="I45" s="26"/>
      <c r="J45" s="26"/>
      <c r="K45" s="26"/>
      <c r="L45" s="26"/>
      <c r="M45" s="26"/>
      <c r="N45" s="20"/>
      <c r="O45" s="25"/>
      <c r="P45" s="21"/>
      <c r="Q45" s="21"/>
      <c r="R45" s="25"/>
    </row>
    <row r="46" spans="2:22" x14ac:dyDescent="0.25">
      <c r="B46" s="26"/>
      <c r="C46" s="21"/>
      <c r="D46" s="22"/>
      <c r="E46" s="23"/>
      <c r="F46" s="26"/>
      <c r="G46" s="26"/>
      <c r="H46" s="26"/>
      <c r="I46" s="26"/>
      <c r="J46" s="26"/>
      <c r="K46" s="26"/>
      <c r="L46" s="26"/>
      <c r="M46" s="26"/>
      <c r="N46" s="20"/>
      <c r="O46" s="25"/>
      <c r="P46" s="21"/>
      <c r="Q46" s="21"/>
      <c r="R46" s="25"/>
    </row>
    <row r="47" spans="2:22" x14ac:dyDescent="0.25">
      <c r="B47" s="26"/>
      <c r="C47" s="21"/>
      <c r="D47" s="22"/>
      <c r="E47" s="23"/>
      <c r="F47" s="26"/>
      <c r="G47" s="26"/>
      <c r="H47" s="26"/>
      <c r="I47" s="26"/>
      <c r="J47" s="26"/>
      <c r="K47" s="26"/>
      <c r="L47" s="26"/>
      <c r="M47" s="26"/>
      <c r="N47" s="20"/>
      <c r="O47" s="25"/>
      <c r="P47" s="21"/>
      <c r="Q47" s="21"/>
      <c r="R47" s="25"/>
    </row>
    <row r="48" spans="2:22" x14ac:dyDescent="0.25">
      <c r="B48" s="26"/>
      <c r="C48" s="21"/>
      <c r="D48" s="22"/>
      <c r="E48" s="23"/>
      <c r="F48" s="26"/>
      <c r="G48" s="26"/>
      <c r="H48" s="26"/>
      <c r="I48" s="26"/>
      <c r="J48" s="26"/>
      <c r="K48" s="26"/>
      <c r="L48" s="26"/>
      <c r="M48" s="26"/>
      <c r="N48" s="20"/>
      <c r="O48" s="25"/>
      <c r="P48" s="21"/>
      <c r="Q48" s="21"/>
      <c r="R48" s="25"/>
    </row>
    <row r="49" spans="1:18" x14ac:dyDescent="0.25">
      <c r="B49" s="26"/>
      <c r="C49" s="21"/>
      <c r="D49" s="22"/>
      <c r="E49" s="23"/>
      <c r="F49" s="26"/>
      <c r="G49" s="26"/>
      <c r="H49" s="26"/>
      <c r="I49" s="26"/>
      <c r="J49" s="26"/>
      <c r="K49" s="26"/>
      <c r="L49" s="26"/>
      <c r="M49" s="26"/>
      <c r="N49" s="20"/>
      <c r="O49" s="25"/>
      <c r="P49" s="21"/>
      <c r="Q49" s="21"/>
      <c r="R49" s="25"/>
    </row>
    <row r="50" spans="1:18" ht="15.75" thickBot="1" x14ac:dyDescent="0.3">
      <c r="B50" s="26"/>
      <c r="C50" s="21"/>
      <c r="D50" s="22"/>
      <c r="E50" s="23"/>
      <c r="F50" s="26"/>
      <c r="G50" s="26"/>
      <c r="H50" s="26"/>
      <c r="I50" s="26"/>
      <c r="Q50" s="21"/>
    </row>
    <row r="51" spans="1:18" ht="22.35" customHeight="1" thickBot="1" x14ac:dyDescent="0.3">
      <c r="B51" s="282" t="s">
        <v>85</v>
      </c>
      <c r="C51" s="283"/>
      <c r="D51" s="284"/>
      <c r="F51" s="282" t="s">
        <v>100</v>
      </c>
      <c r="G51" s="283"/>
      <c r="H51" s="284"/>
    </row>
    <row r="52" spans="1:18" ht="15.6" customHeight="1" x14ac:dyDescent="0.25">
      <c r="B52" s="285" t="s">
        <v>83</v>
      </c>
      <c r="C52" s="286"/>
      <c r="D52" s="28" t="s">
        <v>35</v>
      </c>
      <c r="F52" s="285" t="s">
        <v>83</v>
      </c>
      <c r="G52" s="286"/>
      <c r="H52" s="28" t="s">
        <v>35</v>
      </c>
    </row>
    <row r="53" spans="1:18" x14ac:dyDescent="0.25">
      <c r="B53" s="29" t="s">
        <v>41</v>
      </c>
      <c r="C53" s="30"/>
      <c r="D53" s="31">
        <f>COUNTIFS(June[Witnessed
Fall?],$B53)</f>
        <v>0</v>
      </c>
      <c r="F53" s="29" t="s">
        <v>79</v>
      </c>
      <c r="G53" s="30"/>
      <c r="H53" s="31">
        <f>COUNTIFS(June[Fall Circumstances],$F53)</f>
        <v>0</v>
      </c>
    </row>
    <row r="54" spans="1:18" ht="15.75" thickBot="1" x14ac:dyDescent="0.3">
      <c r="B54" s="32" t="s">
        <v>42</v>
      </c>
      <c r="C54" s="33"/>
      <c r="D54" s="34">
        <f>COUNTIFS(June[Witnessed
Fall?],$B54)</f>
        <v>0</v>
      </c>
      <c r="F54" s="29" t="s">
        <v>101</v>
      </c>
      <c r="G54" s="30"/>
      <c r="H54" s="31">
        <f>COUNTIFS(June[Fall Circumstances],$F54)</f>
        <v>0</v>
      </c>
    </row>
    <row r="55" spans="1:18" ht="15.6" customHeight="1" thickBot="1" x14ac:dyDescent="0.3">
      <c r="B55" s="287" t="s">
        <v>16</v>
      </c>
      <c r="C55" s="288"/>
      <c r="D55" s="35">
        <f>SUM(D53:D54)</f>
        <v>0</v>
      </c>
      <c r="F55" s="32" t="s">
        <v>102</v>
      </c>
      <c r="G55" s="33"/>
      <c r="H55" s="36">
        <f>COUNTIFS(June[Fall Circumstances],$F55)</f>
        <v>0</v>
      </c>
    </row>
    <row r="56" spans="1:18" ht="15.6" customHeight="1" thickBot="1" x14ac:dyDescent="0.3">
      <c r="A56" s="26"/>
      <c r="B56" s="21"/>
      <c r="C56" s="22"/>
      <c r="D56" s="26"/>
      <c r="F56" s="287" t="s">
        <v>16</v>
      </c>
      <c r="G56" s="288"/>
      <c r="H56" s="37">
        <f>SUM(H53:H55)</f>
        <v>0</v>
      </c>
    </row>
    <row r="57" spans="1:18" ht="15.75" thickBot="1" x14ac:dyDescent="0.3">
      <c r="A57" s="26"/>
      <c r="B57" s="21"/>
      <c r="C57" s="22"/>
      <c r="D57" s="26"/>
      <c r="F57" s="26"/>
      <c r="G57" s="21"/>
      <c r="H57" s="22"/>
      <c r="L57" s="21"/>
      <c r="O57" s="22"/>
    </row>
    <row r="58" spans="1:18" ht="15.75" thickBot="1" x14ac:dyDescent="0.3">
      <c r="A58" s="26"/>
      <c r="B58" s="21"/>
      <c r="C58" s="22"/>
      <c r="D58" s="26"/>
      <c r="F58" s="282" t="s">
        <v>103</v>
      </c>
      <c r="G58" s="283"/>
      <c r="H58" s="284"/>
      <c r="L58" s="21"/>
      <c r="O58" s="22"/>
    </row>
    <row r="59" spans="1:18" x14ac:dyDescent="0.25">
      <c r="A59" s="26"/>
      <c r="B59" s="21"/>
      <c r="C59" s="22"/>
      <c r="D59" s="26"/>
      <c r="F59" s="285" t="s">
        <v>26</v>
      </c>
      <c r="G59" s="286"/>
      <c r="H59" s="28" t="s">
        <v>35</v>
      </c>
      <c r="L59" s="21"/>
      <c r="O59" s="22"/>
    </row>
    <row r="60" spans="1:18" ht="15.6" customHeight="1" x14ac:dyDescent="0.25">
      <c r="F60" s="29" t="s">
        <v>142</v>
      </c>
      <c r="G60" s="30"/>
      <c r="H60" s="31">
        <f>COUNTIFS(June[Cognitive Impairment],$F60)</f>
        <v>0</v>
      </c>
    </row>
    <row r="61" spans="1:18" x14ac:dyDescent="0.25">
      <c r="F61" s="29" t="s">
        <v>143</v>
      </c>
      <c r="G61" s="30"/>
      <c r="H61" s="31">
        <f>COUNTIFS(June[Cognitive Impairment],$F61)</f>
        <v>0</v>
      </c>
    </row>
    <row r="62" spans="1:18" ht="15.75" thickBot="1" x14ac:dyDescent="0.3">
      <c r="F62" s="32" t="s">
        <v>144</v>
      </c>
      <c r="G62" s="33"/>
      <c r="H62" s="31">
        <f>COUNTIFS(June[Cognitive Impairment],$F62)</f>
        <v>0</v>
      </c>
    </row>
    <row r="63" spans="1:18" ht="15.75" thickBot="1" x14ac:dyDescent="0.3">
      <c r="F63" s="287" t="s">
        <v>16</v>
      </c>
      <c r="G63" s="288"/>
      <c r="H63" s="37">
        <f>SUM(H60:H62)</f>
        <v>0</v>
      </c>
    </row>
    <row r="64" spans="1:18" ht="15.75" thickBot="1" x14ac:dyDescent="0.3"/>
    <row r="65" spans="1:8" ht="21.4" customHeight="1" thickBot="1" x14ac:dyDescent="0.3">
      <c r="B65" s="282" t="s">
        <v>78</v>
      </c>
      <c r="C65" s="283"/>
      <c r="D65" s="283"/>
      <c r="E65" s="283"/>
      <c r="F65" s="283"/>
      <c r="G65" s="284"/>
    </row>
    <row r="66" spans="1:8" ht="15.6" customHeight="1" x14ac:dyDescent="0.25">
      <c r="A66" s="38"/>
      <c r="B66" s="290" t="s">
        <v>86</v>
      </c>
      <c r="C66" s="291"/>
      <c r="D66" s="291"/>
      <c r="E66" s="291"/>
      <c r="F66" s="292"/>
      <c r="G66" s="28" t="s">
        <v>35</v>
      </c>
    </row>
    <row r="67" spans="1:8" x14ac:dyDescent="0.25">
      <c r="A67" s="38"/>
      <c r="B67" s="39" t="str" cm="1">
        <f t="array" ref="B67:B90">IF(_xlfn._xlws.SORT(PriortoFall[What was the resident doing prior to fall?],1,1,TRUE)=0,"",(_xlfn._xlws.SORT(PriortoFall[What was the resident doing prior to fall?],1,1,TRUE)))</f>
        <v>Ambulating with assistive device (walker, cane, wheelchair)</v>
      </c>
      <c r="C67" s="40"/>
      <c r="D67" s="40"/>
      <c r="E67" s="40"/>
      <c r="F67" s="41"/>
      <c r="G67" s="42">
        <f>IF($B67="",NA(),COUNTIFS(June[What was resident doing prior to fall?],$B67))</f>
        <v>0</v>
      </c>
      <c r="H67" s="43"/>
    </row>
    <row r="68" spans="1:8" x14ac:dyDescent="0.25">
      <c r="A68" s="38"/>
      <c r="B68" s="44" t="str">
        <v>Ambulating with staff assistance</v>
      </c>
      <c r="C68" s="45"/>
      <c r="D68" s="45"/>
      <c r="E68" s="45"/>
      <c r="F68" s="46"/>
      <c r="G68" s="42">
        <f>IF($B68="",NA(),COUNTIFS(June[What was resident doing prior to fall?],$B68))</f>
        <v>0</v>
      </c>
    </row>
    <row r="69" spans="1:8" x14ac:dyDescent="0.25">
      <c r="A69" s="38"/>
      <c r="B69" s="39" t="str">
        <v>Ambulating without assistance or assistive device</v>
      </c>
      <c r="C69" s="40"/>
      <c r="D69" s="40"/>
      <c r="E69" s="40"/>
      <c r="F69" s="41"/>
      <c r="G69" s="42">
        <f>IF($B69="",NA(),COUNTIFS(June[What was resident doing prior to fall?],$B69))</f>
        <v>0</v>
      </c>
    </row>
    <row r="70" spans="1:8" x14ac:dyDescent="0.25">
      <c r="A70" s="38"/>
      <c r="B70" s="44" t="str">
        <v>Changing position (e.g., in bed, chair)</v>
      </c>
      <c r="C70" s="45"/>
      <c r="D70" s="45"/>
      <c r="E70" s="45"/>
      <c r="F70" s="46"/>
      <c r="G70" s="42">
        <f>IF($B70="",NA(),COUNTIFS(June[What was resident doing prior to fall?],$B70))</f>
        <v>0</v>
      </c>
    </row>
    <row r="71" spans="1:8" x14ac:dyDescent="0.25">
      <c r="A71" s="38"/>
      <c r="B71" s="44" t="str">
        <v>Dressing or undressing</v>
      </c>
      <c r="C71" s="45"/>
      <c r="D71" s="45"/>
      <c r="E71" s="45"/>
      <c r="F71" s="46"/>
      <c r="G71" s="42">
        <f>IF($B71="",NA(),COUNTIFS(June[What was resident doing prior to fall?],$B71))</f>
        <v>0</v>
      </c>
    </row>
    <row r="72" spans="1:8" x14ac:dyDescent="0.25">
      <c r="A72" s="38"/>
      <c r="B72" s="44" t="str">
        <v>Other activity</v>
      </c>
      <c r="C72" s="45"/>
      <c r="D72" s="45"/>
      <c r="E72" s="45"/>
      <c r="F72" s="46"/>
      <c r="G72" s="42">
        <f>IF($B72="",NA(),COUNTIFS(June[What was resident doing prior to fall?],$B72))</f>
        <v>0</v>
      </c>
    </row>
    <row r="73" spans="1:8" x14ac:dyDescent="0.25">
      <c r="A73" s="38"/>
      <c r="B73" s="44" t="str">
        <v>Reaching for an item</v>
      </c>
      <c r="C73" s="45"/>
      <c r="D73" s="45"/>
      <c r="E73" s="45"/>
      <c r="F73" s="46"/>
      <c r="G73" s="42">
        <f>IF($B73="",NA(),COUNTIFS(June[What was resident doing prior to fall?],$B73))</f>
        <v>0</v>
      </c>
    </row>
    <row r="74" spans="1:8" x14ac:dyDescent="0.25">
      <c r="A74" s="38"/>
      <c r="B74" s="44" t="str">
        <v>Showering or bathing</v>
      </c>
      <c r="C74" s="45"/>
      <c r="D74" s="45"/>
      <c r="E74" s="45"/>
      <c r="F74" s="46"/>
      <c r="G74" s="42">
        <f>IF($B74="",NA(),COUNTIFS(June[What was resident doing prior to fall?],$B74))</f>
        <v>0</v>
      </c>
    </row>
    <row r="75" spans="1:8" x14ac:dyDescent="0.25">
      <c r="A75" s="38"/>
      <c r="B75" s="44" t="str">
        <v>Toileting</v>
      </c>
      <c r="C75" s="45"/>
      <c r="D75" s="45"/>
      <c r="E75" s="45"/>
      <c r="F75" s="46"/>
      <c r="G75" s="42">
        <f>IF($B75="",NA(),COUNTIFS(June[What was resident doing prior to fall?],$B75))</f>
        <v>0</v>
      </c>
    </row>
    <row r="76" spans="1:8" x14ac:dyDescent="0.25">
      <c r="A76" s="38"/>
      <c r="B76" s="44" t="str">
        <v>Transferring to or from bed, chair, wheelchair, etc.</v>
      </c>
      <c r="C76" s="45"/>
      <c r="D76" s="45"/>
      <c r="E76" s="45"/>
      <c r="F76" s="46"/>
      <c r="G76" s="42">
        <f>IF($B76="",NA(),COUNTIFS(June[What was resident doing prior to fall?],$B76))</f>
        <v>0</v>
      </c>
    </row>
    <row r="77" spans="1:8" x14ac:dyDescent="0.25">
      <c r="A77" s="38"/>
      <c r="B77" s="39" t="str">
        <v>Unknown</v>
      </c>
      <c r="C77" s="40"/>
      <c r="D77" s="40"/>
      <c r="E77" s="40"/>
      <c r="F77" s="41"/>
      <c r="G77" s="42">
        <f>IF($B77="",NA(),COUNTIFS(June[What was resident doing prior to fall?],$B77))</f>
        <v>0</v>
      </c>
    </row>
    <row r="78" spans="1:8" x14ac:dyDescent="0.25">
      <c r="A78" s="38"/>
      <c r="B78" s="44" t="str">
        <v/>
      </c>
      <c r="C78" s="45"/>
      <c r="D78" s="45"/>
      <c r="E78" s="45"/>
      <c r="F78" s="46"/>
      <c r="G78" s="42" t="e">
        <f>IF($B78="",NA(),COUNTIFS(June[What was resident doing prior to fall?],$B78))</f>
        <v>#N/A</v>
      </c>
    </row>
    <row r="79" spans="1:8" x14ac:dyDescent="0.25">
      <c r="A79" s="38"/>
      <c r="B79" s="39" t="str">
        <v/>
      </c>
      <c r="C79" s="40"/>
      <c r="D79" s="40"/>
      <c r="E79" s="40"/>
      <c r="F79" s="41"/>
      <c r="G79" s="42" t="e">
        <f>IF($B79="",NA(),COUNTIFS(June[What was resident doing prior to fall?],$B79))</f>
        <v>#N/A</v>
      </c>
    </row>
    <row r="80" spans="1:8" x14ac:dyDescent="0.25">
      <c r="A80" s="38"/>
      <c r="B80" s="44" t="str">
        <v/>
      </c>
      <c r="C80" s="45"/>
      <c r="D80" s="45"/>
      <c r="E80" s="45"/>
      <c r="F80" s="46"/>
      <c r="G80" s="42" t="e">
        <f>IF($B80="",NA(),COUNTIFS(June[What was resident doing prior to fall?],$B80))</f>
        <v>#N/A</v>
      </c>
    </row>
    <row r="81" spans="1:7" x14ac:dyDescent="0.25">
      <c r="A81" s="38"/>
      <c r="B81" s="39" t="str">
        <v/>
      </c>
      <c r="C81" s="40"/>
      <c r="D81" s="40"/>
      <c r="E81" s="40"/>
      <c r="F81" s="41"/>
      <c r="G81" s="42" t="e">
        <f>IF($B81="",NA(),COUNTIFS(June[What was resident doing prior to fall?],$B81))</f>
        <v>#N/A</v>
      </c>
    </row>
    <row r="82" spans="1:7" x14ac:dyDescent="0.25">
      <c r="A82" s="38"/>
      <c r="B82" s="44" t="str">
        <v/>
      </c>
      <c r="C82" s="45"/>
      <c r="D82" s="45"/>
      <c r="E82" s="45"/>
      <c r="F82" s="46"/>
      <c r="G82" s="42" t="e">
        <f>IF($B82="",NA(),COUNTIFS(June[What was resident doing prior to fall?],$B82))</f>
        <v>#N/A</v>
      </c>
    </row>
    <row r="83" spans="1:7" x14ac:dyDescent="0.25">
      <c r="A83" s="38"/>
      <c r="B83" s="39" t="str">
        <v/>
      </c>
      <c r="C83" s="40"/>
      <c r="D83" s="40"/>
      <c r="E83" s="40"/>
      <c r="F83" s="41"/>
      <c r="G83" s="42" t="e">
        <f>IF($B83="",NA(),COUNTIFS(June[What was resident doing prior to fall?],$B83))</f>
        <v>#N/A</v>
      </c>
    </row>
    <row r="84" spans="1:7" x14ac:dyDescent="0.25">
      <c r="A84" s="38"/>
      <c r="B84" s="44" t="str">
        <v/>
      </c>
      <c r="C84" s="45"/>
      <c r="D84" s="45"/>
      <c r="E84" s="45"/>
      <c r="F84" s="46"/>
      <c r="G84" s="42" t="e">
        <f>IF($B84="",NA(),COUNTIFS(June[What was resident doing prior to fall?],$B84))</f>
        <v>#N/A</v>
      </c>
    </row>
    <row r="85" spans="1:7" x14ac:dyDescent="0.25">
      <c r="A85" s="38"/>
      <c r="B85" s="44" t="str">
        <v/>
      </c>
      <c r="C85" s="45"/>
      <c r="D85" s="45"/>
      <c r="E85" s="45"/>
      <c r="F85" s="46"/>
      <c r="G85" s="42" t="e">
        <f>IF($B85="",NA(),COUNTIFS(June[What was resident doing prior to fall?],$B85))</f>
        <v>#N/A</v>
      </c>
    </row>
    <row r="86" spans="1:7" x14ac:dyDescent="0.25">
      <c r="A86" s="38"/>
      <c r="B86" s="39" t="str">
        <v/>
      </c>
      <c r="C86" s="40"/>
      <c r="D86" s="40"/>
      <c r="E86" s="40"/>
      <c r="F86" s="41"/>
      <c r="G86" s="42" t="e">
        <f>IF($B86="",NA(),COUNTIFS(June[What was resident doing prior to fall?],$B86))</f>
        <v>#N/A</v>
      </c>
    </row>
    <row r="87" spans="1:7" x14ac:dyDescent="0.25">
      <c r="A87" s="38"/>
      <c r="B87" s="44" t="str">
        <v/>
      </c>
      <c r="C87" s="45"/>
      <c r="D87" s="45"/>
      <c r="E87" s="45"/>
      <c r="F87" s="46"/>
      <c r="G87" s="42" t="e">
        <f>IF($B87="",NA(),COUNTIFS(June[What was resident doing prior to fall?],$B87))</f>
        <v>#N/A</v>
      </c>
    </row>
    <row r="88" spans="1:7" x14ac:dyDescent="0.25">
      <c r="A88" s="38"/>
      <c r="B88" s="39" t="str">
        <v/>
      </c>
      <c r="C88" s="40"/>
      <c r="D88" s="40"/>
      <c r="E88" s="40"/>
      <c r="F88" s="41"/>
      <c r="G88" s="42" t="e">
        <f>IF($B88="",NA(),COUNTIFS(June[What was resident doing prior to fall?],$B88))</f>
        <v>#N/A</v>
      </c>
    </row>
    <row r="89" spans="1:7" x14ac:dyDescent="0.25">
      <c r="A89" s="38"/>
      <c r="B89" s="44" t="str">
        <v/>
      </c>
      <c r="C89" s="45"/>
      <c r="D89" s="45"/>
      <c r="E89" s="45"/>
      <c r="F89" s="46"/>
      <c r="G89" s="42" t="e">
        <f>IF($B89="",NA(),COUNTIFS(June[What was resident doing prior to fall?],$B89))</f>
        <v>#N/A</v>
      </c>
    </row>
    <row r="90" spans="1:7" ht="15.75" thickBot="1" x14ac:dyDescent="0.3">
      <c r="A90" s="38"/>
      <c r="B90" s="47" t="str">
        <v/>
      </c>
      <c r="C90" s="47"/>
      <c r="D90" s="47"/>
      <c r="E90" s="47"/>
      <c r="F90" s="48"/>
      <c r="G90" s="42" t="e">
        <f>IF($B90="",NA(),COUNTIFS(June[What was resident doing prior to fall?],$B90))</f>
        <v>#N/A</v>
      </c>
    </row>
    <row r="91" spans="1:7" ht="15.6" customHeight="1" thickBot="1" x14ac:dyDescent="0.3">
      <c r="B91" s="287" t="s">
        <v>35</v>
      </c>
      <c r="C91" s="288"/>
      <c r="D91" s="288"/>
      <c r="E91" s="288"/>
      <c r="F91" s="289"/>
      <c r="G91" s="37">
        <f>_xlfn.AGGREGATE(9,6,G67:G90)</f>
        <v>0</v>
      </c>
    </row>
    <row r="92" spans="1:7" ht="15.75" thickBot="1" x14ac:dyDescent="0.3"/>
    <row r="93" spans="1:7" ht="22.35" customHeight="1" thickBot="1" x14ac:dyDescent="0.3">
      <c r="B93" s="295" t="s">
        <v>173</v>
      </c>
      <c r="C93" s="296"/>
      <c r="D93" s="297"/>
    </row>
    <row r="94" spans="1:7" x14ac:dyDescent="0.25">
      <c r="A94" s="38"/>
      <c r="B94" s="300" t="s">
        <v>1</v>
      </c>
      <c r="C94" s="301"/>
      <c r="D94" s="49" t="s">
        <v>35</v>
      </c>
    </row>
    <row r="95" spans="1:7" x14ac:dyDescent="0.25">
      <c r="A95" s="38"/>
      <c r="B95" s="50" t="str" cm="1">
        <f t="array" ref="B95:B105">IF(_xlfn._xlws.SORT(Location[Location],1,1,TRUE)=0,"",(_xlfn._xlws.SORT(Location[Location],1,1,TRUE)))</f>
        <v>Activity Room</v>
      </c>
      <c r="C95" s="51"/>
      <c r="D95" s="52">
        <f>IF($B95="",NA(),COUNTIFS(June[Location],$B95))</f>
        <v>0</v>
      </c>
    </row>
    <row r="96" spans="1:7" x14ac:dyDescent="0.25">
      <c r="A96" s="38"/>
      <c r="B96" s="50" t="str">
        <v>Bedroom</v>
      </c>
      <c r="C96" s="51"/>
      <c r="D96" s="52">
        <f>IF($B96="",NA(),COUNTIFS(June[Location],$B96))</f>
        <v>0</v>
      </c>
    </row>
    <row r="97" spans="1:4" x14ac:dyDescent="0.25">
      <c r="A97" s="38"/>
      <c r="B97" s="50" t="str">
        <v>Bathroom</v>
      </c>
      <c r="C97" s="51"/>
      <c r="D97" s="52">
        <f>IF($B97="",NA(),COUNTIFS(June[Location],$B97))</f>
        <v>0</v>
      </c>
    </row>
    <row r="98" spans="1:4" x14ac:dyDescent="0.25">
      <c r="A98" s="38"/>
      <c r="B98" s="50" t="str">
        <v>Hallway</v>
      </c>
      <c r="C98" s="51"/>
      <c r="D98" s="52">
        <f>IF($B98="",NA(),COUNTIFS(June[Location],$B98))</f>
        <v>0</v>
      </c>
    </row>
    <row r="99" spans="1:4" x14ac:dyDescent="0.25">
      <c r="A99" s="38"/>
      <c r="B99" s="50" t="str">
        <v>Offsite</v>
      </c>
      <c r="C99" s="51"/>
      <c r="D99" s="52">
        <f>IF($B99="",NA(),COUNTIFS(June[Location],$B99))</f>
        <v>0</v>
      </c>
    </row>
    <row r="100" spans="1:4" x14ac:dyDescent="0.25">
      <c r="A100" s="38"/>
      <c r="B100" s="53" t="str">
        <v>Shower Room</v>
      </c>
      <c r="C100" s="54"/>
      <c r="D100" s="52">
        <f>IF($B100="",NA(),COUNTIFS(June[Location],$B100))</f>
        <v>0</v>
      </c>
    </row>
    <row r="101" spans="1:4" x14ac:dyDescent="0.25">
      <c r="A101" s="38"/>
      <c r="B101" s="55" t="str">
        <v>Dining Room</v>
      </c>
      <c r="C101" s="56"/>
      <c r="D101" s="52">
        <f>IF($B101="",NA(),COUNTIFS(June[Location],$B101))</f>
        <v>0</v>
      </c>
    </row>
    <row r="102" spans="1:4" x14ac:dyDescent="0.25">
      <c r="A102" s="38"/>
      <c r="B102" s="57" t="str">
        <v/>
      </c>
      <c r="C102" s="58"/>
      <c r="D102" s="52" t="e">
        <f>IF($B102="",NA(),COUNTIFS(June[Location],$B102))</f>
        <v>#N/A</v>
      </c>
    </row>
    <row r="103" spans="1:4" x14ac:dyDescent="0.25">
      <c r="A103" s="38"/>
      <c r="B103" s="59" t="str">
        <v/>
      </c>
      <c r="C103" s="51"/>
      <c r="D103" s="52" t="e">
        <f>IF($B103="",NA(),COUNTIFS(June[Location],$B103))</f>
        <v>#N/A</v>
      </c>
    </row>
    <row r="104" spans="1:4" x14ac:dyDescent="0.25">
      <c r="A104" s="38"/>
      <c r="B104" s="53" t="str">
        <v/>
      </c>
      <c r="C104" s="60"/>
      <c r="D104" s="52" t="e">
        <f>IF($B104="",NA(),COUNTIFS(June[Location],$B104))</f>
        <v>#N/A</v>
      </c>
    </row>
    <row r="105" spans="1:4" ht="15.75" thickBot="1" x14ac:dyDescent="0.3">
      <c r="A105" s="38"/>
      <c r="B105" s="59" t="str">
        <v/>
      </c>
      <c r="C105" s="61"/>
      <c r="D105" s="52" t="e">
        <f>IF($B105="",NA(),COUNTIFS(June[Location],$B105))</f>
        <v>#N/A</v>
      </c>
    </row>
    <row r="106" spans="1:4" ht="15.75" thickBot="1" x14ac:dyDescent="0.3">
      <c r="B106" s="298" t="s">
        <v>16</v>
      </c>
      <c r="C106" s="299"/>
      <c r="D106" s="37">
        <f>_xlfn.AGGREGATE(9,6,D95:D105)</f>
        <v>0</v>
      </c>
    </row>
    <row r="107" spans="1:4" ht="15.75" thickBot="1" x14ac:dyDescent="0.3"/>
    <row r="108" spans="1:4" ht="21.4" customHeight="1" thickBot="1" x14ac:dyDescent="0.3">
      <c r="B108" s="282" t="str">
        <f>"Falls by Nursing Station "</f>
        <v xml:space="preserve">Falls by Nursing Station </v>
      </c>
      <c r="C108" s="283"/>
      <c r="D108" s="284"/>
    </row>
    <row r="109" spans="1:4" ht="15.75" x14ac:dyDescent="0.25">
      <c r="B109" s="293" t="s">
        <v>2</v>
      </c>
      <c r="C109" s="293"/>
      <c r="D109" s="28" t="s">
        <v>35</v>
      </c>
    </row>
    <row r="110" spans="1:4" x14ac:dyDescent="0.25">
      <c r="B110" s="62" cm="1">
        <f t="array" ref="B110:B120">IF(_xlfn._xlws.SORT(NS[Nurses Stations],1,1,TRUE)=0,"",(_xlfn._xlws.SORT(NS[Nurses Stations],1,1,TRUE)))</f>
        <v>1</v>
      </c>
      <c r="C110" s="63"/>
      <c r="D110" s="31">
        <f>IF($B110="",NA(),COUNTIFS(June[Station],$B110))</f>
        <v>0</v>
      </c>
    </row>
    <row r="111" spans="1:4" x14ac:dyDescent="0.25">
      <c r="B111" s="62">
        <v>2</v>
      </c>
      <c r="C111" s="63"/>
      <c r="D111" s="31">
        <f>IF($B111="",NA(),COUNTIFS(June[Station],$B111))</f>
        <v>0</v>
      </c>
    </row>
    <row r="112" spans="1:4" x14ac:dyDescent="0.25">
      <c r="B112" s="62">
        <v>3</v>
      </c>
      <c r="C112" s="63"/>
      <c r="D112" s="31">
        <f>IF($B112="",NA(),COUNTIFS(June[Station],$B112))</f>
        <v>0</v>
      </c>
    </row>
    <row r="113" spans="2:4" x14ac:dyDescent="0.25">
      <c r="B113" s="62">
        <v>4</v>
      </c>
      <c r="C113" s="63"/>
      <c r="D113" s="31">
        <f>IF($B113="",NA(),COUNTIFS(June[Station],$B113))</f>
        <v>0</v>
      </c>
    </row>
    <row r="114" spans="2:4" x14ac:dyDescent="0.25">
      <c r="B114" s="62">
        <v>5</v>
      </c>
      <c r="C114" s="63"/>
      <c r="D114" s="31">
        <f>IF($B114="",NA(),COUNTIFS(June[Station],$B114))</f>
        <v>0</v>
      </c>
    </row>
    <row r="115" spans="2:4" x14ac:dyDescent="0.25">
      <c r="B115" s="62" t="str">
        <v/>
      </c>
      <c r="C115" s="63"/>
      <c r="D115" s="31" t="e">
        <f>IF($B115="",NA(),COUNTIFS(June[Station],$B115))</f>
        <v>#N/A</v>
      </c>
    </row>
    <row r="116" spans="2:4" x14ac:dyDescent="0.25">
      <c r="B116" s="62" t="str">
        <v/>
      </c>
      <c r="C116" s="63"/>
      <c r="D116" s="31" t="e">
        <f>IF($B116="",NA(),COUNTIFS(June[Station],$B116))</f>
        <v>#N/A</v>
      </c>
    </row>
    <row r="117" spans="2:4" x14ac:dyDescent="0.25">
      <c r="B117" s="62" t="str">
        <v/>
      </c>
      <c r="C117" s="63"/>
      <c r="D117" s="31" t="e">
        <f>IF($B117="",NA(),COUNTIFS(June[Station],$B117))</f>
        <v>#N/A</v>
      </c>
    </row>
    <row r="118" spans="2:4" x14ac:dyDescent="0.25">
      <c r="B118" s="62" t="str">
        <v/>
      </c>
      <c r="C118" s="63"/>
      <c r="D118" s="31" t="e">
        <f>IF($B118="",NA(),COUNTIFS(June[Station],$B118))</f>
        <v>#N/A</v>
      </c>
    </row>
    <row r="119" spans="2:4" x14ac:dyDescent="0.25">
      <c r="B119" s="62" t="str">
        <v/>
      </c>
      <c r="C119" s="63"/>
      <c r="D119" s="31" t="e">
        <f>IF($B119="",NA(),COUNTIFS(June[Station],$B119))</f>
        <v>#N/A</v>
      </c>
    </row>
    <row r="120" spans="2:4" ht="15.75" thickBot="1" x14ac:dyDescent="0.3">
      <c r="B120" s="64" t="str">
        <v/>
      </c>
      <c r="C120" s="63"/>
      <c r="D120" s="31" t="e">
        <f>IF($B120="",NA(),COUNTIFS(June[Station],$B120))</f>
        <v>#N/A</v>
      </c>
    </row>
    <row r="121" spans="2:4" ht="15.6" customHeight="1" thickBot="1" x14ac:dyDescent="0.3">
      <c r="B121" s="287" t="s">
        <v>16</v>
      </c>
      <c r="C121" s="288"/>
      <c r="D121" s="37">
        <f>_xlfn.AGGREGATE(9,6,D110:D120)</f>
        <v>0</v>
      </c>
    </row>
    <row r="122" spans="2:4" ht="15.6" customHeight="1" thickBot="1" x14ac:dyDescent="0.3">
      <c r="B122" s="65"/>
      <c r="C122" s="66"/>
      <c r="D122" s="67"/>
    </row>
    <row r="123" spans="2:4" ht="21.95" customHeight="1" thickBot="1" x14ac:dyDescent="0.3">
      <c r="B123" s="282" t="str">
        <f>"Falls by Day of the Week "</f>
        <v xml:space="preserve">Falls by Day of the Week </v>
      </c>
      <c r="C123" s="283"/>
      <c r="D123" s="284"/>
    </row>
    <row r="124" spans="2:4" ht="15.75" x14ac:dyDescent="0.25">
      <c r="B124" s="293" t="s">
        <v>3</v>
      </c>
      <c r="C124" s="293"/>
      <c r="D124" s="28" t="s">
        <v>35</v>
      </c>
    </row>
    <row r="125" spans="2:4" x14ac:dyDescent="0.25">
      <c r="B125" s="294" t="s">
        <v>46</v>
      </c>
      <c r="C125" s="294"/>
      <c r="D125" s="31">
        <f>COUNTIFS(June[Day],$B125)</f>
        <v>0</v>
      </c>
    </row>
    <row r="126" spans="2:4" x14ac:dyDescent="0.25">
      <c r="B126" s="294" t="s">
        <v>47</v>
      </c>
      <c r="C126" s="294"/>
      <c r="D126" s="31">
        <f>COUNTIFS(June[Day],$B126)</f>
        <v>0</v>
      </c>
    </row>
    <row r="127" spans="2:4" x14ac:dyDescent="0.25">
      <c r="B127" s="294" t="s">
        <v>52</v>
      </c>
      <c r="C127" s="294"/>
      <c r="D127" s="31">
        <f>COUNTIFS(June[Day],$B127)</f>
        <v>0</v>
      </c>
    </row>
    <row r="128" spans="2:4" x14ac:dyDescent="0.25">
      <c r="B128" s="294" t="s">
        <v>48</v>
      </c>
      <c r="C128" s="294"/>
      <c r="D128" s="31">
        <f>COUNTIFS(June[Day],$B128)</f>
        <v>0</v>
      </c>
    </row>
    <row r="129" spans="2:4" x14ac:dyDescent="0.25">
      <c r="B129" s="294" t="s">
        <v>51</v>
      </c>
      <c r="C129" s="294"/>
      <c r="D129" s="31">
        <f>COUNTIFS(June[Day],$B129)</f>
        <v>0</v>
      </c>
    </row>
    <row r="130" spans="2:4" x14ac:dyDescent="0.25">
      <c r="B130" s="294" t="s">
        <v>49</v>
      </c>
      <c r="C130" s="294"/>
      <c r="D130" s="31">
        <f>COUNTIFS(June[Day],$B130)</f>
        <v>0</v>
      </c>
    </row>
    <row r="131" spans="2:4" ht="15.75" thickBot="1" x14ac:dyDescent="0.3">
      <c r="B131" s="294" t="s">
        <v>50</v>
      </c>
      <c r="C131" s="294"/>
      <c r="D131" s="34">
        <f>COUNTIFS(June[Day],$B131)</f>
        <v>0</v>
      </c>
    </row>
    <row r="132" spans="2:4" ht="15.6" customHeight="1" thickBot="1" x14ac:dyDescent="0.3">
      <c r="B132" s="287" t="s">
        <v>16</v>
      </c>
      <c r="C132" s="288"/>
      <c r="D132" s="35">
        <f>SUM(D125:D131)</f>
        <v>0</v>
      </c>
    </row>
    <row r="133" spans="2:4" ht="15.75" thickBot="1" x14ac:dyDescent="0.3"/>
    <row r="134" spans="2:4" ht="21.4" customHeight="1" thickBot="1" x14ac:dyDescent="0.3">
      <c r="B134" s="282" t="str">
        <f>"Falls by Shift"</f>
        <v>Falls by Shift</v>
      </c>
      <c r="C134" s="283"/>
      <c r="D134" s="284"/>
    </row>
    <row r="135" spans="2:4" ht="15.75" x14ac:dyDescent="0.25">
      <c r="B135" s="293" t="s">
        <v>34</v>
      </c>
      <c r="C135" s="293"/>
      <c r="D135" s="28" t="s">
        <v>35</v>
      </c>
    </row>
    <row r="136" spans="2:4" x14ac:dyDescent="0.25">
      <c r="B136" s="29" t="str" cm="1">
        <f t="array" ref="B136:B140">IF(_xlfn._xlws.SORT('Data Validation'!P3:P7,1,1,TRUE)=0,"",(_xlfn._xlws.SORT('Data Validation'!P3:P7,1,1,TRUE)))</f>
        <v>11-7</v>
      </c>
      <c r="C136" s="58"/>
      <c r="D136" s="31">
        <f>IF($B136="",NA(),COUNTIFS(June[Shift],$B136))</f>
        <v>0</v>
      </c>
    </row>
    <row r="137" spans="2:4" x14ac:dyDescent="0.25">
      <c r="B137" s="29" t="str">
        <v>11–7</v>
      </c>
      <c r="C137" s="58"/>
      <c r="D137" s="31">
        <f>IF($B137="",NA(),COUNTIFS(June[Shift],$B137))</f>
        <v>0</v>
      </c>
    </row>
    <row r="138" spans="2:4" x14ac:dyDescent="0.25">
      <c r="B138" s="29" t="str">
        <v>7–3</v>
      </c>
      <c r="C138" s="58"/>
      <c r="D138" s="31">
        <f>IF($B138="",NA(),COUNTIFS(June[Shift],$B138))</f>
        <v>0</v>
      </c>
    </row>
    <row r="139" spans="2:4" x14ac:dyDescent="0.25">
      <c r="B139" s="29" t="str">
        <v>3–11</v>
      </c>
      <c r="C139" s="58"/>
      <c r="D139" s="31">
        <f>IF($B139="",NA(),COUNTIFS(June[Shift],$B139))</f>
        <v>0</v>
      </c>
    </row>
    <row r="140" spans="2:4" ht="15.75" thickBot="1" x14ac:dyDescent="0.3">
      <c r="B140" s="29" t="str">
        <v/>
      </c>
      <c r="C140" s="68"/>
      <c r="D140" s="34" t="e">
        <f>IF($B140="",NA(),COUNTIFS(June[Shift],$B140))</f>
        <v>#N/A</v>
      </c>
    </row>
    <row r="141" spans="2:4" ht="15.75" thickBot="1" x14ac:dyDescent="0.3">
      <c r="B141" s="287" t="s">
        <v>16</v>
      </c>
      <c r="C141" s="288"/>
      <c r="D141" s="35">
        <f>_xlfn.AGGREGATE(9,6,D136:D140)</f>
        <v>0</v>
      </c>
    </row>
    <row r="142" spans="2:4" ht="15.75" thickBot="1" x14ac:dyDescent="0.3"/>
    <row r="143" spans="2:4" ht="21.4" customHeight="1" thickBot="1" x14ac:dyDescent="0.3">
      <c r="B143" s="282" t="str">
        <f>"Falls by Hour "</f>
        <v xml:space="preserve">Falls by Hour </v>
      </c>
      <c r="C143" s="283"/>
      <c r="D143" s="284"/>
    </row>
    <row r="144" spans="2:4" ht="15.75" x14ac:dyDescent="0.25">
      <c r="B144" s="293" t="s">
        <v>33</v>
      </c>
      <c r="C144" s="293"/>
      <c r="D144" s="28" t="s">
        <v>35</v>
      </c>
    </row>
    <row r="145" spans="2:4" x14ac:dyDescent="0.25">
      <c r="B145" s="294" t="s">
        <v>115</v>
      </c>
      <c r="C145" s="294"/>
      <c r="D145" s="31">
        <f>COUNTIFS(June[Hour],$B145)</f>
        <v>0</v>
      </c>
    </row>
    <row r="146" spans="2:4" x14ac:dyDescent="0.25">
      <c r="B146" s="294" t="s">
        <v>116</v>
      </c>
      <c r="C146" s="294"/>
      <c r="D146" s="31">
        <f>COUNTIFS(June[Hour],$B146)</f>
        <v>0</v>
      </c>
    </row>
    <row r="147" spans="2:4" x14ac:dyDescent="0.25">
      <c r="B147" s="294" t="s">
        <v>117</v>
      </c>
      <c r="C147" s="294"/>
      <c r="D147" s="31">
        <f>COUNTIFS(June[Hour],$B147)</f>
        <v>0</v>
      </c>
    </row>
    <row r="148" spans="2:4" x14ac:dyDescent="0.25">
      <c r="B148" s="294" t="s">
        <v>118</v>
      </c>
      <c r="C148" s="294"/>
      <c r="D148" s="31">
        <f>COUNTIFS(June[Hour],$B148)</f>
        <v>0</v>
      </c>
    </row>
    <row r="149" spans="2:4" x14ac:dyDescent="0.25">
      <c r="B149" s="294" t="s">
        <v>119</v>
      </c>
      <c r="C149" s="294"/>
      <c r="D149" s="31">
        <f>COUNTIFS(June[Hour],$B149)</f>
        <v>0</v>
      </c>
    </row>
    <row r="150" spans="2:4" x14ac:dyDescent="0.25">
      <c r="B150" s="294" t="s">
        <v>120</v>
      </c>
      <c r="C150" s="294"/>
      <c r="D150" s="31">
        <f>COUNTIFS(June[Hour],$B150)</f>
        <v>0</v>
      </c>
    </row>
    <row r="151" spans="2:4" x14ac:dyDescent="0.25">
      <c r="B151" s="294" t="s">
        <v>121</v>
      </c>
      <c r="C151" s="294"/>
      <c r="D151" s="31">
        <f>COUNTIFS(June[Hour],$B151)</f>
        <v>0</v>
      </c>
    </row>
    <row r="152" spans="2:4" x14ac:dyDescent="0.25">
      <c r="B152" s="294" t="s">
        <v>122</v>
      </c>
      <c r="C152" s="294"/>
      <c r="D152" s="31">
        <f>COUNTIFS(June[Hour],$B152)</f>
        <v>0</v>
      </c>
    </row>
    <row r="153" spans="2:4" x14ac:dyDescent="0.25">
      <c r="B153" s="294" t="s">
        <v>123</v>
      </c>
      <c r="C153" s="294"/>
      <c r="D153" s="31">
        <f>COUNTIFS(June[Hour],$B153)</f>
        <v>0</v>
      </c>
    </row>
    <row r="154" spans="2:4" x14ac:dyDescent="0.25">
      <c r="B154" s="294" t="s">
        <v>124</v>
      </c>
      <c r="C154" s="294"/>
      <c r="D154" s="31">
        <f>COUNTIFS(June[Hour],$B154)</f>
        <v>0</v>
      </c>
    </row>
    <row r="155" spans="2:4" x14ac:dyDescent="0.25">
      <c r="B155" s="294" t="s">
        <v>125</v>
      </c>
      <c r="C155" s="294"/>
      <c r="D155" s="31">
        <f>COUNTIFS(June[Hour],$B155)</f>
        <v>0</v>
      </c>
    </row>
    <row r="156" spans="2:4" x14ac:dyDescent="0.25">
      <c r="B156" s="294" t="s">
        <v>126</v>
      </c>
      <c r="C156" s="294"/>
      <c r="D156" s="31">
        <f>COUNTIFS(June[Hour],$B156)</f>
        <v>0</v>
      </c>
    </row>
    <row r="157" spans="2:4" x14ac:dyDescent="0.25">
      <c r="B157" s="294" t="s">
        <v>127</v>
      </c>
      <c r="C157" s="294"/>
      <c r="D157" s="31">
        <f>COUNTIFS(June[Hour],$B157)</f>
        <v>0</v>
      </c>
    </row>
    <row r="158" spans="2:4" x14ac:dyDescent="0.25">
      <c r="B158" s="294" t="s">
        <v>128</v>
      </c>
      <c r="C158" s="294"/>
      <c r="D158" s="31">
        <f>COUNTIFS(June[Hour],$B158)</f>
        <v>0</v>
      </c>
    </row>
    <row r="159" spans="2:4" x14ac:dyDescent="0.25">
      <c r="B159" s="294" t="s">
        <v>129</v>
      </c>
      <c r="C159" s="294"/>
      <c r="D159" s="31">
        <f>COUNTIFS(June[Hour],$B159)</f>
        <v>0</v>
      </c>
    </row>
    <row r="160" spans="2:4" x14ac:dyDescent="0.25">
      <c r="B160" s="294" t="s">
        <v>130</v>
      </c>
      <c r="C160" s="294"/>
      <c r="D160" s="31">
        <f>COUNTIFS(June[Hour],$B160)</f>
        <v>0</v>
      </c>
    </row>
    <row r="161" spans="1:8" x14ac:dyDescent="0.25">
      <c r="B161" s="294" t="s">
        <v>131</v>
      </c>
      <c r="C161" s="294"/>
      <c r="D161" s="31">
        <f>COUNTIFS(June[Hour],$B161)</f>
        <v>0</v>
      </c>
    </row>
    <row r="162" spans="1:8" x14ac:dyDescent="0.25">
      <c r="B162" s="294" t="s">
        <v>132</v>
      </c>
      <c r="C162" s="294"/>
      <c r="D162" s="31">
        <f>COUNTIFS(June[Hour],$B162)</f>
        <v>0</v>
      </c>
    </row>
    <row r="163" spans="1:8" x14ac:dyDescent="0.25">
      <c r="B163" s="294" t="s">
        <v>133</v>
      </c>
      <c r="C163" s="294"/>
      <c r="D163" s="31">
        <f>COUNTIFS(June[Hour],$B163)</f>
        <v>0</v>
      </c>
    </row>
    <row r="164" spans="1:8" x14ac:dyDescent="0.25">
      <c r="B164" s="294" t="s">
        <v>134</v>
      </c>
      <c r="C164" s="294"/>
      <c r="D164" s="31">
        <f>COUNTIFS(June[Hour],$B164)</f>
        <v>0</v>
      </c>
    </row>
    <row r="165" spans="1:8" x14ac:dyDescent="0.25">
      <c r="B165" s="294" t="s">
        <v>135</v>
      </c>
      <c r="C165" s="294"/>
      <c r="D165" s="31">
        <f>COUNTIFS(June[Hour],$B165)</f>
        <v>0</v>
      </c>
    </row>
    <row r="166" spans="1:8" x14ac:dyDescent="0.25">
      <c r="B166" s="294" t="s">
        <v>136</v>
      </c>
      <c r="C166" s="294"/>
      <c r="D166" s="31">
        <f>COUNTIFS(June[Hour],$B166)</f>
        <v>0</v>
      </c>
    </row>
    <row r="167" spans="1:8" x14ac:dyDescent="0.25">
      <c r="B167" s="294" t="s">
        <v>137</v>
      </c>
      <c r="C167" s="294"/>
      <c r="D167" s="31">
        <f>COUNTIFS(June[Hour],$B167)</f>
        <v>0</v>
      </c>
    </row>
    <row r="168" spans="1:8" ht="15.75" thickBot="1" x14ac:dyDescent="0.3">
      <c r="B168" s="294" t="s">
        <v>138</v>
      </c>
      <c r="C168" s="294"/>
      <c r="D168" s="34">
        <f>COUNTIFS(June[Hour],$B168)</f>
        <v>0</v>
      </c>
    </row>
    <row r="169" spans="1:8" ht="15.75" thickBot="1" x14ac:dyDescent="0.3">
      <c r="B169" s="287" t="s">
        <v>35</v>
      </c>
      <c r="C169" s="288"/>
      <c r="D169" s="35">
        <f>SUM(D145:D168)</f>
        <v>0</v>
      </c>
    </row>
    <row r="170" spans="1:8" ht="15.75" thickBot="1" x14ac:dyDescent="0.3"/>
    <row r="171" spans="1:8" ht="21.4" customHeight="1" thickBot="1" x14ac:dyDescent="0.3">
      <c r="B171" s="282" t="str">
        <f>"Falls by Contributing Factors"</f>
        <v>Falls by Contributing Factors</v>
      </c>
      <c r="C171" s="283"/>
      <c r="D171" s="283"/>
      <c r="E171" s="283"/>
      <c r="F171" s="283"/>
      <c r="G171" s="284"/>
    </row>
    <row r="172" spans="1:8" ht="15.6" customHeight="1" x14ac:dyDescent="0.25">
      <c r="A172" s="38"/>
      <c r="B172" s="290" t="s">
        <v>92</v>
      </c>
      <c r="C172" s="291"/>
      <c r="D172" s="291"/>
      <c r="E172" s="291"/>
      <c r="F172" s="292"/>
      <c r="G172" s="28" t="s">
        <v>35</v>
      </c>
    </row>
    <row r="173" spans="1:8" x14ac:dyDescent="0.25">
      <c r="A173" s="38"/>
      <c r="B173" s="44" t="str" cm="1">
        <f t="array" ref="B173:B196">IF(_xlfn._xlws.SORT(CF[Contributing Factors],1,1,TRUE)=0,"",(_xlfn._xlws.SORT(CF[Contributing Factors],1,1,TRUE)))</f>
        <v>Assisted/caregiver transfer</v>
      </c>
      <c r="C173" s="45"/>
      <c r="D173" s="45"/>
      <c r="E173" s="45"/>
      <c r="F173" s="46"/>
      <c r="G173" s="42">
        <f>IF($B173="",NA(),COUNTIFS(June[Contributing Factors],$B173))</f>
        <v>0</v>
      </c>
      <c r="H173" s="43"/>
    </row>
    <row r="174" spans="1:8" x14ac:dyDescent="0.25">
      <c r="A174" s="38"/>
      <c r="B174" s="39" t="str">
        <v>Bowel and bladder (B&amp;B) needs</v>
      </c>
      <c r="C174" s="40"/>
      <c r="D174" s="40"/>
      <c r="E174" s="40"/>
      <c r="F174" s="41"/>
      <c r="G174" s="42">
        <f>IF($B174="",NA(),COUNTIFS(June[Contributing Factors],$B174))</f>
        <v>0</v>
      </c>
    </row>
    <row r="175" spans="1:8" x14ac:dyDescent="0.25">
      <c r="A175" s="38"/>
      <c r="B175" s="44" t="str">
        <v>Behavioral or situational</v>
      </c>
      <c r="C175" s="45"/>
      <c r="D175" s="45"/>
      <c r="E175" s="45"/>
      <c r="F175" s="46"/>
      <c r="G175" s="42">
        <f>IF($B175="",NA(),COUNTIFS(June[Contributing Factors],$B175))</f>
        <v>0</v>
      </c>
    </row>
    <row r="176" spans="1:8" x14ac:dyDescent="0.25">
      <c r="A176" s="38"/>
      <c r="B176" s="39" t="str">
        <v>Change of condition</v>
      </c>
      <c r="C176" s="40"/>
      <c r="D176" s="40"/>
      <c r="E176" s="40"/>
      <c r="F176" s="41"/>
      <c r="G176" s="42">
        <f>IF($B176="",NA(),COUNTIFS(June[Contributing Factors],$B176))</f>
        <v>0</v>
      </c>
    </row>
    <row r="177" spans="1:7" x14ac:dyDescent="0.25">
      <c r="A177" s="38"/>
      <c r="B177" s="44" t="str">
        <v>Environmental factors</v>
      </c>
      <c r="C177" s="45"/>
      <c r="D177" s="45"/>
      <c r="E177" s="45"/>
      <c r="F177" s="46"/>
      <c r="G177" s="42">
        <f>IF($B177="",NA(),COUNTIFS(June[Contributing Factors],$B177))</f>
        <v>0</v>
      </c>
    </row>
    <row r="178" spans="1:7" x14ac:dyDescent="0.25">
      <c r="A178" s="38"/>
      <c r="B178" s="39" t="str">
        <v>Equipment malfunction</v>
      </c>
      <c r="C178" s="40"/>
      <c r="D178" s="40"/>
      <c r="E178" s="40"/>
      <c r="F178" s="41"/>
      <c r="G178" s="42">
        <f>IF($B178="",NA(),COUNTIFS(June[Contributing Factors],$B178))</f>
        <v>0</v>
      </c>
    </row>
    <row r="179" spans="1:7" x14ac:dyDescent="0.25">
      <c r="A179" s="38"/>
      <c r="B179" s="44" t="str">
        <v>Equipment or assistive device</v>
      </c>
      <c r="C179" s="45"/>
      <c r="D179" s="45"/>
      <c r="E179" s="45"/>
      <c r="F179" s="46"/>
      <c r="G179" s="42">
        <f>IF($B179="",NA(),COUNTIFS(June[Contributing Factors],$B179))</f>
        <v>0</v>
      </c>
    </row>
    <row r="180" spans="1:7" x14ac:dyDescent="0.25">
      <c r="A180" s="38"/>
      <c r="B180" s="39" t="str">
        <v>Medication related</v>
      </c>
      <c r="C180" s="40"/>
      <c r="D180" s="40"/>
      <c r="E180" s="40"/>
      <c r="F180" s="41"/>
      <c r="G180" s="42">
        <f>IF($B180="",NA(),COUNTIFS(June[Contributing Factors],$B180))</f>
        <v>0</v>
      </c>
    </row>
    <row r="181" spans="1:7" x14ac:dyDescent="0.25">
      <c r="A181" s="38"/>
      <c r="B181" s="44" t="str">
        <v>Process(s) not followed</v>
      </c>
      <c r="C181" s="45"/>
      <c r="D181" s="45"/>
      <c r="E181" s="45"/>
      <c r="F181" s="46"/>
      <c r="G181" s="42">
        <f>IF($B181="",NA(),COUNTIFS(June[Contributing Factors],$B181))</f>
        <v>0</v>
      </c>
    </row>
    <row r="182" spans="1:7" x14ac:dyDescent="0.25">
      <c r="A182" s="38"/>
      <c r="B182" s="39" t="str">
        <v>Resident health conditions</v>
      </c>
      <c r="C182" s="40"/>
      <c r="D182" s="40"/>
      <c r="E182" s="40"/>
      <c r="F182" s="41"/>
      <c r="G182" s="42">
        <f>IF($B182="",NA(),COUNTIFS(June[Contributing Factors],$B182))</f>
        <v>0</v>
      </c>
    </row>
    <row r="183" spans="1:7" x14ac:dyDescent="0.25">
      <c r="A183" s="38"/>
      <c r="B183" s="44" t="str">
        <v>Staff</v>
      </c>
      <c r="C183" s="45"/>
      <c r="D183" s="45"/>
      <c r="E183" s="45"/>
      <c r="F183" s="46"/>
      <c r="G183" s="42">
        <f>IF($B183="",NA(),COUNTIFS(June[Contributing Factors],$B183))</f>
        <v>0</v>
      </c>
    </row>
    <row r="184" spans="1:7" x14ac:dyDescent="0.25">
      <c r="A184" s="38"/>
      <c r="B184" s="39" t="str">
        <v/>
      </c>
      <c r="C184" s="40"/>
      <c r="D184" s="40"/>
      <c r="E184" s="40"/>
      <c r="F184" s="41"/>
      <c r="G184" s="42" t="e">
        <f>IF($B184="",NA(),COUNTIFS(June[Contributing Factors],$B184))</f>
        <v>#N/A</v>
      </c>
    </row>
    <row r="185" spans="1:7" x14ac:dyDescent="0.25">
      <c r="A185" s="38"/>
      <c r="B185" s="44" t="str">
        <v/>
      </c>
      <c r="C185" s="45"/>
      <c r="D185" s="45"/>
      <c r="E185" s="45"/>
      <c r="F185" s="46"/>
      <c r="G185" s="42" t="e">
        <f>IF($B185="",NA(),COUNTIFS(June[Contributing Factors],$B185))</f>
        <v>#N/A</v>
      </c>
    </row>
    <row r="186" spans="1:7" x14ac:dyDescent="0.25">
      <c r="A186" s="38"/>
      <c r="B186" s="39" t="str">
        <v/>
      </c>
      <c r="C186" s="40"/>
      <c r="D186" s="40"/>
      <c r="E186" s="40"/>
      <c r="F186" s="41"/>
      <c r="G186" s="42" t="e">
        <f>IF($B186="",NA(),COUNTIFS(June[Contributing Factors],$B186))</f>
        <v>#N/A</v>
      </c>
    </row>
    <row r="187" spans="1:7" x14ac:dyDescent="0.25">
      <c r="A187" s="38"/>
      <c r="B187" s="44" t="str">
        <v/>
      </c>
      <c r="C187" s="45"/>
      <c r="D187" s="45"/>
      <c r="E187" s="45"/>
      <c r="F187" s="46"/>
      <c r="G187" s="42" t="e">
        <f>IF($B187="",NA(),COUNTIFS(June[Contributing Factors],$B187))</f>
        <v>#N/A</v>
      </c>
    </row>
    <row r="188" spans="1:7" x14ac:dyDescent="0.25">
      <c r="A188" s="38"/>
      <c r="B188" s="39" t="str">
        <v/>
      </c>
      <c r="C188" s="40"/>
      <c r="D188" s="40"/>
      <c r="E188" s="40"/>
      <c r="F188" s="41"/>
      <c r="G188" s="42" t="e">
        <f>IF($B188="",NA(),COUNTIFS(June[Contributing Factors],$B188))</f>
        <v>#N/A</v>
      </c>
    </row>
    <row r="189" spans="1:7" x14ac:dyDescent="0.25">
      <c r="A189" s="38"/>
      <c r="B189" s="44" t="str">
        <v/>
      </c>
      <c r="C189" s="45"/>
      <c r="D189" s="45"/>
      <c r="E189" s="45"/>
      <c r="F189" s="46"/>
      <c r="G189" s="42" t="e">
        <f>IF($B189="",NA(),COUNTIFS(June[Contributing Factors],$B189))</f>
        <v>#N/A</v>
      </c>
    </row>
    <row r="190" spans="1:7" x14ac:dyDescent="0.25">
      <c r="A190" s="38"/>
      <c r="B190" s="39" t="str">
        <v/>
      </c>
      <c r="C190" s="40"/>
      <c r="D190" s="40"/>
      <c r="E190" s="40"/>
      <c r="F190" s="41"/>
      <c r="G190" s="42" t="e">
        <f>IF($B190="",NA(),COUNTIFS(June[Contributing Factors],$B190))</f>
        <v>#N/A</v>
      </c>
    </row>
    <row r="191" spans="1:7" x14ac:dyDescent="0.25">
      <c r="A191" s="38"/>
      <c r="B191" s="44" t="str">
        <v/>
      </c>
      <c r="C191" s="45"/>
      <c r="D191" s="45"/>
      <c r="E191" s="45"/>
      <c r="F191" s="46"/>
      <c r="G191" s="42" t="e">
        <f>IF($B191="",NA(),COUNTIFS(June[Contributing Factors],$B191))</f>
        <v>#N/A</v>
      </c>
    </row>
    <row r="192" spans="1:7" x14ac:dyDescent="0.25">
      <c r="A192" s="38"/>
      <c r="B192" s="39" t="str">
        <v/>
      </c>
      <c r="C192" s="40"/>
      <c r="D192" s="40"/>
      <c r="E192" s="40"/>
      <c r="F192" s="41"/>
      <c r="G192" s="42" t="e">
        <f>IF($B192="",NA(),COUNTIFS(June[Contributing Factors],$B192))</f>
        <v>#N/A</v>
      </c>
    </row>
    <row r="193" spans="1:7" x14ac:dyDescent="0.25">
      <c r="A193" s="38"/>
      <c r="B193" s="44" t="str">
        <v/>
      </c>
      <c r="C193" s="45"/>
      <c r="D193" s="45"/>
      <c r="E193" s="45"/>
      <c r="F193" s="46"/>
      <c r="G193" s="42" t="e">
        <f>IF($B193="",NA(),COUNTIFS(June[Contributing Factors],$B193))</f>
        <v>#N/A</v>
      </c>
    </row>
    <row r="194" spans="1:7" x14ac:dyDescent="0.25">
      <c r="A194" s="38"/>
      <c r="B194" s="39" t="str">
        <v/>
      </c>
      <c r="C194" s="40"/>
      <c r="D194" s="40"/>
      <c r="E194" s="40"/>
      <c r="F194" s="41"/>
      <c r="G194" s="42" t="e">
        <f>IF($B194="",NA(),COUNTIFS(June[Contributing Factors],$B194))</f>
        <v>#N/A</v>
      </c>
    </row>
    <row r="195" spans="1:7" x14ac:dyDescent="0.25">
      <c r="A195" s="38"/>
      <c r="B195" s="44" t="str">
        <v/>
      </c>
      <c r="C195" s="45"/>
      <c r="D195" s="45"/>
      <c r="E195" s="45"/>
      <c r="F195" s="46"/>
      <c r="G195" s="42" t="e">
        <f>IF($B195="",NA(),COUNTIFS(June[Contributing Factors],$B195))</f>
        <v>#N/A</v>
      </c>
    </row>
    <row r="196" spans="1:7" ht="15.75" thickBot="1" x14ac:dyDescent="0.3">
      <c r="A196" s="38"/>
      <c r="B196" s="39" t="str">
        <v/>
      </c>
      <c r="C196" s="40"/>
      <c r="D196" s="40"/>
      <c r="E196" s="40"/>
      <c r="F196" s="41"/>
      <c r="G196" s="42" t="e">
        <f>IF($B196="",NA(),COUNTIFS(June[Contributing Factors],$B196))</f>
        <v>#N/A</v>
      </c>
    </row>
    <row r="197" spans="1:7" ht="15.6" customHeight="1" thickBot="1" x14ac:dyDescent="0.3">
      <c r="B197" s="287" t="s">
        <v>35</v>
      </c>
      <c r="C197" s="288"/>
      <c r="D197" s="288"/>
      <c r="E197" s="288"/>
      <c r="F197" s="289"/>
      <c r="G197" s="37">
        <f>_xlfn.AGGREGATE(9,6,G173:G196)</f>
        <v>0</v>
      </c>
    </row>
  </sheetData>
  <sheetProtection algorithmName="SHA-512" hashValue="UvQtqJTs4Ns/idwhoJ803w8CuK7OzxWIrMs92XrwIDjvFO/GNSwFHN5NvPVVP5NVMg+yWQHiUkeBozPQzOrzcg==" saltValue="15xTUTxzHujodbMXsjwybQ==" spinCount="100000" sheet="1" formatCells="0" formatColumns="0" formatRows="0" sort="0" autoFilter="0"/>
  <mergeCells count="61">
    <mergeCell ref="F56:G56"/>
    <mergeCell ref="B51:D51"/>
    <mergeCell ref="F51:H51"/>
    <mergeCell ref="B52:C52"/>
    <mergeCell ref="F52:G52"/>
    <mergeCell ref="B55:C55"/>
    <mergeCell ref="B121:C121"/>
    <mergeCell ref="F58:H58"/>
    <mergeCell ref="F59:G59"/>
    <mergeCell ref="F63:G63"/>
    <mergeCell ref="B65:G65"/>
    <mergeCell ref="B66:F66"/>
    <mergeCell ref="B91:F91"/>
    <mergeCell ref="B93:D93"/>
    <mergeCell ref="B94:C94"/>
    <mergeCell ref="B106:C106"/>
    <mergeCell ref="B108:D108"/>
    <mergeCell ref="B109:C109"/>
    <mergeCell ref="B135:C135"/>
    <mergeCell ref="B123:D123"/>
    <mergeCell ref="B124:C124"/>
    <mergeCell ref="B125:C125"/>
    <mergeCell ref="B126:C126"/>
    <mergeCell ref="B127:C127"/>
    <mergeCell ref="B128:C128"/>
    <mergeCell ref="B129:C129"/>
    <mergeCell ref="B130:C130"/>
    <mergeCell ref="B131:C131"/>
    <mergeCell ref="B132:C132"/>
    <mergeCell ref="B134:D134"/>
    <mergeCell ref="B153:C153"/>
    <mergeCell ref="B141:C141"/>
    <mergeCell ref="B143:D143"/>
    <mergeCell ref="B144:C144"/>
    <mergeCell ref="B145:C145"/>
    <mergeCell ref="B146:C146"/>
    <mergeCell ref="B147:C147"/>
    <mergeCell ref="B148:C148"/>
    <mergeCell ref="B149:C149"/>
    <mergeCell ref="B150:C150"/>
    <mergeCell ref="B151:C151"/>
    <mergeCell ref="B152:C152"/>
    <mergeCell ref="B165:C165"/>
    <mergeCell ref="B154:C154"/>
    <mergeCell ref="B155:C155"/>
    <mergeCell ref="B156:C156"/>
    <mergeCell ref="B157:C157"/>
    <mergeCell ref="B158:C158"/>
    <mergeCell ref="B159:C159"/>
    <mergeCell ref="B160:C160"/>
    <mergeCell ref="B161:C161"/>
    <mergeCell ref="B162:C162"/>
    <mergeCell ref="B163:C163"/>
    <mergeCell ref="B164:C164"/>
    <mergeCell ref="B197:F197"/>
    <mergeCell ref="B166:C166"/>
    <mergeCell ref="B167:C167"/>
    <mergeCell ref="B168:C168"/>
    <mergeCell ref="B169:C169"/>
    <mergeCell ref="B171:G171"/>
    <mergeCell ref="B172:F172"/>
  </mergeCells>
  <conditionalFormatting sqref="C1">
    <cfRule type="expression" dxfId="211" priority="18">
      <formula>OR($C$1="",$C$1=0)</formula>
    </cfRule>
  </conditionalFormatting>
  <conditionalFormatting sqref="D1">
    <cfRule type="cellIs" dxfId="210" priority="19" operator="equal">
      <formula>"Enter year in Data Validation tab"</formula>
    </cfRule>
  </conditionalFormatting>
  <conditionalFormatting sqref="D4:D40">
    <cfRule type="expression" dxfId="209" priority="22">
      <formula>AND($C4&lt;&gt;"",$D4="")</formula>
    </cfRule>
  </conditionalFormatting>
  <conditionalFormatting sqref="D95:D105">
    <cfRule type="expression" dxfId="208" priority="9">
      <formula>ISERROR($D95)</formula>
    </cfRule>
  </conditionalFormatting>
  <conditionalFormatting sqref="D110:D120">
    <cfRule type="expression" dxfId="207" priority="10">
      <formula>ISERROR($D110)</formula>
    </cfRule>
  </conditionalFormatting>
  <conditionalFormatting sqref="D136:D140">
    <cfRule type="expression" dxfId="206" priority="1">
      <formula>ISERROR(D136)</formula>
    </cfRule>
  </conditionalFormatting>
  <conditionalFormatting sqref="E4:E40">
    <cfRule type="expression" dxfId="205" priority="21">
      <formula>AND($C4&lt;&gt;"",$E4="")</formula>
    </cfRule>
  </conditionalFormatting>
  <conditionalFormatting sqref="F4:F40">
    <cfRule type="expression" dxfId="204" priority="14">
      <formula>AND($C4&lt;&gt;"",$F4="")</formula>
    </cfRule>
  </conditionalFormatting>
  <conditionalFormatting sqref="G4:G40">
    <cfRule type="expression" dxfId="203" priority="13">
      <formula>AND($C4&lt;&gt;"",$G4="")</formula>
    </cfRule>
  </conditionalFormatting>
  <conditionalFormatting sqref="G67:G90">
    <cfRule type="expression" dxfId="202" priority="8">
      <formula>ISERROR($G67)</formula>
    </cfRule>
  </conditionalFormatting>
  <conditionalFormatting sqref="G173:G196">
    <cfRule type="expression" dxfId="201" priority="7">
      <formula>ISERROR($G173)</formula>
    </cfRule>
  </conditionalFormatting>
  <conditionalFormatting sqref="H4:H40">
    <cfRule type="expression" dxfId="200" priority="12">
      <formula>AND($C4&lt;&gt;"",$H4="")</formula>
    </cfRule>
  </conditionalFormatting>
  <conditionalFormatting sqref="I4:I40">
    <cfRule type="expression" dxfId="199" priority="11">
      <formula>AND($C4&lt;&gt;"",$I4="")</formula>
    </cfRule>
  </conditionalFormatting>
  <conditionalFormatting sqref="J4:J40">
    <cfRule type="expression" dxfId="198" priority="23">
      <formula>AND($C4&lt;&gt;"",$J4="")</formula>
    </cfRule>
  </conditionalFormatting>
  <conditionalFormatting sqref="L4:L40">
    <cfRule type="expression" dxfId="197" priority="20">
      <formula>AND($C4&lt;&gt;"",$L4="")</formula>
    </cfRule>
  </conditionalFormatting>
  <conditionalFormatting sqref="N4:N40">
    <cfRule type="expression" dxfId="196" priority="25">
      <formula>AND($C4&lt;&gt;"",$N4="")</formula>
    </cfRule>
  </conditionalFormatting>
  <conditionalFormatting sqref="O4:O40">
    <cfRule type="expression" dxfId="195" priority="4">
      <formula>AND($C4&lt;&gt;"",$O4="")</formula>
    </cfRule>
    <cfRule type="cellIs" dxfId="194" priority="15" operator="equal">
      <formula>"Intact (13-15)"</formula>
    </cfRule>
    <cfRule type="cellIs" dxfId="193" priority="16" operator="equal">
      <formula>"Moderate (8-12)"</formula>
    </cfRule>
    <cfRule type="cellIs" dxfId="192" priority="17" operator="equal">
      <formula>"Severe (1-7)"</formula>
    </cfRule>
  </conditionalFormatting>
  <conditionalFormatting sqref="P4:P40">
    <cfRule type="expression" dxfId="191" priority="5">
      <formula>AND($C4&lt;&gt;"",$P4="")</formula>
    </cfRule>
  </conditionalFormatting>
  <conditionalFormatting sqref="Q4:Q40">
    <cfRule type="expression" dxfId="190" priority="3">
      <formula>AND($C4&lt;&gt;"",$Q4="")</formula>
    </cfRule>
  </conditionalFormatting>
  <conditionalFormatting sqref="R4:R40">
    <cfRule type="expression" dxfId="189" priority="26">
      <formula>AND($C4&lt;&gt;"",$R4="")</formula>
    </cfRule>
  </conditionalFormatting>
  <conditionalFormatting sqref="S4:S40">
    <cfRule type="expression" dxfId="188" priority="6">
      <formula>AND($C4&lt;&gt;"",$S4="")</formula>
    </cfRule>
  </conditionalFormatting>
  <conditionalFormatting sqref="T4:T40">
    <cfRule type="expression" dxfId="187" priority="27">
      <formula>AND($C4&lt;&gt;"",$T4="")</formula>
    </cfRule>
  </conditionalFormatting>
  <conditionalFormatting sqref="U4:U40">
    <cfRule type="expression" dxfId="186" priority="24">
      <formula>AND($C4&lt;&gt;"",$U4="")</formula>
    </cfRule>
  </conditionalFormatting>
  <conditionalFormatting sqref="V4:V40">
    <cfRule type="expression" dxfId="185" priority="2">
      <formula>AND($C4&lt;&gt;"",$V4="")</formula>
    </cfRule>
  </conditionalFormatting>
  <dataValidations count="9">
    <dataValidation type="list" allowBlank="1" showInputMessage="1" showErrorMessage="1" sqref="R4:R40" xr:uid="{00000000-0002-0000-0700-000000000000}">
      <formula1>DV_RCAComp</formula1>
    </dataValidation>
    <dataValidation type="list" allowBlank="1" showInputMessage="1" showErrorMessage="1" sqref="G4:G40" xr:uid="{00000000-0002-0000-0700-000001000000}">
      <formula1>DV_FallCircumstances</formula1>
    </dataValidation>
    <dataValidation type="list" allowBlank="1" showInputMessage="1" showErrorMessage="1" sqref="P4:P40" xr:uid="{00000000-0002-0000-0700-000002000000}">
      <formula1>DV_PriortoFall</formula1>
    </dataValidation>
    <dataValidation type="list" allowBlank="1" showInputMessage="1" showErrorMessage="1" sqref="F4:F40" xr:uid="{00000000-0002-0000-0700-000003000000}">
      <formula1>DV_Witnessed</formula1>
    </dataValidation>
    <dataValidation type="list" allowBlank="1" showInputMessage="1" showErrorMessage="1" sqref="N4:N40" xr:uid="{00000000-0002-0000-0700-000004000000}">
      <formula1>DV_BIMSScore</formula1>
    </dataValidation>
    <dataValidation type="list" allowBlank="1" showInputMessage="1" showErrorMessage="1" sqref="L4:L40" xr:uid="{00000000-0002-0000-0700-000005000000}">
      <formula1>DV_Shifts</formula1>
    </dataValidation>
    <dataValidation type="list" allowBlank="1" showInputMessage="1" showErrorMessage="1" sqref="J4:J40" xr:uid="{00000000-0002-0000-0700-000006000000}">
      <formula1>DV_Station</formula1>
    </dataValidation>
    <dataValidation type="list" allowBlank="1" showInputMessage="1" showErrorMessage="1" sqref="I4:I40" xr:uid="{00000000-0002-0000-0700-000007000000}">
      <formula1>DV_Location</formula1>
    </dataValidation>
    <dataValidation type="list" allowBlank="1" showInputMessage="1" showErrorMessage="1" sqref="H4:H40" xr:uid="{00000000-0002-0000-0700-000008000000}">
      <formula1>DV_FallType</formula1>
    </dataValidation>
  </dataValidations>
  <printOptions horizontalCentered="1"/>
  <pageMargins left="0.15" right="0.15" top="0.5" bottom="0.25" header="0.3" footer="0.3"/>
  <pageSetup scale="59" fitToHeight="0" orientation="landscape" r:id="rId1"/>
  <rowBreaks count="3" manualBreakCount="3">
    <brk id="49" max="16383" man="1"/>
    <brk id="91" max="16383" man="1"/>
    <brk id="141" max="16383" man="1"/>
  </rowBreaks>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9000000}">
          <x14:formula1>
            <xm:f>'Data Validation'!$K$3:$K$26</xm:f>
          </x14:formula1>
          <xm:sqref>S4:S40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V197"/>
  <sheetViews>
    <sheetView showGridLines="0" zoomScaleNormal="100" zoomScaleSheetLayoutView="98" workbookViewId="0">
      <selection activeCell="B4" sqref="B4"/>
    </sheetView>
  </sheetViews>
  <sheetFormatPr defaultRowHeight="15" x14ac:dyDescent="0.25"/>
  <cols>
    <col min="1" max="1" width="1.28515625" customWidth="1"/>
    <col min="2" max="2" width="5.85546875" customWidth="1"/>
    <col min="3" max="3" width="17.140625" customWidth="1"/>
    <col min="4" max="4" width="9.28515625" customWidth="1"/>
    <col min="5" max="5" width="11" customWidth="1"/>
    <col min="6" max="6" width="8" customWidth="1"/>
    <col min="7" max="7" width="12.140625" customWidth="1"/>
    <col min="8" max="8" width="10.5703125" customWidth="1"/>
    <col min="9" max="9" width="7.7109375" customWidth="1"/>
    <col min="10" max="10" width="6" customWidth="1"/>
    <col min="11" max="11" width="4.7109375" customWidth="1"/>
    <col min="12" max="12" width="9.28515625" customWidth="1"/>
    <col min="13" max="14" width="4.7109375" customWidth="1"/>
    <col min="15" max="15" width="12.140625" customWidth="1"/>
    <col min="16" max="17" width="23.7109375" customWidth="1"/>
    <col min="18" max="18" width="8.7109375" customWidth="1"/>
    <col min="19" max="19" width="23.7109375" customWidth="1"/>
    <col min="20" max="22" width="11.7109375" customWidth="1"/>
    <col min="23" max="24" width="10.7109375" customWidth="1"/>
  </cols>
  <sheetData>
    <row r="1" spans="1:22" ht="18.75" customHeight="1" x14ac:dyDescent="0.25">
      <c r="B1" s="13" t="s">
        <v>28</v>
      </c>
      <c r="C1" s="14">
        <f>'Data Validation'!$C$4</f>
        <v>0</v>
      </c>
      <c r="D1" s="15" t="str">
        <f>IF(OR($C$1="",$C$1=0),"Enter Year in Data Validation tab",'Data Validation'!$C$2&amp;" July ")</f>
        <v>Enter Year in Data Validation tab</v>
      </c>
      <c r="E1" s="16"/>
      <c r="F1" s="16"/>
      <c r="G1" s="16"/>
      <c r="H1" s="16"/>
      <c r="I1" s="16"/>
      <c r="J1" s="16"/>
      <c r="K1" s="16"/>
      <c r="L1" s="16"/>
      <c r="M1" s="16"/>
      <c r="N1" s="4"/>
      <c r="O1" s="16"/>
      <c r="P1" s="16"/>
      <c r="Q1" s="16"/>
      <c r="R1" s="17" t="s">
        <v>59</v>
      </c>
      <c r="S1" s="14" t="str">
        <f>IF(COUNTIFS(July[Resident Name],"&lt;&gt;")=0,"No Data",COUNTIFS(July[Resident Name],"&lt;&gt;"))</f>
        <v>No Data</v>
      </c>
      <c r="T1" s="17" t="s">
        <v>62</v>
      </c>
      <c r="U1" s="14" t="str">
        <f>'Fall Rate and Census'!$T$36</f>
        <v>No Data</v>
      </c>
    </row>
    <row r="2" spans="1:22" ht="8.1" customHeight="1" x14ac:dyDescent="0.25">
      <c r="B2" s="18"/>
      <c r="C2" s="16"/>
      <c r="D2" s="16"/>
      <c r="E2" s="16"/>
      <c r="F2" s="16"/>
      <c r="G2" s="16"/>
      <c r="H2" s="16"/>
      <c r="I2" s="16"/>
      <c r="J2" s="16"/>
      <c r="K2" s="16"/>
      <c r="L2" s="16"/>
      <c r="M2" s="16"/>
      <c r="N2" s="16"/>
      <c r="O2" s="16"/>
      <c r="P2" s="16"/>
      <c r="Q2" s="16"/>
      <c r="R2" s="16"/>
    </row>
    <row r="3" spans="1:22" ht="22.35" customHeight="1" x14ac:dyDescent="0.25">
      <c r="B3" s="19" t="s">
        <v>104</v>
      </c>
      <c r="C3" s="19" t="s">
        <v>105</v>
      </c>
      <c r="D3" s="20" t="s">
        <v>0</v>
      </c>
      <c r="E3" s="20" t="s">
        <v>89</v>
      </c>
      <c r="F3" s="20" t="s">
        <v>84</v>
      </c>
      <c r="G3" s="20" t="s">
        <v>100</v>
      </c>
      <c r="H3" s="20" t="s">
        <v>90</v>
      </c>
      <c r="I3" s="20" t="s">
        <v>1</v>
      </c>
      <c r="J3" s="20" t="s">
        <v>2</v>
      </c>
      <c r="K3" s="20" t="s">
        <v>3</v>
      </c>
      <c r="L3" s="20" t="s">
        <v>33</v>
      </c>
      <c r="M3" s="20" t="s">
        <v>34</v>
      </c>
      <c r="N3" s="20" t="s">
        <v>26</v>
      </c>
      <c r="O3" s="20" t="s">
        <v>30</v>
      </c>
      <c r="P3" s="19" t="s">
        <v>158</v>
      </c>
      <c r="Q3" s="19" t="s">
        <v>80</v>
      </c>
      <c r="R3" s="20" t="s">
        <v>81</v>
      </c>
      <c r="S3" s="20" t="s">
        <v>92</v>
      </c>
      <c r="T3" s="12" t="s">
        <v>95</v>
      </c>
      <c r="U3" s="12" t="s">
        <v>94</v>
      </c>
      <c r="V3" s="12" t="s">
        <v>96</v>
      </c>
    </row>
    <row r="4" spans="1:22" ht="20.85" customHeight="1" x14ac:dyDescent="0.25">
      <c r="A4" s="21"/>
      <c r="B4" s="266"/>
      <c r="C4" s="5"/>
      <c r="D4" s="263"/>
      <c r="E4" s="263"/>
      <c r="F4" s="266"/>
      <c r="G4" s="267"/>
      <c r="H4" s="2"/>
      <c r="I4" s="2"/>
      <c r="J4" s="2"/>
      <c r="K4" s="24" t="str">
        <f>IF(July[[#This Row],[Date of Incident]]="","",TEXT(July[[#This Row],[Date of Incident]],"ddd"))</f>
        <v/>
      </c>
      <c r="L4" s="1"/>
      <c r="M4" s="24" t="str">
        <f>IFERROR(VLOOKUP(July[[#This Row],[Hour]],Shifts[],2,FALSE),"")</f>
        <v/>
      </c>
      <c r="N4" s="2"/>
      <c r="O4" s="24" t="str">
        <f>IFERROR(VLOOKUP(July[[#This Row],[BIMS Score]],BIMS[],2,FALSE),"")</f>
        <v/>
      </c>
      <c r="P4" s="3"/>
      <c r="Q4" s="3"/>
      <c r="R4" s="2"/>
      <c r="S4" s="168"/>
      <c r="T4" s="3"/>
      <c r="U4" s="3"/>
      <c r="V4" s="3"/>
    </row>
    <row r="5" spans="1:22" ht="20.85" customHeight="1" x14ac:dyDescent="0.25">
      <c r="A5" s="21"/>
      <c r="B5" s="266"/>
      <c r="C5" s="5"/>
      <c r="D5" s="263"/>
      <c r="E5" s="263"/>
      <c r="F5" s="266"/>
      <c r="G5" s="267"/>
      <c r="H5" s="2"/>
      <c r="I5" s="2"/>
      <c r="J5" s="2"/>
      <c r="K5" s="24" t="str">
        <f>IF(July[[#This Row],[Date of Incident]]="","",TEXT(July[[#This Row],[Date of Incident]],"ddd"))</f>
        <v/>
      </c>
      <c r="L5" s="1"/>
      <c r="M5" s="24" t="str">
        <f>IFERROR(VLOOKUP(July[[#This Row],[Hour]],Shifts[],2,FALSE),"")</f>
        <v/>
      </c>
      <c r="N5" s="2"/>
      <c r="O5" s="24" t="str">
        <f>IFERROR(VLOOKUP(July[[#This Row],[BIMS Score]],BIMS[],2,FALSE),"")</f>
        <v/>
      </c>
      <c r="P5" s="3"/>
      <c r="Q5" s="3"/>
      <c r="R5" s="2"/>
      <c r="S5" s="168"/>
      <c r="T5" s="3"/>
      <c r="U5" s="3"/>
      <c r="V5" s="3"/>
    </row>
    <row r="6" spans="1:22" ht="20.85" customHeight="1" x14ac:dyDescent="0.25">
      <c r="A6" s="21"/>
      <c r="B6" s="266"/>
      <c r="C6" s="5"/>
      <c r="D6" s="263"/>
      <c r="E6" s="263"/>
      <c r="F6" s="266"/>
      <c r="G6" s="267"/>
      <c r="H6" s="2"/>
      <c r="I6" s="2"/>
      <c r="J6" s="2"/>
      <c r="K6" s="24" t="str">
        <f>IF(July[[#This Row],[Date of Incident]]="","",TEXT(July[[#This Row],[Date of Incident]],"ddd"))</f>
        <v/>
      </c>
      <c r="L6" s="1"/>
      <c r="M6" s="24" t="str">
        <f>IFERROR(VLOOKUP(July[[#This Row],[Hour]],Shifts[],2,FALSE),"")</f>
        <v/>
      </c>
      <c r="N6" s="2"/>
      <c r="O6" s="24" t="str">
        <f>IFERROR(VLOOKUP(July[[#This Row],[BIMS Score]],BIMS[],2,FALSE),"")</f>
        <v/>
      </c>
      <c r="P6" s="3"/>
      <c r="Q6" s="3"/>
      <c r="R6" s="2"/>
      <c r="S6" s="168"/>
      <c r="T6" s="3"/>
      <c r="U6" s="3"/>
      <c r="V6" s="3"/>
    </row>
    <row r="7" spans="1:22" ht="20.85" customHeight="1" x14ac:dyDescent="0.25">
      <c r="A7" s="21"/>
      <c r="B7" s="266"/>
      <c r="C7" s="5"/>
      <c r="D7" s="263"/>
      <c r="E7" s="263"/>
      <c r="F7" s="266"/>
      <c r="G7" s="267"/>
      <c r="H7" s="2"/>
      <c r="I7" s="2"/>
      <c r="J7" s="2"/>
      <c r="K7" s="24" t="str">
        <f>IF(July[[#This Row],[Date of Incident]]="","",TEXT(July[[#This Row],[Date of Incident]],"ddd"))</f>
        <v/>
      </c>
      <c r="L7" s="1"/>
      <c r="M7" s="24" t="str">
        <f>IFERROR(VLOOKUP(July[[#This Row],[Hour]],Shifts[],2,FALSE),"")</f>
        <v/>
      </c>
      <c r="N7" s="2"/>
      <c r="O7" s="24" t="str">
        <f>IFERROR(VLOOKUP(July[[#This Row],[BIMS Score]],BIMS[],2,FALSE),"")</f>
        <v/>
      </c>
      <c r="P7" s="3"/>
      <c r="Q7" s="3"/>
      <c r="R7" s="2"/>
      <c r="S7" s="168"/>
      <c r="T7" s="3"/>
      <c r="U7" s="3"/>
      <c r="V7" s="3"/>
    </row>
    <row r="8" spans="1:22" ht="20.85" customHeight="1" x14ac:dyDescent="0.25">
      <c r="A8" s="21"/>
      <c r="B8" s="266"/>
      <c r="C8" s="5"/>
      <c r="D8" s="263"/>
      <c r="E8" s="263"/>
      <c r="F8" s="266"/>
      <c r="G8" s="267"/>
      <c r="H8" s="2"/>
      <c r="I8" s="2"/>
      <c r="J8" s="2"/>
      <c r="K8" s="24" t="str">
        <f>IF(July[[#This Row],[Date of Incident]]="","",TEXT(July[[#This Row],[Date of Incident]],"ddd"))</f>
        <v/>
      </c>
      <c r="L8" s="1"/>
      <c r="M8" s="24" t="str">
        <f>IFERROR(VLOOKUP(July[[#This Row],[Hour]],Shifts[],2,FALSE),"")</f>
        <v/>
      </c>
      <c r="N8" s="2"/>
      <c r="O8" s="24" t="str">
        <f>IFERROR(VLOOKUP(July[[#This Row],[BIMS Score]],BIMS[],2,FALSE),"")</f>
        <v/>
      </c>
      <c r="P8" s="3"/>
      <c r="Q8" s="3"/>
      <c r="R8" s="2"/>
      <c r="S8" s="168"/>
      <c r="T8" s="3"/>
      <c r="U8" s="3"/>
      <c r="V8" s="3"/>
    </row>
    <row r="9" spans="1:22" ht="20.85" customHeight="1" x14ac:dyDescent="0.25">
      <c r="A9" s="21"/>
      <c r="B9" s="266"/>
      <c r="C9" s="5"/>
      <c r="D9" s="263"/>
      <c r="E9" s="263"/>
      <c r="F9" s="266"/>
      <c r="G9" s="267"/>
      <c r="H9" s="2"/>
      <c r="I9" s="2"/>
      <c r="J9" s="2"/>
      <c r="K9" s="24" t="str">
        <f>IF(July[[#This Row],[Date of Incident]]="","",TEXT(July[[#This Row],[Date of Incident]],"ddd"))</f>
        <v/>
      </c>
      <c r="L9" s="1"/>
      <c r="M9" s="24" t="str">
        <f>IFERROR(VLOOKUP(July[[#This Row],[Hour]],Shifts[],2,FALSE),"")</f>
        <v/>
      </c>
      <c r="N9" s="2"/>
      <c r="O9" s="24" t="str">
        <f>IFERROR(VLOOKUP(July[[#This Row],[BIMS Score]],BIMS[],2,FALSE),"")</f>
        <v/>
      </c>
      <c r="P9" s="3"/>
      <c r="Q9" s="3"/>
      <c r="R9" s="2"/>
      <c r="S9" s="168"/>
      <c r="T9" s="3"/>
      <c r="U9" s="3"/>
      <c r="V9" s="3"/>
    </row>
    <row r="10" spans="1:22" ht="20.85" customHeight="1" x14ac:dyDescent="0.25">
      <c r="A10" s="21"/>
      <c r="B10" s="266"/>
      <c r="C10" s="5"/>
      <c r="D10" s="263"/>
      <c r="E10" s="263"/>
      <c r="F10" s="266"/>
      <c r="G10" s="267"/>
      <c r="H10" s="2"/>
      <c r="I10" s="2"/>
      <c r="J10" s="2"/>
      <c r="K10" s="24" t="str">
        <f>IF(July[[#This Row],[Date of Incident]]="","",TEXT(July[[#This Row],[Date of Incident]],"ddd"))</f>
        <v/>
      </c>
      <c r="L10" s="1"/>
      <c r="M10" s="24" t="str">
        <f>IFERROR(VLOOKUP(July[[#This Row],[Hour]],Shifts[],2,FALSE),"")</f>
        <v/>
      </c>
      <c r="N10" s="2"/>
      <c r="O10" s="24" t="str">
        <f>IFERROR(VLOOKUP(July[[#This Row],[BIMS Score]],BIMS[],2,FALSE),"")</f>
        <v/>
      </c>
      <c r="P10" s="3"/>
      <c r="Q10" s="3"/>
      <c r="R10" s="2"/>
      <c r="S10" s="168"/>
      <c r="T10" s="3"/>
      <c r="U10" s="3"/>
      <c r="V10" s="3"/>
    </row>
    <row r="11" spans="1:22" ht="20.85" customHeight="1" x14ac:dyDescent="0.25">
      <c r="A11" s="21"/>
      <c r="B11" s="266"/>
      <c r="C11" s="5"/>
      <c r="D11" s="263"/>
      <c r="E11" s="263"/>
      <c r="F11" s="266"/>
      <c r="G11" s="267"/>
      <c r="H11" s="2"/>
      <c r="I11" s="2"/>
      <c r="J11" s="2"/>
      <c r="K11" s="24" t="str">
        <f>IF(July[[#This Row],[Date of Incident]]="","",TEXT(July[[#This Row],[Date of Incident]],"ddd"))</f>
        <v/>
      </c>
      <c r="L11" s="1"/>
      <c r="M11" s="24" t="str">
        <f>IFERROR(VLOOKUP(July[[#This Row],[Hour]],Shifts[],2,FALSE),"")</f>
        <v/>
      </c>
      <c r="N11" s="2"/>
      <c r="O11" s="24" t="str">
        <f>IFERROR(VLOOKUP(July[[#This Row],[BIMS Score]],BIMS[],2,FALSE),"")</f>
        <v/>
      </c>
      <c r="P11" s="3"/>
      <c r="Q11" s="3"/>
      <c r="R11" s="2"/>
      <c r="S11" s="168"/>
      <c r="T11" s="3"/>
      <c r="U11" s="3"/>
      <c r="V11" s="3"/>
    </row>
    <row r="12" spans="1:22" ht="20.85" customHeight="1" x14ac:dyDescent="0.25">
      <c r="A12" s="21"/>
      <c r="B12" s="267"/>
      <c r="C12" s="5"/>
      <c r="D12" s="264"/>
      <c r="E12" s="263"/>
      <c r="F12" s="267"/>
      <c r="G12" s="267"/>
      <c r="H12" s="2"/>
      <c r="I12" s="2"/>
      <c r="J12" s="2"/>
      <c r="K12" s="24" t="str">
        <f>IF(July[[#This Row],[Date of Incident]]="","",TEXT(July[[#This Row],[Date of Incident]],"ddd"))</f>
        <v/>
      </c>
      <c r="L12" s="1"/>
      <c r="M12" s="24" t="str">
        <f>IFERROR(VLOOKUP(July[[#This Row],[Hour]],Shifts[],2,FALSE),"")</f>
        <v/>
      </c>
      <c r="N12" s="2"/>
      <c r="O12" s="24" t="str">
        <f>IFERROR(VLOOKUP(July[[#This Row],[BIMS Score]],BIMS[],2,FALSE),"")</f>
        <v/>
      </c>
      <c r="P12" s="3"/>
      <c r="Q12" s="3"/>
      <c r="R12" s="2"/>
      <c r="S12" s="168"/>
      <c r="T12" s="3"/>
      <c r="U12" s="3"/>
      <c r="V12" s="3"/>
    </row>
    <row r="13" spans="1:22" ht="20.85" customHeight="1" x14ac:dyDescent="0.25">
      <c r="A13" s="21"/>
      <c r="B13" s="267"/>
      <c r="C13" s="5"/>
      <c r="D13" s="264"/>
      <c r="E13" s="263"/>
      <c r="F13" s="267"/>
      <c r="G13" s="267"/>
      <c r="H13" s="2"/>
      <c r="I13" s="2"/>
      <c r="J13" s="2"/>
      <c r="K13" s="24" t="str">
        <f>IF(July[[#This Row],[Date of Incident]]="","",TEXT(July[[#This Row],[Date of Incident]],"ddd"))</f>
        <v/>
      </c>
      <c r="L13" s="1"/>
      <c r="M13" s="24" t="str">
        <f>IFERROR(VLOOKUP(July[[#This Row],[Hour]],Shifts[],2,FALSE),"")</f>
        <v/>
      </c>
      <c r="N13" s="2"/>
      <c r="O13" s="24" t="str">
        <f>IFERROR(VLOOKUP(July[[#This Row],[BIMS Score]],BIMS[],2,FALSE),"")</f>
        <v/>
      </c>
      <c r="P13" s="3"/>
      <c r="Q13" s="3"/>
      <c r="R13" s="2"/>
      <c r="S13" s="168"/>
      <c r="T13" s="3"/>
      <c r="U13" s="3"/>
      <c r="V13" s="3"/>
    </row>
    <row r="14" spans="1:22" ht="20.85" customHeight="1" x14ac:dyDescent="0.25">
      <c r="A14" s="21"/>
      <c r="B14" s="267"/>
      <c r="C14" s="5"/>
      <c r="D14" s="264"/>
      <c r="E14" s="263"/>
      <c r="F14" s="267"/>
      <c r="G14" s="267"/>
      <c r="H14" s="2"/>
      <c r="I14" s="2"/>
      <c r="J14" s="2"/>
      <c r="K14" s="24" t="str">
        <f>IF(July[[#This Row],[Date of Incident]]="","",TEXT(July[[#This Row],[Date of Incident]],"ddd"))</f>
        <v/>
      </c>
      <c r="L14" s="1"/>
      <c r="M14" s="24" t="str">
        <f>IFERROR(VLOOKUP(July[[#This Row],[Hour]],Shifts[],2,FALSE),"")</f>
        <v/>
      </c>
      <c r="N14" s="2"/>
      <c r="O14" s="24" t="str">
        <f>IFERROR(VLOOKUP(July[[#This Row],[BIMS Score]],BIMS[],2,FALSE),"")</f>
        <v/>
      </c>
      <c r="P14" s="3"/>
      <c r="Q14" s="3"/>
      <c r="R14" s="2"/>
      <c r="S14" s="168"/>
      <c r="T14" s="3"/>
      <c r="U14" s="3"/>
      <c r="V14" s="3"/>
    </row>
    <row r="15" spans="1:22" ht="20.85" customHeight="1" x14ac:dyDescent="0.25">
      <c r="A15" s="21"/>
      <c r="B15" s="267"/>
      <c r="C15" s="5"/>
      <c r="D15" s="264"/>
      <c r="E15" s="263"/>
      <c r="F15" s="267"/>
      <c r="G15" s="267"/>
      <c r="H15" s="2"/>
      <c r="I15" s="2"/>
      <c r="J15" s="2"/>
      <c r="K15" s="24" t="str">
        <f>IF(July[[#This Row],[Date of Incident]]="","",TEXT(July[[#This Row],[Date of Incident]],"ddd"))</f>
        <v/>
      </c>
      <c r="L15" s="1"/>
      <c r="M15" s="24" t="str">
        <f>IFERROR(VLOOKUP(July[[#This Row],[Hour]],Shifts[],2,FALSE),"")</f>
        <v/>
      </c>
      <c r="N15" s="2"/>
      <c r="O15" s="24" t="str">
        <f>IFERROR(VLOOKUP(July[[#This Row],[BIMS Score]],BIMS[],2,FALSE),"")</f>
        <v/>
      </c>
      <c r="P15" s="3"/>
      <c r="Q15" s="3"/>
      <c r="R15" s="2"/>
      <c r="S15" s="168"/>
      <c r="T15" s="3"/>
      <c r="U15" s="3"/>
      <c r="V15" s="3"/>
    </row>
    <row r="16" spans="1:22" ht="20.85" customHeight="1" x14ac:dyDescent="0.25">
      <c r="A16" s="21"/>
      <c r="B16" s="267"/>
      <c r="C16" s="3"/>
      <c r="D16" s="264"/>
      <c r="E16" s="264"/>
      <c r="F16" s="267"/>
      <c r="G16" s="267"/>
      <c r="H16" s="2"/>
      <c r="I16" s="2"/>
      <c r="J16" s="2"/>
      <c r="K16" s="24" t="str">
        <f>IF(July[[#This Row],[Date of Incident]]="","",TEXT(July[[#This Row],[Date of Incident]],"ddd"))</f>
        <v/>
      </c>
      <c r="L16" s="1"/>
      <c r="M16" s="24" t="str">
        <f>IFERROR(VLOOKUP(July[[#This Row],[Hour]],Shifts[],2,FALSE),"")</f>
        <v/>
      </c>
      <c r="N16" s="2"/>
      <c r="O16" s="24" t="str">
        <f>IFERROR(VLOOKUP(July[[#This Row],[BIMS Score]],BIMS[],2,FALSE),"")</f>
        <v/>
      </c>
      <c r="P16" s="3"/>
      <c r="Q16" s="3"/>
      <c r="R16" s="2"/>
      <c r="S16" s="168"/>
      <c r="T16" s="3"/>
      <c r="U16" s="3"/>
      <c r="V16" s="3"/>
    </row>
    <row r="17" spans="1:22" ht="20.85" customHeight="1" x14ac:dyDescent="0.25">
      <c r="A17" s="21"/>
      <c r="B17" s="267"/>
      <c r="C17" s="3"/>
      <c r="D17" s="264"/>
      <c r="E17" s="264"/>
      <c r="F17" s="267"/>
      <c r="G17" s="267"/>
      <c r="H17" s="2"/>
      <c r="I17" s="2"/>
      <c r="J17" s="2"/>
      <c r="K17" s="24" t="str">
        <f>IF(July[[#This Row],[Date of Incident]]="","",TEXT(July[[#This Row],[Date of Incident]],"ddd"))</f>
        <v/>
      </c>
      <c r="L17" s="1"/>
      <c r="M17" s="24" t="str">
        <f>IFERROR(VLOOKUP(July[[#This Row],[Hour]],Shifts[],2,FALSE),"")</f>
        <v/>
      </c>
      <c r="N17" s="2"/>
      <c r="O17" s="24" t="str">
        <f>IFERROR(VLOOKUP(July[[#This Row],[BIMS Score]],BIMS[],2,FALSE),"")</f>
        <v/>
      </c>
      <c r="P17" s="3"/>
      <c r="Q17" s="3"/>
      <c r="R17" s="2"/>
      <c r="S17" s="168"/>
      <c r="T17" s="3"/>
      <c r="U17" s="3"/>
      <c r="V17" s="3"/>
    </row>
    <row r="18" spans="1:22" ht="20.85" customHeight="1" x14ac:dyDescent="0.25">
      <c r="A18" s="21"/>
      <c r="B18" s="267"/>
      <c r="C18" s="3"/>
      <c r="D18" s="264"/>
      <c r="E18" s="264"/>
      <c r="F18" s="267"/>
      <c r="G18" s="267"/>
      <c r="H18" s="2"/>
      <c r="I18" s="2"/>
      <c r="J18" s="2"/>
      <c r="K18" s="24" t="str">
        <f>IF(July[[#This Row],[Date of Incident]]="","",TEXT(July[[#This Row],[Date of Incident]],"ddd"))</f>
        <v/>
      </c>
      <c r="L18" s="1"/>
      <c r="M18" s="24" t="str">
        <f>IFERROR(VLOOKUP(July[[#This Row],[Hour]],Shifts[],2,FALSE),"")</f>
        <v/>
      </c>
      <c r="N18" s="2"/>
      <c r="O18" s="24" t="str">
        <f>IFERROR(VLOOKUP(July[[#This Row],[BIMS Score]],BIMS[],2,FALSE),"")</f>
        <v/>
      </c>
      <c r="P18" s="3"/>
      <c r="Q18" s="3"/>
      <c r="R18" s="2"/>
      <c r="S18" s="168"/>
      <c r="T18" s="3"/>
      <c r="U18" s="3"/>
      <c r="V18" s="3"/>
    </row>
    <row r="19" spans="1:22" ht="20.85" customHeight="1" x14ac:dyDescent="0.25">
      <c r="A19" s="21"/>
      <c r="B19" s="267"/>
      <c r="C19" s="3"/>
      <c r="D19" s="264"/>
      <c r="E19" s="264"/>
      <c r="F19" s="267"/>
      <c r="G19" s="267"/>
      <c r="H19" s="2"/>
      <c r="I19" s="2"/>
      <c r="J19" s="2"/>
      <c r="K19" s="24" t="str">
        <f>IF(July[[#This Row],[Date of Incident]]="","",TEXT(July[[#This Row],[Date of Incident]],"ddd"))</f>
        <v/>
      </c>
      <c r="L19" s="1"/>
      <c r="M19" s="24" t="str">
        <f>IFERROR(VLOOKUP(July[[#This Row],[Hour]],Shifts[],2,FALSE),"")</f>
        <v/>
      </c>
      <c r="N19" s="2"/>
      <c r="O19" s="24" t="str">
        <f>IFERROR(VLOOKUP(July[[#This Row],[BIMS Score]],BIMS[],2,FALSE),"")</f>
        <v/>
      </c>
      <c r="P19" s="3"/>
      <c r="Q19" s="3"/>
      <c r="R19" s="2"/>
      <c r="S19" s="168"/>
      <c r="T19" s="3"/>
      <c r="U19" s="3"/>
      <c r="V19" s="3"/>
    </row>
    <row r="20" spans="1:22" ht="20.85" customHeight="1" x14ac:dyDescent="0.25">
      <c r="A20" s="21"/>
      <c r="B20" s="267"/>
      <c r="C20" s="3"/>
      <c r="D20" s="264"/>
      <c r="E20" s="264"/>
      <c r="F20" s="267"/>
      <c r="G20" s="267"/>
      <c r="H20" s="2"/>
      <c r="I20" s="2"/>
      <c r="J20" s="2"/>
      <c r="K20" s="24" t="str">
        <f>IF(July[[#This Row],[Date of Incident]]="","",TEXT(July[[#This Row],[Date of Incident]],"ddd"))</f>
        <v/>
      </c>
      <c r="L20" s="1"/>
      <c r="M20" s="24" t="str">
        <f>IFERROR(VLOOKUP(July[[#This Row],[Hour]],Shifts[],2,FALSE),"")</f>
        <v/>
      </c>
      <c r="N20" s="2"/>
      <c r="O20" s="24" t="str">
        <f>IFERROR(VLOOKUP(July[[#This Row],[BIMS Score]],BIMS[],2,FALSE),"")</f>
        <v/>
      </c>
      <c r="P20" s="3"/>
      <c r="Q20" s="3"/>
      <c r="R20" s="2"/>
      <c r="S20" s="168"/>
      <c r="T20" s="3"/>
      <c r="U20" s="3"/>
      <c r="V20" s="3"/>
    </row>
    <row r="21" spans="1:22" ht="20.85" customHeight="1" x14ac:dyDescent="0.25">
      <c r="A21" s="21"/>
      <c r="B21" s="267"/>
      <c r="C21" s="3"/>
      <c r="D21" s="264"/>
      <c r="E21" s="264"/>
      <c r="F21" s="267"/>
      <c r="G21" s="267"/>
      <c r="H21" s="2"/>
      <c r="I21" s="2"/>
      <c r="J21" s="2"/>
      <c r="K21" s="24" t="str">
        <f>IF(July[[#This Row],[Date of Incident]]="","",TEXT(July[[#This Row],[Date of Incident]],"ddd"))</f>
        <v/>
      </c>
      <c r="L21" s="1"/>
      <c r="M21" s="24" t="str">
        <f>IFERROR(VLOOKUP(July[[#This Row],[Hour]],Shifts[],2,FALSE),"")</f>
        <v/>
      </c>
      <c r="N21" s="2"/>
      <c r="O21" s="24" t="str">
        <f>IFERROR(VLOOKUP(July[[#This Row],[BIMS Score]],BIMS[],2,FALSE),"")</f>
        <v/>
      </c>
      <c r="P21" s="3"/>
      <c r="Q21" s="3"/>
      <c r="R21" s="2"/>
      <c r="S21" s="168"/>
      <c r="T21" s="3"/>
      <c r="U21" s="3"/>
      <c r="V21" s="3"/>
    </row>
    <row r="22" spans="1:22" ht="20.85" customHeight="1" x14ac:dyDescent="0.25">
      <c r="A22" s="21"/>
      <c r="B22" s="267"/>
      <c r="C22" s="3"/>
      <c r="D22" s="264"/>
      <c r="E22" s="264"/>
      <c r="F22" s="267"/>
      <c r="G22" s="267"/>
      <c r="H22" s="2"/>
      <c r="I22" s="2"/>
      <c r="J22" s="2"/>
      <c r="K22" s="24" t="str">
        <f>IF(July[[#This Row],[Date of Incident]]="","",TEXT(July[[#This Row],[Date of Incident]],"ddd"))</f>
        <v/>
      </c>
      <c r="L22" s="1"/>
      <c r="M22" s="24" t="str">
        <f>IFERROR(VLOOKUP(July[[#This Row],[Hour]],Shifts[],2,FALSE),"")</f>
        <v/>
      </c>
      <c r="N22" s="1"/>
      <c r="O22" s="24" t="str">
        <f>IFERROR(VLOOKUP(July[[#This Row],[BIMS Score]],BIMS[],2,FALSE),"")</f>
        <v/>
      </c>
      <c r="P22" s="3"/>
      <c r="Q22" s="3"/>
      <c r="R22" s="2"/>
      <c r="S22" s="168"/>
      <c r="T22" s="3"/>
      <c r="U22" s="3"/>
      <c r="V22" s="3"/>
    </row>
    <row r="23" spans="1:22" ht="20.85" customHeight="1" x14ac:dyDescent="0.25">
      <c r="A23" s="21"/>
      <c r="B23" s="267"/>
      <c r="C23" s="3"/>
      <c r="D23" s="264"/>
      <c r="E23" s="264"/>
      <c r="F23" s="267"/>
      <c r="G23" s="267"/>
      <c r="H23" s="2"/>
      <c r="I23" s="2"/>
      <c r="J23" s="2"/>
      <c r="K23" s="24" t="str">
        <f>IF(July[[#This Row],[Date of Incident]]="","",TEXT(July[[#This Row],[Date of Incident]],"ddd"))</f>
        <v/>
      </c>
      <c r="L23" s="1"/>
      <c r="M23" s="24" t="str">
        <f>IFERROR(VLOOKUP(July[[#This Row],[Hour]],Shifts[],2,FALSE),"")</f>
        <v/>
      </c>
      <c r="N23" s="1"/>
      <c r="O23" s="24" t="str">
        <f>IFERROR(VLOOKUP(July[[#This Row],[BIMS Score]],BIMS[],2,FALSE),"")</f>
        <v/>
      </c>
      <c r="P23" s="3"/>
      <c r="Q23" s="3"/>
      <c r="R23" s="2"/>
      <c r="S23" s="168"/>
      <c r="T23" s="3"/>
      <c r="U23" s="3"/>
      <c r="V23" s="3"/>
    </row>
    <row r="24" spans="1:22" s="10" customFormat="1" ht="20.85" customHeight="1" x14ac:dyDescent="0.25">
      <c r="A24" s="26"/>
      <c r="B24" s="266"/>
      <c r="C24" s="5"/>
      <c r="D24" s="263"/>
      <c r="E24" s="263"/>
      <c r="F24" s="267"/>
      <c r="G24" s="267"/>
      <c r="H24" s="1"/>
      <c r="I24" s="1"/>
      <c r="J24" s="1"/>
      <c r="K24" s="24" t="str">
        <f>IF(July[[#This Row],[Date of Incident]]="","",TEXT(July[[#This Row],[Date of Incident]],"ddd"))</f>
        <v/>
      </c>
      <c r="L24" s="1"/>
      <c r="M24" s="24" t="str">
        <f>IFERROR(VLOOKUP(July[[#This Row],[Hour]],Shifts[],2,FALSE),"")</f>
        <v/>
      </c>
      <c r="N24" s="1"/>
      <c r="O24" s="24" t="str">
        <f>IFERROR(VLOOKUP(July[[#This Row],[BIMS Score]],BIMS[],2,FALSE),"")</f>
        <v/>
      </c>
      <c r="P24" s="3"/>
      <c r="Q24" s="3"/>
      <c r="R24" s="2"/>
      <c r="S24" s="168"/>
      <c r="T24" s="5"/>
      <c r="U24" s="5"/>
      <c r="V24" s="3"/>
    </row>
    <row r="25" spans="1:22" ht="20.85" customHeight="1" x14ac:dyDescent="0.25">
      <c r="A25" s="21"/>
      <c r="B25" s="266"/>
      <c r="C25" s="5"/>
      <c r="D25" s="263"/>
      <c r="E25" s="263"/>
      <c r="F25" s="267"/>
      <c r="G25" s="267"/>
      <c r="H25" s="1"/>
      <c r="I25" s="1"/>
      <c r="J25" s="1"/>
      <c r="K25" s="24" t="str">
        <f>IF(July[[#This Row],[Date of Incident]]="","",TEXT(July[[#This Row],[Date of Incident]],"ddd"))</f>
        <v/>
      </c>
      <c r="L25" s="1"/>
      <c r="M25" s="24" t="str">
        <f>IFERROR(VLOOKUP(July[[#This Row],[Hour]],Shifts[],2,FALSE),"")</f>
        <v/>
      </c>
      <c r="N25" s="1"/>
      <c r="O25" s="24" t="str">
        <f>IFERROR(VLOOKUP(July[[#This Row],[BIMS Score]],BIMS[],2,FALSE),"")</f>
        <v/>
      </c>
      <c r="P25" s="3"/>
      <c r="Q25" s="3"/>
      <c r="R25" s="2"/>
      <c r="S25" s="168"/>
      <c r="T25" s="5"/>
      <c r="U25" s="5"/>
      <c r="V25" s="3"/>
    </row>
    <row r="26" spans="1:22" ht="20.85" customHeight="1" x14ac:dyDescent="0.25">
      <c r="A26" s="21"/>
      <c r="B26" s="266"/>
      <c r="C26" s="5"/>
      <c r="D26" s="263"/>
      <c r="E26" s="263"/>
      <c r="F26" s="267"/>
      <c r="G26" s="267"/>
      <c r="H26" s="1"/>
      <c r="I26" s="1"/>
      <c r="J26" s="1"/>
      <c r="K26" s="24" t="str">
        <f>IF(July[[#This Row],[Date of Incident]]="","",TEXT(July[[#This Row],[Date of Incident]],"ddd"))</f>
        <v/>
      </c>
      <c r="L26" s="1"/>
      <c r="M26" s="24" t="str">
        <f>IFERROR(VLOOKUP(July[[#This Row],[Hour]],Shifts[],2,FALSE),"")</f>
        <v/>
      </c>
      <c r="N26" s="1"/>
      <c r="O26" s="24" t="str">
        <f>IFERROR(VLOOKUP(July[[#This Row],[BIMS Score]],BIMS[],2,FALSE),"")</f>
        <v/>
      </c>
      <c r="P26" s="3"/>
      <c r="Q26" s="3"/>
      <c r="R26" s="2"/>
      <c r="S26" s="168"/>
      <c r="T26" s="5"/>
      <c r="U26" s="5"/>
      <c r="V26" s="3"/>
    </row>
    <row r="27" spans="1:22" ht="20.85" customHeight="1" x14ac:dyDescent="0.25">
      <c r="A27" s="21"/>
      <c r="B27" s="266"/>
      <c r="C27" s="5"/>
      <c r="D27" s="263"/>
      <c r="E27" s="263"/>
      <c r="F27" s="267"/>
      <c r="G27" s="267"/>
      <c r="H27" s="1"/>
      <c r="I27" s="1"/>
      <c r="J27" s="1"/>
      <c r="K27" s="24" t="str">
        <f>IF(July[[#This Row],[Date of Incident]]="","",TEXT(July[[#This Row],[Date of Incident]],"ddd"))</f>
        <v/>
      </c>
      <c r="L27" s="1"/>
      <c r="M27" s="24" t="str">
        <f>IFERROR(VLOOKUP(July[[#This Row],[Hour]],Shifts[],2,FALSE),"")</f>
        <v/>
      </c>
      <c r="N27" s="1"/>
      <c r="O27" s="24" t="str">
        <f>IFERROR(VLOOKUP(July[[#This Row],[BIMS Score]],BIMS[],2,FALSE),"")</f>
        <v/>
      </c>
      <c r="P27" s="3"/>
      <c r="Q27" s="3"/>
      <c r="R27" s="2"/>
      <c r="S27" s="168"/>
      <c r="T27" s="5"/>
      <c r="U27" s="5"/>
      <c r="V27" s="3"/>
    </row>
    <row r="28" spans="1:22" ht="20.85" customHeight="1" x14ac:dyDescent="0.25">
      <c r="A28" s="21"/>
      <c r="B28" s="266"/>
      <c r="C28" s="5"/>
      <c r="D28" s="263"/>
      <c r="E28" s="263"/>
      <c r="F28" s="267"/>
      <c r="G28" s="267"/>
      <c r="H28" s="1"/>
      <c r="I28" s="1"/>
      <c r="J28" s="1"/>
      <c r="K28" s="24" t="str">
        <f>IF(July[[#This Row],[Date of Incident]]="","",TEXT(July[[#This Row],[Date of Incident]],"ddd"))</f>
        <v/>
      </c>
      <c r="L28" s="1"/>
      <c r="M28" s="24" t="str">
        <f>IFERROR(VLOOKUP(July[[#This Row],[Hour]],Shifts[],2,FALSE),"")</f>
        <v/>
      </c>
      <c r="N28" s="1"/>
      <c r="O28" s="24" t="str">
        <f>IFERROR(VLOOKUP(July[[#This Row],[BIMS Score]],BIMS[],2,FALSE),"")</f>
        <v/>
      </c>
      <c r="P28" s="3"/>
      <c r="Q28" s="3"/>
      <c r="R28" s="2"/>
      <c r="S28" s="168"/>
      <c r="T28" s="5"/>
      <c r="U28" s="5"/>
      <c r="V28" s="3"/>
    </row>
    <row r="29" spans="1:22" ht="20.85" customHeight="1" x14ac:dyDescent="0.25">
      <c r="B29" s="266"/>
      <c r="C29" s="5"/>
      <c r="D29" s="263"/>
      <c r="E29" s="263"/>
      <c r="F29" s="267"/>
      <c r="G29" s="267"/>
      <c r="H29" s="1"/>
      <c r="I29" s="1"/>
      <c r="J29" s="1"/>
      <c r="K29" s="27" t="str">
        <f>IF(July[[#This Row],[Date of Incident]]="","",TEXT(July[[#This Row],[Date of Incident]],"ddd"))</f>
        <v/>
      </c>
      <c r="L29" s="1"/>
      <c r="M29" s="27" t="str">
        <f>IFERROR(VLOOKUP(July[[#This Row],[Hour]],Shifts[],2,FALSE),"")</f>
        <v/>
      </c>
      <c r="N29" s="2"/>
      <c r="O29" s="24" t="str">
        <f>IFERROR(VLOOKUP(July[[#This Row],[BIMS Score]],BIMS[],2,FALSE),"")</f>
        <v/>
      </c>
      <c r="P29" s="3"/>
      <c r="Q29" s="3"/>
      <c r="R29" s="2"/>
      <c r="S29" s="168"/>
      <c r="T29" s="5"/>
      <c r="U29" s="5"/>
      <c r="V29" s="5"/>
    </row>
    <row r="30" spans="1:22" ht="20.85" customHeight="1" x14ac:dyDescent="0.25">
      <c r="B30" s="266"/>
      <c r="C30" s="5"/>
      <c r="D30" s="263"/>
      <c r="E30" s="263"/>
      <c r="F30" s="267"/>
      <c r="G30" s="267"/>
      <c r="H30" s="1"/>
      <c r="I30" s="1"/>
      <c r="J30" s="1"/>
      <c r="K30" s="27" t="str">
        <f>IF(July[[#This Row],[Date of Incident]]="","",TEXT(July[[#This Row],[Date of Incident]],"ddd"))</f>
        <v/>
      </c>
      <c r="L30" s="1"/>
      <c r="M30" s="27" t="str">
        <f>IFERROR(VLOOKUP(July[[#This Row],[Hour]],Shifts[],2,FALSE),"")</f>
        <v/>
      </c>
      <c r="N30" s="2"/>
      <c r="O30" s="24" t="str">
        <f>IFERROR(VLOOKUP(July[[#This Row],[BIMS Score]],BIMS[],2,FALSE),"")</f>
        <v/>
      </c>
      <c r="P30" s="3"/>
      <c r="Q30" s="3"/>
      <c r="R30" s="2"/>
      <c r="S30" s="168"/>
      <c r="T30" s="5"/>
      <c r="U30" s="5"/>
      <c r="V30" s="5"/>
    </row>
    <row r="31" spans="1:22" ht="20.85" customHeight="1" x14ac:dyDescent="0.25">
      <c r="B31" s="266"/>
      <c r="C31" s="5"/>
      <c r="D31" s="263"/>
      <c r="E31" s="263"/>
      <c r="F31" s="267"/>
      <c r="G31" s="267"/>
      <c r="H31" s="1"/>
      <c r="I31" s="1"/>
      <c r="J31" s="1"/>
      <c r="K31" s="27" t="str">
        <f>IF(July[[#This Row],[Date of Incident]]="","",TEXT(July[[#This Row],[Date of Incident]],"ddd"))</f>
        <v/>
      </c>
      <c r="L31" s="1"/>
      <c r="M31" s="27" t="str">
        <f>IFERROR(VLOOKUP(July[[#This Row],[Hour]],Shifts[],2,FALSE),"")</f>
        <v/>
      </c>
      <c r="N31" s="2"/>
      <c r="O31" s="24" t="str">
        <f>IFERROR(VLOOKUP(July[[#This Row],[BIMS Score]],BIMS[],2,FALSE),"")</f>
        <v/>
      </c>
      <c r="P31" s="3"/>
      <c r="Q31" s="3"/>
      <c r="R31" s="2"/>
      <c r="S31" s="168"/>
      <c r="T31" s="5"/>
      <c r="U31" s="5"/>
      <c r="V31" s="5"/>
    </row>
    <row r="32" spans="1:22" ht="20.85" customHeight="1" x14ac:dyDescent="0.25">
      <c r="B32" s="266"/>
      <c r="C32" s="5"/>
      <c r="D32" s="263"/>
      <c r="E32" s="263"/>
      <c r="F32" s="267"/>
      <c r="G32" s="267"/>
      <c r="H32" s="1"/>
      <c r="I32" s="1"/>
      <c r="J32" s="1"/>
      <c r="K32" s="27" t="str">
        <f>IF(July[[#This Row],[Date of Incident]]="","",TEXT(July[[#This Row],[Date of Incident]],"ddd"))</f>
        <v/>
      </c>
      <c r="L32" s="1"/>
      <c r="M32" s="27" t="str">
        <f>IFERROR(VLOOKUP(July[[#This Row],[Hour]],Shifts[],2,FALSE),"")</f>
        <v/>
      </c>
      <c r="N32" s="2"/>
      <c r="O32" s="24" t="str">
        <f>IFERROR(VLOOKUP(July[[#This Row],[BIMS Score]],BIMS[],2,FALSE),"")</f>
        <v/>
      </c>
      <c r="P32" s="3"/>
      <c r="Q32" s="3"/>
      <c r="R32" s="2"/>
      <c r="S32" s="168"/>
      <c r="T32" s="5"/>
      <c r="U32" s="5"/>
      <c r="V32" s="5"/>
    </row>
    <row r="33" spans="2:22" ht="20.85" customHeight="1" x14ac:dyDescent="0.25">
      <c r="B33" s="266"/>
      <c r="C33" s="5"/>
      <c r="D33" s="263"/>
      <c r="E33" s="263"/>
      <c r="F33" s="267"/>
      <c r="G33" s="267"/>
      <c r="H33" s="1"/>
      <c r="I33" s="1"/>
      <c r="J33" s="1"/>
      <c r="K33" s="27" t="str">
        <f>IF(July[[#This Row],[Date of Incident]]="","",TEXT(July[[#This Row],[Date of Incident]],"ddd"))</f>
        <v/>
      </c>
      <c r="L33" s="1"/>
      <c r="M33" s="27" t="str">
        <f>IFERROR(VLOOKUP(July[[#This Row],[Hour]],Shifts[],2,FALSE),"")</f>
        <v/>
      </c>
      <c r="N33" s="2"/>
      <c r="O33" s="24" t="str">
        <f>IFERROR(VLOOKUP(July[[#This Row],[BIMS Score]],BIMS[],2,FALSE),"")</f>
        <v/>
      </c>
      <c r="P33" s="3"/>
      <c r="Q33" s="3"/>
      <c r="R33" s="2"/>
      <c r="S33" s="168"/>
      <c r="T33" s="5"/>
      <c r="U33" s="5"/>
      <c r="V33" s="5"/>
    </row>
    <row r="34" spans="2:22" ht="20.85" customHeight="1" x14ac:dyDescent="0.25">
      <c r="B34" s="266"/>
      <c r="C34" s="5"/>
      <c r="D34" s="263"/>
      <c r="E34" s="263"/>
      <c r="F34" s="267"/>
      <c r="G34" s="267"/>
      <c r="H34" s="1"/>
      <c r="I34" s="1"/>
      <c r="J34" s="1"/>
      <c r="K34" s="27" t="str">
        <f>IF(July[[#This Row],[Date of Incident]]="","",TEXT(July[[#This Row],[Date of Incident]],"ddd"))</f>
        <v/>
      </c>
      <c r="L34" s="1"/>
      <c r="M34" s="27" t="str">
        <f>IFERROR(VLOOKUP(July[[#This Row],[Hour]],Shifts[],2,FALSE),"")</f>
        <v/>
      </c>
      <c r="N34" s="2"/>
      <c r="O34" s="24" t="str">
        <f>IFERROR(VLOOKUP(July[[#This Row],[BIMS Score]],BIMS[],2,FALSE),"")</f>
        <v/>
      </c>
      <c r="P34" s="3"/>
      <c r="Q34" s="3"/>
      <c r="R34" s="2"/>
      <c r="S34" s="168"/>
      <c r="T34" s="5"/>
      <c r="U34" s="5"/>
      <c r="V34" s="5"/>
    </row>
    <row r="35" spans="2:22" ht="20.85" customHeight="1" x14ac:dyDescent="0.25">
      <c r="B35" s="266"/>
      <c r="C35" s="5"/>
      <c r="D35" s="263"/>
      <c r="E35" s="263"/>
      <c r="F35" s="267"/>
      <c r="G35" s="267"/>
      <c r="H35" s="1"/>
      <c r="I35" s="1"/>
      <c r="J35" s="1"/>
      <c r="K35" s="27" t="str">
        <f>IF(July[[#This Row],[Date of Incident]]="","",TEXT(July[[#This Row],[Date of Incident]],"ddd"))</f>
        <v/>
      </c>
      <c r="L35" s="1"/>
      <c r="M35" s="27" t="str">
        <f>IFERROR(VLOOKUP(July[[#This Row],[Hour]],Shifts[],2,FALSE),"")</f>
        <v/>
      </c>
      <c r="N35" s="2"/>
      <c r="O35" s="24" t="str">
        <f>IFERROR(VLOOKUP(July[[#This Row],[BIMS Score]],BIMS[],2,FALSE),"")</f>
        <v/>
      </c>
      <c r="P35" s="3"/>
      <c r="Q35" s="3"/>
      <c r="R35" s="2"/>
      <c r="S35" s="168"/>
      <c r="T35" s="5"/>
      <c r="U35" s="5"/>
      <c r="V35" s="5"/>
    </row>
    <row r="36" spans="2:22" ht="20.85" customHeight="1" x14ac:dyDescent="0.25">
      <c r="B36" s="266"/>
      <c r="C36" s="5"/>
      <c r="D36" s="263"/>
      <c r="E36" s="263"/>
      <c r="F36" s="267"/>
      <c r="G36" s="267"/>
      <c r="H36" s="1"/>
      <c r="I36" s="1"/>
      <c r="J36" s="1"/>
      <c r="K36" s="27" t="str">
        <f>IF(July[[#This Row],[Date of Incident]]="","",TEXT(July[[#This Row],[Date of Incident]],"ddd"))</f>
        <v/>
      </c>
      <c r="L36" s="1"/>
      <c r="M36" s="27" t="str">
        <f>IFERROR(VLOOKUP(July[[#This Row],[Hour]],Shifts[],2,FALSE),"")</f>
        <v/>
      </c>
      <c r="N36" s="2"/>
      <c r="O36" s="24" t="str">
        <f>IFERROR(VLOOKUP(July[[#This Row],[BIMS Score]],BIMS[],2,FALSE),"")</f>
        <v/>
      </c>
      <c r="P36" s="3"/>
      <c r="Q36" s="3"/>
      <c r="R36" s="2"/>
      <c r="S36" s="168"/>
      <c r="T36" s="5"/>
      <c r="U36" s="5"/>
      <c r="V36" s="5"/>
    </row>
    <row r="37" spans="2:22" ht="20.85" customHeight="1" x14ac:dyDescent="0.25">
      <c r="B37" s="266"/>
      <c r="C37" s="5"/>
      <c r="D37" s="263"/>
      <c r="E37" s="263"/>
      <c r="F37" s="267"/>
      <c r="G37" s="267"/>
      <c r="H37" s="1"/>
      <c r="I37" s="1"/>
      <c r="J37" s="1"/>
      <c r="K37" s="27" t="str">
        <f>IF(July[[#This Row],[Date of Incident]]="","",TEXT(July[[#This Row],[Date of Incident]],"ddd"))</f>
        <v/>
      </c>
      <c r="L37" s="1"/>
      <c r="M37" s="27" t="str">
        <f>IFERROR(VLOOKUP(July[[#This Row],[Hour]],Shifts[],2,FALSE),"")</f>
        <v/>
      </c>
      <c r="N37" s="2"/>
      <c r="O37" s="24" t="str">
        <f>IFERROR(VLOOKUP(July[[#This Row],[BIMS Score]],BIMS[],2,FALSE),"")</f>
        <v/>
      </c>
      <c r="P37" s="3"/>
      <c r="Q37" s="3"/>
      <c r="R37" s="2"/>
      <c r="S37" s="168"/>
      <c r="T37" s="5"/>
      <c r="U37" s="5"/>
      <c r="V37" s="5"/>
    </row>
    <row r="38" spans="2:22" ht="20.85" customHeight="1" x14ac:dyDescent="0.25">
      <c r="B38" s="266"/>
      <c r="C38" s="5"/>
      <c r="D38" s="263"/>
      <c r="E38" s="263"/>
      <c r="F38" s="267"/>
      <c r="G38" s="267"/>
      <c r="H38" s="1"/>
      <c r="I38" s="1"/>
      <c r="J38" s="1"/>
      <c r="K38" s="27" t="str">
        <f>IF(July[[#This Row],[Date of Incident]]="","",TEXT(July[[#This Row],[Date of Incident]],"ddd"))</f>
        <v/>
      </c>
      <c r="L38" s="1"/>
      <c r="M38" s="27" t="str">
        <f>IFERROR(VLOOKUP(July[[#This Row],[Hour]],Shifts[],2,FALSE),"")</f>
        <v/>
      </c>
      <c r="N38" s="2"/>
      <c r="O38" s="24" t="str">
        <f>IFERROR(VLOOKUP(July[[#This Row],[BIMS Score]],BIMS[],2,FALSE),"")</f>
        <v/>
      </c>
      <c r="P38" s="3"/>
      <c r="Q38" s="3"/>
      <c r="R38" s="2"/>
      <c r="S38" s="168"/>
      <c r="T38" s="5"/>
      <c r="U38" s="5"/>
      <c r="V38" s="5"/>
    </row>
    <row r="39" spans="2:22" ht="20.85" customHeight="1" x14ac:dyDescent="0.25">
      <c r="B39" s="266"/>
      <c r="C39" s="5"/>
      <c r="D39" s="263"/>
      <c r="E39" s="263"/>
      <c r="F39" s="267"/>
      <c r="G39" s="267"/>
      <c r="H39" s="1"/>
      <c r="I39" s="1"/>
      <c r="J39" s="1"/>
      <c r="K39" s="27" t="str">
        <f>IF(July[[#This Row],[Date of Incident]]="","",TEXT(July[[#This Row],[Date of Incident]],"ddd"))</f>
        <v/>
      </c>
      <c r="L39" s="1"/>
      <c r="M39" s="27" t="str">
        <f>IFERROR(VLOOKUP(July[[#This Row],[Hour]],Shifts[],2,FALSE),"")</f>
        <v/>
      </c>
      <c r="N39" s="2"/>
      <c r="O39" s="24" t="str">
        <f>IFERROR(VLOOKUP(July[[#This Row],[BIMS Score]],BIMS[],2,FALSE),"")</f>
        <v/>
      </c>
      <c r="P39" s="3"/>
      <c r="Q39" s="3"/>
      <c r="R39" s="2"/>
      <c r="S39" s="168"/>
      <c r="T39" s="5"/>
      <c r="U39" s="5"/>
      <c r="V39" s="5"/>
    </row>
    <row r="40" spans="2:22" ht="20.85" customHeight="1" x14ac:dyDescent="0.25">
      <c r="B40" s="266"/>
      <c r="C40" s="5"/>
      <c r="D40" s="263"/>
      <c r="E40" s="263"/>
      <c r="F40" s="267"/>
      <c r="G40" s="267"/>
      <c r="H40" s="1"/>
      <c r="I40" s="1"/>
      <c r="J40" s="1"/>
      <c r="K40" s="27" t="str">
        <f>IF(July[[#This Row],[Date of Incident]]="","",TEXT(July[[#This Row],[Date of Incident]],"ddd"))</f>
        <v/>
      </c>
      <c r="L40" s="1"/>
      <c r="M40" s="27" t="str">
        <f>IFERROR(VLOOKUP(July[[#This Row],[Hour]],Shifts[],2,FALSE),"")</f>
        <v/>
      </c>
      <c r="N40" s="2"/>
      <c r="O40" s="24" t="str">
        <f>IFERROR(VLOOKUP(July[[#This Row],[BIMS Score]],BIMS[],2,FALSE),"")</f>
        <v/>
      </c>
      <c r="P40" s="3"/>
      <c r="Q40" s="3"/>
      <c r="R40" s="2"/>
      <c r="S40" s="168"/>
      <c r="T40" s="5"/>
      <c r="U40" s="5"/>
      <c r="V40" s="5"/>
    </row>
    <row r="41" spans="2:22" x14ac:dyDescent="0.25">
      <c r="B41" s="26"/>
      <c r="C41" s="21"/>
      <c r="D41" s="22"/>
      <c r="E41" s="23"/>
      <c r="F41" s="26"/>
      <c r="G41" s="26"/>
      <c r="H41" s="26"/>
      <c r="I41" s="26"/>
      <c r="J41" s="26"/>
      <c r="K41" s="26"/>
      <c r="L41" s="26"/>
      <c r="M41" s="26"/>
      <c r="N41" s="20"/>
      <c r="O41" s="25"/>
      <c r="P41" s="21"/>
      <c r="Q41" s="21"/>
      <c r="R41" s="25"/>
    </row>
    <row r="42" spans="2:22" x14ac:dyDescent="0.25">
      <c r="B42" s="26"/>
      <c r="C42" s="21"/>
      <c r="D42" s="22"/>
      <c r="E42" s="23"/>
      <c r="F42" s="26"/>
      <c r="G42" s="26"/>
      <c r="H42" s="26"/>
      <c r="I42" s="26"/>
      <c r="J42" s="26"/>
      <c r="K42" s="26"/>
      <c r="L42" s="26"/>
      <c r="M42" s="26"/>
      <c r="N42" s="20"/>
      <c r="O42" s="25"/>
      <c r="P42" s="21"/>
      <c r="Q42" s="21"/>
      <c r="R42" s="25"/>
    </row>
    <row r="43" spans="2:22" x14ac:dyDescent="0.25">
      <c r="B43" s="26"/>
      <c r="C43" s="21"/>
      <c r="D43" s="22"/>
      <c r="E43" s="23"/>
      <c r="F43" s="26"/>
      <c r="G43" s="26"/>
      <c r="H43" s="26"/>
      <c r="I43" s="26"/>
      <c r="J43" s="26"/>
      <c r="K43" s="26"/>
      <c r="L43" s="26"/>
      <c r="M43" s="26"/>
      <c r="N43" s="20"/>
      <c r="O43" s="25"/>
      <c r="P43" s="21"/>
      <c r="Q43" s="21"/>
      <c r="R43" s="25"/>
    </row>
    <row r="44" spans="2:22" x14ac:dyDescent="0.25">
      <c r="B44" s="26"/>
      <c r="C44" s="21"/>
      <c r="D44" s="22"/>
      <c r="E44" s="23"/>
      <c r="F44" s="26"/>
      <c r="G44" s="26"/>
      <c r="H44" s="26"/>
      <c r="I44" s="26"/>
      <c r="J44" s="26"/>
      <c r="K44" s="26"/>
      <c r="L44" s="26"/>
      <c r="M44" s="26"/>
      <c r="N44" s="20"/>
      <c r="O44" s="25"/>
      <c r="P44" s="21"/>
      <c r="Q44" s="21"/>
      <c r="R44" s="25"/>
    </row>
    <row r="45" spans="2:22" x14ac:dyDescent="0.25">
      <c r="B45" s="26"/>
      <c r="C45" s="21"/>
      <c r="D45" s="22"/>
      <c r="E45" s="23"/>
      <c r="F45" s="26"/>
      <c r="G45" s="26"/>
      <c r="H45" s="26"/>
      <c r="I45" s="26"/>
      <c r="J45" s="26"/>
      <c r="K45" s="26"/>
      <c r="L45" s="26"/>
      <c r="M45" s="26"/>
      <c r="N45" s="20"/>
      <c r="O45" s="25"/>
      <c r="P45" s="21"/>
      <c r="Q45" s="21"/>
      <c r="R45" s="25"/>
    </row>
    <row r="46" spans="2:22" x14ac:dyDescent="0.25">
      <c r="B46" s="26"/>
      <c r="C46" s="21"/>
      <c r="D46" s="22"/>
      <c r="E46" s="23"/>
      <c r="F46" s="26"/>
      <c r="G46" s="26"/>
      <c r="H46" s="26"/>
      <c r="I46" s="26"/>
      <c r="J46" s="26"/>
      <c r="K46" s="26"/>
      <c r="L46" s="26"/>
      <c r="M46" s="26"/>
      <c r="N46" s="20"/>
      <c r="O46" s="25"/>
      <c r="P46" s="21"/>
      <c r="Q46" s="21"/>
      <c r="R46" s="25"/>
    </row>
    <row r="47" spans="2:22" x14ac:dyDescent="0.25">
      <c r="B47" s="26"/>
      <c r="C47" s="21"/>
      <c r="D47" s="22"/>
      <c r="E47" s="23"/>
      <c r="F47" s="26"/>
      <c r="G47" s="26"/>
      <c r="H47" s="26"/>
      <c r="I47" s="26"/>
      <c r="J47" s="26"/>
      <c r="K47" s="26"/>
      <c r="L47" s="26"/>
      <c r="M47" s="26"/>
      <c r="N47" s="20"/>
      <c r="O47" s="25"/>
      <c r="P47" s="21"/>
      <c r="Q47" s="21"/>
      <c r="R47" s="25"/>
    </row>
    <row r="48" spans="2:22" x14ac:dyDescent="0.25">
      <c r="B48" s="26"/>
      <c r="C48" s="21"/>
      <c r="D48" s="22"/>
      <c r="E48" s="23"/>
      <c r="F48" s="26"/>
      <c r="G48" s="26"/>
      <c r="H48" s="26"/>
      <c r="I48" s="26"/>
      <c r="J48" s="26"/>
      <c r="K48" s="26"/>
      <c r="L48" s="26"/>
      <c r="M48" s="26"/>
      <c r="N48" s="20"/>
      <c r="O48" s="25"/>
      <c r="P48" s="21"/>
      <c r="Q48" s="21"/>
      <c r="R48" s="25"/>
    </row>
    <row r="49" spans="1:18" x14ac:dyDescent="0.25">
      <c r="B49" s="26"/>
      <c r="C49" s="21"/>
      <c r="D49" s="22"/>
      <c r="E49" s="23"/>
      <c r="F49" s="26"/>
      <c r="G49" s="26"/>
      <c r="H49" s="26"/>
      <c r="I49" s="26"/>
      <c r="J49" s="26"/>
      <c r="K49" s="26"/>
      <c r="L49" s="26"/>
      <c r="M49" s="26"/>
      <c r="N49" s="20"/>
      <c r="O49" s="25"/>
      <c r="P49" s="21"/>
      <c r="Q49" s="21"/>
      <c r="R49" s="25"/>
    </row>
    <row r="50" spans="1:18" ht="15.75" thickBot="1" x14ac:dyDescent="0.3">
      <c r="B50" s="26"/>
      <c r="C50" s="21"/>
      <c r="D50" s="22"/>
      <c r="E50" s="23"/>
      <c r="F50" s="26"/>
      <c r="G50" s="26"/>
      <c r="H50" s="26"/>
      <c r="I50" s="26"/>
      <c r="Q50" s="21"/>
    </row>
    <row r="51" spans="1:18" ht="22.35" customHeight="1" thickBot="1" x14ac:dyDescent="0.3">
      <c r="B51" s="282" t="s">
        <v>85</v>
      </c>
      <c r="C51" s="283"/>
      <c r="D51" s="284"/>
      <c r="F51" s="282" t="s">
        <v>100</v>
      </c>
      <c r="G51" s="283"/>
      <c r="H51" s="284"/>
    </row>
    <row r="52" spans="1:18" ht="15.6" customHeight="1" x14ac:dyDescent="0.25">
      <c r="B52" s="285" t="s">
        <v>83</v>
      </c>
      <c r="C52" s="286"/>
      <c r="D52" s="28" t="s">
        <v>35</v>
      </c>
      <c r="F52" s="285" t="s">
        <v>83</v>
      </c>
      <c r="G52" s="286"/>
      <c r="H52" s="28" t="s">
        <v>35</v>
      </c>
    </row>
    <row r="53" spans="1:18" x14ac:dyDescent="0.25">
      <c r="B53" s="29" t="s">
        <v>41</v>
      </c>
      <c r="C53" s="30"/>
      <c r="D53" s="31">
        <f>COUNTIFS(July[Witnessed
Fall?],$B53)</f>
        <v>0</v>
      </c>
      <c r="F53" s="29" t="s">
        <v>79</v>
      </c>
      <c r="G53" s="30"/>
      <c r="H53" s="31">
        <f>COUNTIFS(July[Fall Circumstances],$F53)</f>
        <v>0</v>
      </c>
    </row>
    <row r="54" spans="1:18" ht="15.75" thickBot="1" x14ac:dyDescent="0.3">
      <c r="B54" s="32" t="s">
        <v>42</v>
      </c>
      <c r="C54" s="33"/>
      <c r="D54" s="34">
        <f>COUNTIFS(July[Witnessed
Fall?],$B54)</f>
        <v>0</v>
      </c>
      <c r="F54" s="29" t="s">
        <v>101</v>
      </c>
      <c r="G54" s="30"/>
      <c r="H54" s="31">
        <f>COUNTIFS(July[Fall Circumstances],$F54)</f>
        <v>0</v>
      </c>
    </row>
    <row r="55" spans="1:18" ht="15.6" customHeight="1" thickBot="1" x14ac:dyDescent="0.3">
      <c r="B55" s="287" t="s">
        <v>16</v>
      </c>
      <c r="C55" s="288"/>
      <c r="D55" s="35">
        <f>SUM(D53:D54)</f>
        <v>0</v>
      </c>
      <c r="F55" s="32" t="s">
        <v>102</v>
      </c>
      <c r="G55" s="33"/>
      <c r="H55" s="36">
        <f>COUNTIFS(July[Fall Circumstances],$F55)</f>
        <v>0</v>
      </c>
    </row>
    <row r="56" spans="1:18" ht="15.6" customHeight="1" thickBot="1" x14ac:dyDescent="0.3">
      <c r="A56" s="26"/>
      <c r="B56" s="21"/>
      <c r="C56" s="22"/>
      <c r="D56" s="26"/>
      <c r="F56" s="287" t="s">
        <v>16</v>
      </c>
      <c r="G56" s="288"/>
      <c r="H56" s="37">
        <f>SUM(H53:H55)</f>
        <v>0</v>
      </c>
    </row>
    <row r="57" spans="1:18" ht="15.75" thickBot="1" x14ac:dyDescent="0.3">
      <c r="A57" s="26"/>
      <c r="B57" s="21"/>
      <c r="C57" s="22"/>
      <c r="D57" s="26"/>
      <c r="F57" s="26"/>
      <c r="G57" s="21"/>
      <c r="H57" s="22"/>
      <c r="L57" s="21"/>
      <c r="O57" s="22"/>
    </row>
    <row r="58" spans="1:18" ht="15.75" thickBot="1" x14ac:dyDescent="0.3">
      <c r="A58" s="26"/>
      <c r="B58" s="21"/>
      <c r="C58" s="22"/>
      <c r="D58" s="26"/>
      <c r="F58" s="282" t="s">
        <v>103</v>
      </c>
      <c r="G58" s="283"/>
      <c r="H58" s="284"/>
      <c r="L58" s="21"/>
      <c r="O58" s="22"/>
    </row>
    <row r="59" spans="1:18" x14ac:dyDescent="0.25">
      <c r="A59" s="26"/>
      <c r="B59" s="21"/>
      <c r="C59" s="22"/>
      <c r="D59" s="26"/>
      <c r="F59" s="285" t="s">
        <v>26</v>
      </c>
      <c r="G59" s="286"/>
      <c r="H59" s="28" t="s">
        <v>35</v>
      </c>
      <c r="L59" s="21"/>
      <c r="O59" s="22"/>
    </row>
    <row r="60" spans="1:18" ht="15.6" customHeight="1" x14ac:dyDescent="0.25">
      <c r="F60" s="29" t="s">
        <v>142</v>
      </c>
      <c r="G60" s="30"/>
      <c r="H60" s="31">
        <f>COUNTIFS(July[Cognitive Impairment],$F60)</f>
        <v>0</v>
      </c>
    </row>
    <row r="61" spans="1:18" x14ac:dyDescent="0.25">
      <c r="F61" s="29" t="s">
        <v>143</v>
      </c>
      <c r="G61" s="30"/>
      <c r="H61" s="31">
        <f>COUNTIFS(July[Cognitive Impairment],$F61)</f>
        <v>0</v>
      </c>
    </row>
    <row r="62" spans="1:18" ht="15.75" thickBot="1" x14ac:dyDescent="0.3">
      <c r="F62" s="32" t="s">
        <v>144</v>
      </c>
      <c r="G62" s="33"/>
      <c r="H62" s="31">
        <f>COUNTIFS(July[Cognitive Impairment],$F62)</f>
        <v>0</v>
      </c>
    </row>
    <row r="63" spans="1:18" ht="15.75" thickBot="1" x14ac:dyDescent="0.3">
      <c r="F63" s="287" t="s">
        <v>16</v>
      </c>
      <c r="G63" s="288"/>
      <c r="H63" s="37">
        <f>SUM(H60:H62)</f>
        <v>0</v>
      </c>
    </row>
    <row r="64" spans="1:18" ht="15.75" thickBot="1" x14ac:dyDescent="0.3"/>
    <row r="65" spans="1:8" ht="21.4" customHeight="1" thickBot="1" x14ac:dyDescent="0.3">
      <c r="B65" s="282" t="s">
        <v>78</v>
      </c>
      <c r="C65" s="283"/>
      <c r="D65" s="283"/>
      <c r="E65" s="283"/>
      <c r="F65" s="283"/>
      <c r="G65" s="284"/>
    </row>
    <row r="66" spans="1:8" ht="15.6" customHeight="1" x14ac:dyDescent="0.25">
      <c r="A66" s="38"/>
      <c r="B66" s="290" t="s">
        <v>86</v>
      </c>
      <c r="C66" s="291"/>
      <c r="D66" s="291"/>
      <c r="E66" s="291"/>
      <c r="F66" s="292"/>
      <c r="G66" s="28" t="s">
        <v>35</v>
      </c>
    </row>
    <row r="67" spans="1:8" x14ac:dyDescent="0.25">
      <c r="A67" s="38"/>
      <c r="B67" s="39" t="str" cm="1">
        <f t="array" ref="B67:B90">IF(_xlfn._xlws.SORT(PriortoFall[What was the resident doing prior to fall?],1,1,TRUE)=0,"",(_xlfn._xlws.SORT(PriortoFall[What was the resident doing prior to fall?],1,1,TRUE)))</f>
        <v>Ambulating with assistive device (walker, cane, wheelchair)</v>
      </c>
      <c r="C67" s="40"/>
      <c r="D67" s="40"/>
      <c r="E67" s="40"/>
      <c r="F67" s="41"/>
      <c r="G67" s="42">
        <f>IF($B67="",NA(),COUNTIFS(July[What was resident doing prior to fall?],$B67))</f>
        <v>0</v>
      </c>
      <c r="H67" s="43"/>
    </row>
    <row r="68" spans="1:8" x14ac:dyDescent="0.25">
      <c r="A68" s="38"/>
      <c r="B68" s="44" t="str">
        <v>Ambulating with staff assistance</v>
      </c>
      <c r="C68" s="45"/>
      <c r="D68" s="45"/>
      <c r="E68" s="45"/>
      <c r="F68" s="46"/>
      <c r="G68" s="42">
        <f>IF($B68="",NA(),COUNTIFS(July[What was resident doing prior to fall?],$B68))</f>
        <v>0</v>
      </c>
    </row>
    <row r="69" spans="1:8" x14ac:dyDescent="0.25">
      <c r="A69" s="38"/>
      <c r="B69" s="39" t="str">
        <v>Ambulating without assistance or assistive device</v>
      </c>
      <c r="C69" s="40"/>
      <c r="D69" s="40"/>
      <c r="E69" s="40"/>
      <c r="F69" s="41"/>
      <c r="G69" s="42">
        <f>IF($B69="",NA(),COUNTIFS(July[What was resident doing prior to fall?],$B69))</f>
        <v>0</v>
      </c>
    </row>
    <row r="70" spans="1:8" x14ac:dyDescent="0.25">
      <c r="A70" s="38"/>
      <c r="B70" s="44" t="str">
        <v>Changing position (e.g., in bed, chair)</v>
      </c>
      <c r="C70" s="45"/>
      <c r="D70" s="45"/>
      <c r="E70" s="45"/>
      <c r="F70" s="46"/>
      <c r="G70" s="42">
        <f>IF($B70="",NA(),COUNTIFS(July[What was resident doing prior to fall?],$B70))</f>
        <v>0</v>
      </c>
    </row>
    <row r="71" spans="1:8" x14ac:dyDescent="0.25">
      <c r="A71" s="38"/>
      <c r="B71" s="44" t="str">
        <v>Dressing or undressing</v>
      </c>
      <c r="C71" s="45"/>
      <c r="D71" s="45"/>
      <c r="E71" s="45"/>
      <c r="F71" s="46"/>
      <c r="G71" s="42">
        <f>IF($B71="",NA(),COUNTIFS(July[What was resident doing prior to fall?],$B71))</f>
        <v>0</v>
      </c>
    </row>
    <row r="72" spans="1:8" x14ac:dyDescent="0.25">
      <c r="A72" s="38"/>
      <c r="B72" s="44" t="str">
        <v>Other activity</v>
      </c>
      <c r="C72" s="45"/>
      <c r="D72" s="45"/>
      <c r="E72" s="45"/>
      <c r="F72" s="46"/>
      <c r="G72" s="42">
        <f>IF($B72="",NA(),COUNTIFS(July[What was resident doing prior to fall?],$B72))</f>
        <v>0</v>
      </c>
    </row>
    <row r="73" spans="1:8" x14ac:dyDescent="0.25">
      <c r="A73" s="38"/>
      <c r="B73" s="44" t="str">
        <v>Reaching for an item</v>
      </c>
      <c r="C73" s="45"/>
      <c r="D73" s="45"/>
      <c r="E73" s="45"/>
      <c r="F73" s="46"/>
      <c r="G73" s="42">
        <f>IF($B73="",NA(),COUNTIFS(July[What was resident doing prior to fall?],$B73))</f>
        <v>0</v>
      </c>
    </row>
    <row r="74" spans="1:8" x14ac:dyDescent="0.25">
      <c r="A74" s="38"/>
      <c r="B74" s="44" t="str">
        <v>Showering or bathing</v>
      </c>
      <c r="C74" s="45"/>
      <c r="D74" s="45"/>
      <c r="E74" s="45"/>
      <c r="F74" s="46"/>
      <c r="G74" s="42">
        <f>IF($B74="",NA(),COUNTIFS(July[What was resident doing prior to fall?],$B74))</f>
        <v>0</v>
      </c>
    </row>
    <row r="75" spans="1:8" x14ac:dyDescent="0.25">
      <c r="A75" s="38"/>
      <c r="B75" s="44" t="str">
        <v>Toileting</v>
      </c>
      <c r="C75" s="45"/>
      <c r="D75" s="45"/>
      <c r="E75" s="45"/>
      <c r="F75" s="46"/>
      <c r="G75" s="42">
        <f>IF($B75="",NA(),COUNTIFS(July[What was resident doing prior to fall?],$B75))</f>
        <v>0</v>
      </c>
    </row>
    <row r="76" spans="1:8" x14ac:dyDescent="0.25">
      <c r="A76" s="38"/>
      <c r="B76" s="44" t="str">
        <v>Transferring to or from bed, chair, wheelchair, etc.</v>
      </c>
      <c r="C76" s="45"/>
      <c r="D76" s="45"/>
      <c r="E76" s="45"/>
      <c r="F76" s="46"/>
      <c r="G76" s="42">
        <f>IF($B76="",NA(),COUNTIFS(July[What was resident doing prior to fall?],$B76))</f>
        <v>0</v>
      </c>
    </row>
    <row r="77" spans="1:8" x14ac:dyDescent="0.25">
      <c r="A77" s="38"/>
      <c r="B77" s="39" t="str">
        <v>Unknown</v>
      </c>
      <c r="C77" s="40"/>
      <c r="D77" s="40"/>
      <c r="E77" s="40"/>
      <c r="F77" s="41"/>
      <c r="G77" s="42">
        <f>IF($B77="",NA(),COUNTIFS(July[What was resident doing prior to fall?],$B77))</f>
        <v>0</v>
      </c>
    </row>
    <row r="78" spans="1:8" x14ac:dyDescent="0.25">
      <c r="A78" s="38"/>
      <c r="B78" s="44" t="str">
        <v/>
      </c>
      <c r="C78" s="45"/>
      <c r="D78" s="45"/>
      <c r="E78" s="45"/>
      <c r="F78" s="46"/>
      <c r="G78" s="42" t="e">
        <f>IF($B78="",NA(),COUNTIFS(July[What was resident doing prior to fall?],$B78))</f>
        <v>#N/A</v>
      </c>
    </row>
    <row r="79" spans="1:8" x14ac:dyDescent="0.25">
      <c r="A79" s="38"/>
      <c r="B79" s="39" t="str">
        <v/>
      </c>
      <c r="C79" s="40"/>
      <c r="D79" s="40"/>
      <c r="E79" s="40"/>
      <c r="F79" s="41"/>
      <c r="G79" s="42" t="e">
        <f>IF($B79="",NA(),COUNTIFS(July[What was resident doing prior to fall?],$B79))</f>
        <v>#N/A</v>
      </c>
    </row>
    <row r="80" spans="1:8" x14ac:dyDescent="0.25">
      <c r="A80" s="38"/>
      <c r="B80" s="44" t="str">
        <v/>
      </c>
      <c r="C80" s="45"/>
      <c r="D80" s="45"/>
      <c r="E80" s="45"/>
      <c r="F80" s="46"/>
      <c r="G80" s="42" t="e">
        <f>IF($B80="",NA(),COUNTIFS(July[What was resident doing prior to fall?],$B80))</f>
        <v>#N/A</v>
      </c>
    </row>
    <row r="81" spans="1:7" x14ac:dyDescent="0.25">
      <c r="A81" s="38"/>
      <c r="B81" s="39" t="str">
        <v/>
      </c>
      <c r="C81" s="40"/>
      <c r="D81" s="40"/>
      <c r="E81" s="40"/>
      <c r="F81" s="41"/>
      <c r="G81" s="42" t="e">
        <f>IF($B81="",NA(),COUNTIFS(July[What was resident doing prior to fall?],$B81))</f>
        <v>#N/A</v>
      </c>
    </row>
    <row r="82" spans="1:7" x14ac:dyDescent="0.25">
      <c r="A82" s="38"/>
      <c r="B82" s="44" t="str">
        <v/>
      </c>
      <c r="C82" s="45"/>
      <c r="D82" s="45"/>
      <c r="E82" s="45"/>
      <c r="F82" s="46"/>
      <c r="G82" s="42" t="e">
        <f>IF($B82="",NA(),COUNTIFS(July[What was resident doing prior to fall?],$B82))</f>
        <v>#N/A</v>
      </c>
    </row>
    <row r="83" spans="1:7" x14ac:dyDescent="0.25">
      <c r="A83" s="38"/>
      <c r="B83" s="39" t="str">
        <v/>
      </c>
      <c r="C83" s="40"/>
      <c r="D83" s="40"/>
      <c r="E83" s="40"/>
      <c r="F83" s="41"/>
      <c r="G83" s="42" t="e">
        <f>IF($B83="",NA(),COUNTIFS(July[What was resident doing prior to fall?],$B83))</f>
        <v>#N/A</v>
      </c>
    </row>
    <row r="84" spans="1:7" x14ac:dyDescent="0.25">
      <c r="A84" s="38"/>
      <c r="B84" s="44" t="str">
        <v/>
      </c>
      <c r="C84" s="45"/>
      <c r="D84" s="45"/>
      <c r="E84" s="45"/>
      <c r="F84" s="46"/>
      <c r="G84" s="42" t="e">
        <f>IF($B84="",NA(),COUNTIFS(July[What was resident doing prior to fall?],$B84))</f>
        <v>#N/A</v>
      </c>
    </row>
    <row r="85" spans="1:7" x14ac:dyDescent="0.25">
      <c r="A85" s="38"/>
      <c r="B85" s="44" t="str">
        <v/>
      </c>
      <c r="C85" s="45"/>
      <c r="D85" s="45"/>
      <c r="E85" s="45"/>
      <c r="F85" s="46"/>
      <c r="G85" s="42" t="e">
        <f>IF($B85="",NA(),COUNTIFS(July[What was resident doing prior to fall?],$B85))</f>
        <v>#N/A</v>
      </c>
    </row>
    <row r="86" spans="1:7" x14ac:dyDescent="0.25">
      <c r="A86" s="38"/>
      <c r="B86" s="39" t="str">
        <v/>
      </c>
      <c r="C86" s="40"/>
      <c r="D86" s="40"/>
      <c r="E86" s="40"/>
      <c r="F86" s="41"/>
      <c r="G86" s="42" t="e">
        <f>IF($B86="",NA(),COUNTIFS(July[What was resident doing prior to fall?],$B86))</f>
        <v>#N/A</v>
      </c>
    </row>
    <row r="87" spans="1:7" x14ac:dyDescent="0.25">
      <c r="A87" s="38"/>
      <c r="B87" s="44" t="str">
        <v/>
      </c>
      <c r="C87" s="45"/>
      <c r="D87" s="45"/>
      <c r="E87" s="45"/>
      <c r="F87" s="46"/>
      <c r="G87" s="42" t="e">
        <f>IF($B87="",NA(),COUNTIFS(July[What was resident doing prior to fall?],$B87))</f>
        <v>#N/A</v>
      </c>
    </row>
    <row r="88" spans="1:7" x14ac:dyDescent="0.25">
      <c r="A88" s="38"/>
      <c r="B88" s="39" t="str">
        <v/>
      </c>
      <c r="C88" s="40"/>
      <c r="D88" s="40"/>
      <c r="E88" s="40"/>
      <c r="F88" s="41"/>
      <c r="G88" s="42" t="e">
        <f>IF($B88="",NA(),COUNTIFS(July[What was resident doing prior to fall?],$B88))</f>
        <v>#N/A</v>
      </c>
    </row>
    <row r="89" spans="1:7" x14ac:dyDescent="0.25">
      <c r="A89" s="38"/>
      <c r="B89" s="44" t="str">
        <v/>
      </c>
      <c r="C89" s="45"/>
      <c r="D89" s="45"/>
      <c r="E89" s="45"/>
      <c r="F89" s="46"/>
      <c r="G89" s="42" t="e">
        <f>IF($B89="",NA(),COUNTIFS(July[What was resident doing prior to fall?],$B89))</f>
        <v>#N/A</v>
      </c>
    </row>
    <row r="90" spans="1:7" ht="15.75" thickBot="1" x14ac:dyDescent="0.3">
      <c r="A90" s="38"/>
      <c r="B90" s="47" t="str">
        <v/>
      </c>
      <c r="C90" s="47"/>
      <c r="D90" s="47"/>
      <c r="E90" s="47"/>
      <c r="F90" s="48"/>
      <c r="G90" s="42" t="e">
        <f>IF($B90="",NA(),COUNTIFS(July[What was resident doing prior to fall?],$B90))</f>
        <v>#N/A</v>
      </c>
    </row>
    <row r="91" spans="1:7" ht="15.6" customHeight="1" thickBot="1" x14ac:dyDescent="0.3">
      <c r="B91" s="287" t="s">
        <v>35</v>
      </c>
      <c r="C91" s="288"/>
      <c r="D91" s="288"/>
      <c r="E91" s="288"/>
      <c r="F91" s="289"/>
      <c r="G91" s="37">
        <f>_xlfn.AGGREGATE(9,6,G67:G90)</f>
        <v>0</v>
      </c>
    </row>
    <row r="92" spans="1:7" ht="15.75" thickBot="1" x14ac:dyDescent="0.3"/>
    <row r="93" spans="1:7" ht="22.35" customHeight="1" thickBot="1" x14ac:dyDescent="0.3">
      <c r="B93" s="295" t="s">
        <v>173</v>
      </c>
      <c r="C93" s="296"/>
      <c r="D93" s="297"/>
    </row>
    <row r="94" spans="1:7" x14ac:dyDescent="0.25">
      <c r="A94" s="38"/>
      <c r="B94" s="300" t="s">
        <v>1</v>
      </c>
      <c r="C94" s="301"/>
      <c r="D94" s="49" t="s">
        <v>35</v>
      </c>
    </row>
    <row r="95" spans="1:7" x14ac:dyDescent="0.25">
      <c r="A95" s="38"/>
      <c r="B95" s="50" t="str" cm="1">
        <f t="array" ref="B95:B105">IF(_xlfn._xlws.SORT(Location[Location],1,1,TRUE)=0,"",(_xlfn._xlws.SORT(Location[Location],1,1,TRUE)))</f>
        <v>Activity Room</v>
      </c>
      <c r="C95" s="51"/>
      <c r="D95" s="52">
        <f>IF($B95="",NA(),COUNTIFS(July[Location],$B95))</f>
        <v>0</v>
      </c>
    </row>
    <row r="96" spans="1:7" x14ac:dyDescent="0.25">
      <c r="A96" s="38"/>
      <c r="B96" s="50" t="str">
        <v>Bedroom</v>
      </c>
      <c r="C96" s="51"/>
      <c r="D96" s="52">
        <f>IF($B96="",NA(),COUNTIFS(July[Location],$B96))</f>
        <v>0</v>
      </c>
    </row>
    <row r="97" spans="1:4" x14ac:dyDescent="0.25">
      <c r="A97" s="38"/>
      <c r="B97" s="50" t="str">
        <v>Bathroom</v>
      </c>
      <c r="C97" s="51"/>
      <c r="D97" s="52">
        <f>IF($B97="",NA(),COUNTIFS(July[Location],$B97))</f>
        <v>0</v>
      </c>
    </row>
    <row r="98" spans="1:4" x14ac:dyDescent="0.25">
      <c r="A98" s="38"/>
      <c r="B98" s="50" t="str">
        <v>Hallway</v>
      </c>
      <c r="C98" s="51"/>
      <c r="D98" s="52">
        <f>IF($B98="",NA(),COUNTIFS(July[Location],$B98))</f>
        <v>0</v>
      </c>
    </row>
    <row r="99" spans="1:4" x14ac:dyDescent="0.25">
      <c r="A99" s="38"/>
      <c r="B99" s="50" t="str">
        <v>Offsite</v>
      </c>
      <c r="C99" s="51"/>
      <c r="D99" s="52">
        <f>IF($B99="",NA(),COUNTIFS(July[Location],$B99))</f>
        <v>0</v>
      </c>
    </row>
    <row r="100" spans="1:4" x14ac:dyDescent="0.25">
      <c r="A100" s="38"/>
      <c r="B100" s="53" t="str">
        <v>Shower Room</v>
      </c>
      <c r="C100" s="54"/>
      <c r="D100" s="52">
        <f>IF($B100="",NA(),COUNTIFS(July[Location],$B100))</f>
        <v>0</v>
      </c>
    </row>
    <row r="101" spans="1:4" x14ac:dyDescent="0.25">
      <c r="A101" s="38"/>
      <c r="B101" s="55" t="str">
        <v>Dining Room</v>
      </c>
      <c r="C101" s="56"/>
      <c r="D101" s="52">
        <f>IF($B101="",NA(),COUNTIFS(July[Location],$B101))</f>
        <v>0</v>
      </c>
    </row>
    <row r="102" spans="1:4" x14ac:dyDescent="0.25">
      <c r="A102" s="38"/>
      <c r="B102" s="57" t="str">
        <v/>
      </c>
      <c r="C102" s="58"/>
      <c r="D102" s="52" t="e">
        <f>IF($B102="",NA(),COUNTIFS(July[Location],$B102))</f>
        <v>#N/A</v>
      </c>
    </row>
    <row r="103" spans="1:4" x14ac:dyDescent="0.25">
      <c r="A103" s="38"/>
      <c r="B103" s="59" t="str">
        <v/>
      </c>
      <c r="C103" s="51"/>
      <c r="D103" s="52" t="e">
        <f>IF($B103="",NA(),COUNTIFS(July[Location],$B103))</f>
        <v>#N/A</v>
      </c>
    </row>
    <row r="104" spans="1:4" x14ac:dyDescent="0.25">
      <c r="A104" s="38"/>
      <c r="B104" s="53" t="str">
        <v/>
      </c>
      <c r="C104" s="60"/>
      <c r="D104" s="52" t="e">
        <f>IF($B104="",NA(),COUNTIFS(July[Location],$B104))</f>
        <v>#N/A</v>
      </c>
    </row>
    <row r="105" spans="1:4" ht="15.75" thickBot="1" x14ac:dyDescent="0.3">
      <c r="A105" s="38"/>
      <c r="B105" s="59" t="str">
        <v/>
      </c>
      <c r="C105" s="61"/>
      <c r="D105" s="52" t="e">
        <f>IF($B105="",NA(),COUNTIFS(July[Location],$B105))</f>
        <v>#N/A</v>
      </c>
    </row>
    <row r="106" spans="1:4" ht="15.75" thickBot="1" x14ac:dyDescent="0.3">
      <c r="B106" s="298" t="s">
        <v>16</v>
      </c>
      <c r="C106" s="299"/>
      <c r="D106" s="37">
        <f>_xlfn.AGGREGATE(9,6,D95:D105)</f>
        <v>0</v>
      </c>
    </row>
    <row r="107" spans="1:4" ht="15.75" thickBot="1" x14ac:dyDescent="0.3"/>
    <row r="108" spans="1:4" ht="21.4" customHeight="1" thickBot="1" x14ac:dyDescent="0.3">
      <c r="B108" s="282" t="str">
        <f>"Falls by Nursing Station "</f>
        <v xml:space="preserve">Falls by Nursing Station </v>
      </c>
      <c r="C108" s="283"/>
      <c r="D108" s="284"/>
    </row>
    <row r="109" spans="1:4" ht="15.75" x14ac:dyDescent="0.25">
      <c r="B109" s="293" t="s">
        <v>2</v>
      </c>
      <c r="C109" s="293"/>
      <c r="D109" s="28" t="s">
        <v>35</v>
      </c>
    </row>
    <row r="110" spans="1:4" x14ac:dyDescent="0.25">
      <c r="B110" s="62" cm="1">
        <f t="array" ref="B110:B120">IF(_xlfn._xlws.SORT(NS[Nurses Stations],1,1,TRUE)=0,"",(_xlfn._xlws.SORT(NS[Nurses Stations],1,1,TRUE)))</f>
        <v>1</v>
      </c>
      <c r="C110" s="63"/>
      <c r="D110" s="31">
        <f>IF($B110="",NA(),COUNTIFS(July[Station],$B110))</f>
        <v>0</v>
      </c>
    </row>
    <row r="111" spans="1:4" x14ac:dyDescent="0.25">
      <c r="B111" s="62">
        <v>2</v>
      </c>
      <c r="C111" s="63"/>
      <c r="D111" s="31">
        <f>IF($B111="",NA(),COUNTIFS(July[Station],$B111))</f>
        <v>0</v>
      </c>
    </row>
    <row r="112" spans="1:4" x14ac:dyDescent="0.25">
      <c r="B112" s="62">
        <v>3</v>
      </c>
      <c r="C112" s="63"/>
      <c r="D112" s="31">
        <f>IF($B112="",NA(),COUNTIFS(July[Station],$B112))</f>
        <v>0</v>
      </c>
    </row>
    <row r="113" spans="2:4" x14ac:dyDescent="0.25">
      <c r="B113" s="62">
        <v>4</v>
      </c>
      <c r="C113" s="63"/>
      <c r="D113" s="31">
        <f>IF($B113="",NA(),COUNTIFS(July[Station],$B113))</f>
        <v>0</v>
      </c>
    </row>
    <row r="114" spans="2:4" x14ac:dyDescent="0.25">
      <c r="B114" s="62">
        <v>5</v>
      </c>
      <c r="C114" s="63"/>
      <c r="D114" s="31">
        <f>IF($B114="",NA(),COUNTIFS(July[Station],$B114))</f>
        <v>0</v>
      </c>
    </row>
    <row r="115" spans="2:4" x14ac:dyDescent="0.25">
      <c r="B115" s="62" t="str">
        <v/>
      </c>
      <c r="C115" s="63"/>
      <c r="D115" s="31" t="e">
        <f>IF($B115="",NA(),COUNTIFS(July[Station],$B115))</f>
        <v>#N/A</v>
      </c>
    </row>
    <row r="116" spans="2:4" x14ac:dyDescent="0.25">
      <c r="B116" s="62" t="str">
        <v/>
      </c>
      <c r="C116" s="63"/>
      <c r="D116" s="31" t="e">
        <f>IF($B116="",NA(),COUNTIFS(July[Station],$B116))</f>
        <v>#N/A</v>
      </c>
    </row>
    <row r="117" spans="2:4" x14ac:dyDescent="0.25">
      <c r="B117" s="62" t="str">
        <v/>
      </c>
      <c r="C117" s="63"/>
      <c r="D117" s="31" t="e">
        <f>IF($B117="",NA(),COUNTIFS(July[Station],$B117))</f>
        <v>#N/A</v>
      </c>
    </row>
    <row r="118" spans="2:4" x14ac:dyDescent="0.25">
      <c r="B118" s="62" t="str">
        <v/>
      </c>
      <c r="C118" s="63"/>
      <c r="D118" s="31" t="e">
        <f>IF($B118="",NA(),COUNTIFS(July[Station],$B118))</f>
        <v>#N/A</v>
      </c>
    </row>
    <row r="119" spans="2:4" x14ac:dyDescent="0.25">
      <c r="B119" s="62" t="str">
        <v/>
      </c>
      <c r="C119" s="63"/>
      <c r="D119" s="31" t="e">
        <f>IF($B119="",NA(),COUNTIFS(July[Station],$B119))</f>
        <v>#N/A</v>
      </c>
    </row>
    <row r="120" spans="2:4" ht="15.75" thickBot="1" x14ac:dyDescent="0.3">
      <c r="B120" s="64" t="str">
        <v/>
      </c>
      <c r="C120" s="63"/>
      <c r="D120" s="31" t="e">
        <f>IF($B120="",NA(),COUNTIFS(July[Station],$B120))</f>
        <v>#N/A</v>
      </c>
    </row>
    <row r="121" spans="2:4" ht="15.6" customHeight="1" thickBot="1" x14ac:dyDescent="0.3">
      <c r="B121" s="287" t="s">
        <v>16</v>
      </c>
      <c r="C121" s="288"/>
      <c r="D121" s="37">
        <f>_xlfn.AGGREGATE(9,6,D110:D120)</f>
        <v>0</v>
      </c>
    </row>
    <row r="122" spans="2:4" ht="15.6" customHeight="1" thickBot="1" x14ac:dyDescent="0.3">
      <c r="B122" s="65"/>
      <c r="C122" s="66"/>
      <c r="D122" s="67"/>
    </row>
    <row r="123" spans="2:4" ht="21.95" customHeight="1" thickBot="1" x14ac:dyDescent="0.3">
      <c r="B123" s="282" t="str">
        <f>"Falls by Day of the Week "</f>
        <v xml:space="preserve">Falls by Day of the Week </v>
      </c>
      <c r="C123" s="283"/>
      <c r="D123" s="284"/>
    </row>
    <row r="124" spans="2:4" ht="15.75" x14ac:dyDescent="0.25">
      <c r="B124" s="293" t="s">
        <v>3</v>
      </c>
      <c r="C124" s="293"/>
      <c r="D124" s="28" t="s">
        <v>35</v>
      </c>
    </row>
    <row r="125" spans="2:4" x14ac:dyDescent="0.25">
      <c r="B125" s="294" t="s">
        <v>46</v>
      </c>
      <c r="C125" s="294"/>
      <c r="D125" s="31">
        <f>COUNTIFS(July[Day],$B125)</f>
        <v>0</v>
      </c>
    </row>
    <row r="126" spans="2:4" x14ac:dyDescent="0.25">
      <c r="B126" s="294" t="s">
        <v>47</v>
      </c>
      <c r="C126" s="294"/>
      <c r="D126" s="31">
        <f>COUNTIFS(July[Day],$B126)</f>
        <v>0</v>
      </c>
    </row>
    <row r="127" spans="2:4" x14ac:dyDescent="0.25">
      <c r="B127" s="294" t="s">
        <v>52</v>
      </c>
      <c r="C127" s="294"/>
      <c r="D127" s="31">
        <f>COUNTIFS(July[Day],$B127)</f>
        <v>0</v>
      </c>
    </row>
    <row r="128" spans="2:4" x14ac:dyDescent="0.25">
      <c r="B128" s="294" t="s">
        <v>48</v>
      </c>
      <c r="C128" s="294"/>
      <c r="D128" s="31">
        <f>COUNTIFS(July[Day],$B128)</f>
        <v>0</v>
      </c>
    </row>
    <row r="129" spans="2:4" x14ac:dyDescent="0.25">
      <c r="B129" s="294" t="s">
        <v>51</v>
      </c>
      <c r="C129" s="294"/>
      <c r="D129" s="31">
        <f>COUNTIFS(July[Day],$B129)</f>
        <v>0</v>
      </c>
    </row>
    <row r="130" spans="2:4" x14ac:dyDescent="0.25">
      <c r="B130" s="294" t="s">
        <v>49</v>
      </c>
      <c r="C130" s="294"/>
      <c r="D130" s="31">
        <f>COUNTIFS(July[Day],$B130)</f>
        <v>0</v>
      </c>
    </row>
    <row r="131" spans="2:4" ht="15.75" thickBot="1" x14ac:dyDescent="0.3">
      <c r="B131" s="294" t="s">
        <v>50</v>
      </c>
      <c r="C131" s="294"/>
      <c r="D131" s="34">
        <f>COUNTIFS(July[Day],$B131)</f>
        <v>0</v>
      </c>
    </row>
    <row r="132" spans="2:4" ht="15.6" customHeight="1" thickBot="1" x14ac:dyDescent="0.3">
      <c r="B132" s="287" t="s">
        <v>16</v>
      </c>
      <c r="C132" s="288"/>
      <c r="D132" s="35">
        <f>SUM(D125:D131)</f>
        <v>0</v>
      </c>
    </row>
    <row r="133" spans="2:4" ht="15.75" thickBot="1" x14ac:dyDescent="0.3"/>
    <row r="134" spans="2:4" ht="21.4" customHeight="1" thickBot="1" x14ac:dyDescent="0.3">
      <c r="B134" s="282" t="str">
        <f>"Falls by Shift"</f>
        <v>Falls by Shift</v>
      </c>
      <c r="C134" s="283"/>
      <c r="D134" s="284"/>
    </row>
    <row r="135" spans="2:4" ht="15.75" x14ac:dyDescent="0.25">
      <c r="B135" s="293" t="s">
        <v>34</v>
      </c>
      <c r="C135" s="293"/>
      <c r="D135" s="28" t="s">
        <v>35</v>
      </c>
    </row>
    <row r="136" spans="2:4" x14ac:dyDescent="0.25">
      <c r="B136" s="29" t="str" cm="1">
        <f t="array" ref="B136:B140">IF(_xlfn._xlws.SORT('Data Validation'!P3:P7,1,1,TRUE)=0,"",(_xlfn._xlws.SORT('Data Validation'!P3:P7,1,1,TRUE)))</f>
        <v>11-7</v>
      </c>
      <c r="C136" s="58"/>
      <c r="D136" s="31">
        <f>IF($B136="",NA(),COUNTIFS(July[Shift],$B136))</f>
        <v>0</v>
      </c>
    </row>
    <row r="137" spans="2:4" x14ac:dyDescent="0.25">
      <c r="B137" s="29" t="str">
        <v>11–7</v>
      </c>
      <c r="C137" s="58"/>
      <c r="D137" s="31">
        <f>IF($B137="",NA(),COUNTIFS(July[Shift],$B137))</f>
        <v>0</v>
      </c>
    </row>
    <row r="138" spans="2:4" x14ac:dyDescent="0.25">
      <c r="B138" s="29" t="str">
        <v>7–3</v>
      </c>
      <c r="C138" s="58"/>
      <c r="D138" s="31">
        <f>IF($B138="",NA(),COUNTIFS(July[Shift],$B138))</f>
        <v>0</v>
      </c>
    </row>
    <row r="139" spans="2:4" x14ac:dyDescent="0.25">
      <c r="B139" s="29" t="str">
        <v>3–11</v>
      </c>
      <c r="C139" s="58"/>
      <c r="D139" s="31">
        <f>IF($B139="",NA(),COUNTIFS(July[Shift],$B139))</f>
        <v>0</v>
      </c>
    </row>
    <row r="140" spans="2:4" ht="15.75" thickBot="1" x14ac:dyDescent="0.3">
      <c r="B140" s="29" t="str">
        <v/>
      </c>
      <c r="C140" s="68"/>
      <c r="D140" s="34" t="e">
        <f>IF($B140="",NA(),COUNTIFS(July[Shift],$B140))</f>
        <v>#N/A</v>
      </c>
    </row>
    <row r="141" spans="2:4" ht="15.75" thickBot="1" x14ac:dyDescent="0.3">
      <c r="B141" s="287" t="s">
        <v>16</v>
      </c>
      <c r="C141" s="288"/>
      <c r="D141" s="35">
        <f>_xlfn.AGGREGATE(9,6,D136:D140)</f>
        <v>0</v>
      </c>
    </row>
    <row r="142" spans="2:4" ht="15.75" thickBot="1" x14ac:dyDescent="0.3"/>
    <row r="143" spans="2:4" ht="21.4" customHeight="1" thickBot="1" x14ac:dyDescent="0.3">
      <c r="B143" s="282" t="str">
        <f>"Falls by Hour "</f>
        <v xml:space="preserve">Falls by Hour </v>
      </c>
      <c r="C143" s="283"/>
      <c r="D143" s="284"/>
    </row>
    <row r="144" spans="2:4" ht="15.75" x14ac:dyDescent="0.25">
      <c r="B144" s="293" t="s">
        <v>33</v>
      </c>
      <c r="C144" s="293"/>
      <c r="D144" s="28" t="s">
        <v>35</v>
      </c>
    </row>
    <row r="145" spans="2:4" x14ac:dyDescent="0.25">
      <c r="B145" s="294" t="s">
        <v>115</v>
      </c>
      <c r="C145" s="294"/>
      <c r="D145" s="31">
        <f>COUNTIFS(July[Hour],$B145)</f>
        <v>0</v>
      </c>
    </row>
    <row r="146" spans="2:4" x14ac:dyDescent="0.25">
      <c r="B146" s="294" t="s">
        <v>116</v>
      </c>
      <c r="C146" s="294"/>
      <c r="D146" s="31">
        <f>COUNTIFS(July[Hour],$B146)</f>
        <v>0</v>
      </c>
    </row>
    <row r="147" spans="2:4" x14ac:dyDescent="0.25">
      <c r="B147" s="294" t="s">
        <v>117</v>
      </c>
      <c r="C147" s="294"/>
      <c r="D147" s="31">
        <f>COUNTIFS(July[Hour],$B147)</f>
        <v>0</v>
      </c>
    </row>
    <row r="148" spans="2:4" x14ac:dyDescent="0.25">
      <c r="B148" s="294" t="s">
        <v>118</v>
      </c>
      <c r="C148" s="294"/>
      <c r="D148" s="31">
        <f>COUNTIFS(July[Hour],$B148)</f>
        <v>0</v>
      </c>
    </row>
    <row r="149" spans="2:4" x14ac:dyDescent="0.25">
      <c r="B149" s="294" t="s">
        <v>119</v>
      </c>
      <c r="C149" s="294"/>
      <c r="D149" s="31">
        <f>COUNTIFS(July[Hour],$B149)</f>
        <v>0</v>
      </c>
    </row>
    <row r="150" spans="2:4" x14ac:dyDescent="0.25">
      <c r="B150" s="294" t="s">
        <v>120</v>
      </c>
      <c r="C150" s="294"/>
      <c r="D150" s="31">
        <f>COUNTIFS(July[Hour],$B150)</f>
        <v>0</v>
      </c>
    </row>
    <row r="151" spans="2:4" x14ac:dyDescent="0.25">
      <c r="B151" s="294" t="s">
        <v>121</v>
      </c>
      <c r="C151" s="294"/>
      <c r="D151" s="31">
        <f>COUNTIFS(July[Hour],$B151)</f>
        <v>0</v>
      </c>
    </row>
    <row r="152" spans="2:4" x14ac:dyDescent="0.25">
      <c r="B152" s="294" t="s">
        <v>122</v>
      </c>
      <c r="C152" s="294"/>
      <c r="D152" s="31">
        <f>COUNTIFS(July[Hour],$B152)</f>
        <v>0</v>
      </c>
    </row>
    <row r="153" spans="2:4" x14ac:dyDescent="0.25">
      <c r="B153" s="294" t="s">
        <v>123</v>
      </c>
      <c r="C153" s="294"/>
      <c r="D153" s="31">
        <f>COUNTIFS(July[Hour],$B153)</f>
        <v>0</v>
      </c>
    </row>
    <row r="154" spans="2:4" x14ac:dyDescent="0.25">
      <c r="B154" s="294" t="s">
        <v>124</v>
      </c>
      <c r="C154" s="294"/>
      <c r="D154" s="31">
        <f>COUNTIFS(July[Hour],$B154)</f>
        <v>0</v>
      </c>
    </row>
    <row r="155" spans="2:4" x14ac:dyDescent="0.25">
      <c r="B155" s="294" t="s">
        <v>125</v>
      </c>
      <c r="C155" s="294"/>
      <c r="D155" s="31">
        <f>COUNTIFS(July[Hour],$B155)</f>
        <v>0</v>
      </c>
    </row>
    <row r="156" spans="2:4" x14ac:dyDescent="0.25">
      <c r="B156" s="294" t="s">
        <v>126</v>
      </c>
      <c r="C156" s="294"/>
      <c r="D156" s="31">
        <f>COUNTIFS(July[Hour],$B156)</f>
        <v>0</v>
      </c>
    </row>
    <row r="157" spans="2:4" x14ac:dyDescent="0.25">
      <c r="B157" s="294" t="s">
        <v>127</v>
      </c>
      <c r="C157" s="294"/>
      <c r="D157" s="31">
        <f>COUNTIFS(July[Hour],$B157)</f>
        <v>0</v>
      </c>
    </row>
    <row r="158" spans="2:4" x14ac:dyDescent="0.25">
      <c r="B158" s="294" t="s">
        <v>128</v>
      </c>
      <c r="C158" s="294"/>
      <c r="D158" s="31">
        <f>COUNTIFS(July[Hour],$B158)</f>
        <v>0</v>
      </c>
    </row>
    <row r="159" spans="2:4" x14ac:dyDescent="0.25">
      <c r="B159" s="294" t="s">
        <v>129</v>
      </c>
      <c r="C159" s="294"/>
      <c r="D159" s="31">
        <f>COUNTIFS(July[Hour],$B159)</f>
        <v>0</v>
      </c>
    </row>
    <row r="160" spans="2:4" x14ac:dyDescent="0.25">
      <c r="B160" s="294" t="s">
        <v>130</v>
      </c>
      <c r="C160" s="294"/>
      <c r="D160" s="31">
        <f>COUNTIFS(July[Hour],$B160)</f>
        <v>0</v>
      </c>
    </row>
    <row r="161" spans="1:8" x14ac:dyDescent="0.25">
      <c r="B161" s="294" t="s">
        <v>131</v>
      </c>
      <c r="C161" s="294"/>
      <c r="D161" s="31">
        <f>COUNTIFS(July[Hour],$B161)</f>
        <v>0</v>
      </c>
    </row>
    <row r="162" spans="1:8" x14ac:dyDescent="0.25">
      <c r="B162" s="294" t="s">
        <v>132</v>
      </c>
      <c r="C162" s="294"/>
      <c r="D162" s="31">
        <f>COUNTIFS(July[Hour],$B162)</f>
        <v>0</v>
      </c>
    </row>
    <row r="163" spans="1:8" x14ac:dyDescent="0.25">
      <c r="B163" s="294" t="s">
        <v>133</v>
      </c>
      <c r="C163" s="294"/>
      <c r="D163" s="31">
        <f>COUNTIFS(July[Hour],$B163)</f>
        <v>0</v>
      </c>
    </row>
    <row r="164" spans="1:8" x14ac:dyDescent="0.25">
      <c r="B164" s="294" t="s">
        <v>134</v>
      </c>
      <c r="C164" s="294"/>
      <c r="D164" s="31">
        <f>COUNTIFS(July[Hour],$B164)</f>
        <v>0</v>
      </c>
    </row>
    <row r="165" spans="1:8" x14ac:dyDescent="0.25">
      <c r="B165" s="294" t="s">
        <v>135</v>
      </c>
      <c r="C165" s="294"/>
      <c r="D165" s="31">
        <f>COUNTIFS(July[Hour],$B165)</f>
        <v>0</v>
      </c>
    </row>
    <row r="166" spans="1:8" x14ac:dyDescent="0.25">
      <c r="B166" s="294" t="s">
        <v>136</v>
      </c>
      <c r="C166" s="294"/>
      <c r="D166" s="31">
        <f>COUNTIFS(July[Hour],$B166)</f>
        <v>0</v>
      </c>
    </row>
    <row r="167" spans="1:8" x14ac:dyDescent="0.25">
      <c r="B167" s="294" t="s">
        <v>137</v>
      </c>
      <c r="C167" s="294"/>
      <c r="D167" s="31">
        <f>COUNTIFS(July[Hour],$B167)</f>
        <v>0</v>
      </c>
    </row>
    <row r="168" spans="1:8" ht="15.75" thickBot="1" x14ac:dyDescent="0.3">
      <c r="B168" s="294" t="s">
        <v>138</v>
      </c>
      <c r="C168" s="294"/>
      <c r="D168" s="34">
        <f>COUNTIFS(July[Hour],$B168)</f>
        <v>0</v>
      </c>
    </row>
    <row r="169" spans="1:8" ht="15.75" thickBot="1" x14ac:dyDescent="0.3">
      <c r="B169" s="287" t="s">
        <v>35</v>
      </c>
      <c r="C169" s="288"/>
      <c r="D169" s="35">
        <f>SUM(D145:D168)</f>
        <v>0</v>
      </c>
    </row>
    <row r="170" spans="1:8" ht="15.75" thickBot="1" x14ac:dyDescent="0.3"/>
    <row r="171" spans="1:8" ht="21.4" customHeight="1" thickBot="1" x14ac:dyDescent="0.3">
      <c r="B171" s="282" t="str">
        <f>"Falls by Contributing Factors"</f>
        <v>Falls by Contributing Factors</v>
      </c>
      <c r="C171" s="283"/>
      <c r="D171" s="283"/>
      <c r="E171" s="283"/>
      <c r="F171" s="283"/>
      <c r="G171" s="284"/>
    </row>
    <row r="172" spans="1:8" ht="15.6" customHeight="1" x14ac:dyDescent="0.25">
      <c r="A172" s="38"/>
      <c r="B172" s="290" t="s">
        <v>92</v>
      </c>
      <c r="C172" s="291"/>
      <c r="D172" s="291"/>
      <c r="E172" s="291"/>
      <c r="F172" s="292"/>
      <c r="G172" s="28" t="s">
        <v>35</v>
      </c>
    </row>
    <row r="173" spans="1:8" x14ac:dyDescent="0.25">
      <c r="A173" s="38"/>
      <c r="B173" s="44" t="str" cm="1">
        <f t="array" ref="B173:B196">IF(_xlfn._xlws.SORT(CF[Contributing Factors],1,1,TRUE)=0,"",(_xlfn._xlws.SORT(CF[Contributing Factors],1,1,TRUE)))</f>
        <v>Assisted/caregiver transfer</v>
      </c>
      <c r="C173" s="45"/>
      <c r="D173" s="45"/>
      <c r="E173" s="45"/>
      <c r="F173" s="46"/>
      <c r="G173" s="42">
        <f>IF($B173="",NA(),COUNTIFS(July[Contributing Factors],$B173))</f>
        <v>0</v>
      </c>
      <c r="H173" s="43"/>
    </row>
    <row r="174" spans="1:8" x14ac:dyDescent="0.25">
      <c r="A174" s="38"/>
      <c r="B174" s="39" t="str">
        <v>Bowel and bladder (B&amp;B) needs</v>
      </c>
      <c r="C174" s="40"/>
      <c r="D174" s="40"/>
      <c r="E174" s="40"/>
      <c r="F174" s="41"/>
      <c r="G174" s="42">
        <f>IF($B174="",NA(),COUNTIFS(July[Contributing Factors],$B174))</f>
        <v>0</v>
      </c>
    </row>
    <row r="175" spans="1:8" x14ac:dyDescent="0.25">
      <c r="A175" s="38"/>
      <c r="B175" s="44" t="str">
        <v>Behavioral or situational</v>
      </c>
      <c r="C175" s="45"/>
      <c r="D175" s="45"/>
      <c r="E175" s="45"/>
      <c r="F175" s="46"/>
      <c r="G175" s="42">
        <f>IF($B175="",NA(),COUNTIFS(July[Contributing Factors],$B175))</f>
        <v>0</v>
      </c>
    </row>
    <row r="176" spans="1:8" x14ac:dyDescent="0.25">
      <c r="A176" s="38"/>
      <c r="B176" s="39" t="str">
        <v>Change of condition</v>
      </c>
      <c r="C176" s="40"/>
      <c r="D176" s="40"/>
      <c r="E176" s="40"/>
      <c r="F176" s="41"/>
      <c r="G176" s="42">
        <f>IF($B176="",NA(),COUNTIFS(July[Contributing Factors],$B176))</f>
        <v>0</v>
      </c>
    </row>
    <row r="177" spans="1:7" x14ac:dyDescent="0.25">
      <c r="A177" s="38"/>
      <c r="B177" s="44" t="str">
        <v>Environmental factors</v>
      </c>
      <c r="C177" s="45"/>
      <c r="D177" s="45"/>
      <c r="E177" s="45"/>
      <c r="F177" s="46"/>
      <c r="G177" s="42">
        <f>IF($B177="",NA(),COUNTIFS(July[Contributing Factors],$B177))</f>
        <v>0</v>
      </c>
    </row>
    <row r="178" spans="1:7" x14ac:dyDescent="0.25">
      <c r="A178" s="38"/>
      <c r="B178" s="39" t="str">
        <v>Equipment malfunction</v>
      </c>
      <c r="C178" s="40"/>
      <c r="D178" s="40"/>
      <c r="E178" s="40"/>
      <c r="F178" s="41"/>
      <c r="G178" s="42">
        <f>IF($B178="",NA(),COUNTIFS(July[Contributing Factors],$B178))</f>
        <v>0</v>
      </c>
    </row>
    <row r="179" spans="1:7" x14ac:dyDescent="0.25">
      <c r="A179" s="38"/>
      <c r="B179" s="44" t="str">
        <v>Equipment or assistive device</v>
      </c>
      <c r="C179" s="45"/>
      <c r="D179" s="45"/>
      <c r="E179" s="45"/>
      <c r="F179" s="46"/>
      <c r="G179" s="42">
        <f>IF($B179="",NA(),COUNTIFS(July[Contributing Factors],$B179))</f>
        <v>0</v>
      </c>
    </row>
    <row r="180" spans="1:7" x14ac:dyDescent="0.25">
      <c r="A180" s="38"/>
      <c r="B180" s="39" t="str">
        <v>Medication related</v>
      </c>
      <c r="C180" s="40"/>
      <c r="D180" s="40"/>
      <c r="E180" s="40"/>
      <c r="F180" s="41"/>
      <c r="G180" s="42">
        <f>IF($B180="",NA(),COUNTIFS(July[Contributing Factors],$B180))</f>
        <v>0</v>
      </c>
    </row>
    <row r="181" spans="1:7" x14ac:dyDescent="0.25">
      <c r="A181" s="38"/>
      <c r="B181" s="44" t="str">
        <v>Process(s) not followed</v>
      </c>
      <c r="C181" s="45"/>
      <c r="D181" s="45"/>
      <c r="E181" s="45"/>
      <c r="F181" s="46"/>
      <c r="G181" s="42">
        <f>IF($B181="",NA(),COUNTIFS(July[Contributing Factors],$B181))</f>
        <v>0</v>
      </c>
    </row>
    <row r="182" spans="1:7" x14ac:dyDescent="0.25">
      <c r="A182" s="38"/>
      <c r="B182" s="39" t="str">
        <v>Resident health conditions</v>
      </c>
      <c r="C182" s="40"/>
      <c r="D182" s="40"/>
      <c r="E182" s="40"/>
      <c r="F182" s="41"/>
      <c r="G182" s="42">
        <f>IF($B182="",NA(),COUNTIFS(July[Contributing Factors],$B182))</f>
        <v>0</v>
      </c>
    </row>
    <row r="183" spans="1:7" x14ac:dyDescent="0.25">
      <c r="A183" s="38"/>
      <c r="B183" s="44" t="str">
        <v>Staff</v>
      </c>
      <c r="C183" s="45"/>
      <c r="D183" s="45"/>
      <c r="E183" s="45"/>
      <c r="F183" s="46"/>
      <c r="G183" s="42">
        <f>IF($B183="",NA(),COUNTIFS(July[Contributing Factors],$B183))</f>
        <v>0</v>
      </c>
    </row>
    <row r="184" spans="1:7" x14ac:dyDescent="0.25">
      <c r="A184" s="38"/>
      <c r="B184" s="39" t="str">
        <v/>
      </c>
      <c r="C184" s="40"/>
      <c r="D184" s="40"/>
      <c r="E184" s="40"/>
      <c r="F184" s="41"/>
      <c r="G184" s="42" t="e">
        <f>IF($B184="",NA(),COUNTIFS(July[Contributing Factors],$B184))</f>
        <v>#N/A</v>
      </c>
    </row>
    <row r="185" spans="1:7" x14ac:dyDescent="0.25">
      <c r="A185" s="38"/>
      <c r="B185" s="44" t="str">
        <v/>
      </c>
      <c r="C185" s="45"/>
      <c r="D185" s="45"/>
      <c r="E185" s="45"/>
      <c r="F185" s="46"/>
      <c r="G185" s="42" t="e">
        <f>IF($B185="",NA(),COUNTIFS(July[Contributing Factors],$B185))</f>
        <v>#N/A</v>
      </c>
    </row>
    <row r="186" spans="1:7" x14ac:dyDescent="0.25">
      <c r="A186" s="38"/>
      <c r="B186" s="39" t="str">
        <v/>
      </c>
      <c r="C186" s="40"/>
      <c r="D186" s="40"/>
      <c r="E186" s="40"/>
      <c r="F186" s="41"/>
      <c r="G186" s="42" t="e">
        <f>IF($B186="",NA(),COUNTIFS(July[Contributing Factors],$B186))</f>
        <v>#N/A</v>
      </c>
    </row>
    <row r="187" spans="1:7" x14ac:dyDescent="0.25">
      <c r="A187" s="38"/>
      <c r="B187" s="44" t="str">
        <v/>
      </c>
      <c r="C187" s="45"/>
      <c r="D187" s="45"/>
      <c r="E187" s="45"/>
      <c r="F187" s="46"/>
      <c r="G187" s="42" t="e">
        <f>IF($B187="",NA(),COUNTIFS(July[Contributing Factors],$B187))</f>
        <v>#N/A</v>
      </c>
    </row>
    <row r="188" spans="1:7" x14ac:dyDescent="0.25">
      <c r="A188" s="38"/>
      <c r="B188" s="39" t="str">
        <v/>
      </c>
      <c r="C188" s="40"/>
      <c r="D188" s="40"/>
      <c r="E188" s="40"/>
      <c r="F188" s="41"/>
      <c r="G188" s="42" t="e">
        <f>IF($B188="",NA(),COUNTIFS(July[Contributing Factors],$B188))</f>
        <v>#N/A</v>
      </c>
    </row>
    <row r="189" spans="1:7" x14ac:dyDescent="0.25">
      <c r="A189" s="38"/>
      <c r="B189" s="44" t="str">
        <v/>
      </c>
      <c r="C189" s="45"/>
      <c r="D189" s="45"/>
      <c r="E189" s="45"/>
      <c r="F189" s="46"/>
      <c r="G189" s="42" t="e">
        <f>IF($B189="",NA(),COUNTIFS(July[Contributing Factors],$B189))</f>
        <v>#N/A</v>
      </c>
    </row>
    <row r="190" spans="1:7" x14ac:dyDescent="0.25">
      <c r="A190" s="38"/>
      <c r="B190" s="39" t="str">
        <v/>
      </c>
      <c r="C190" s="40"/>
      <c r="D190" s="40"/>
      <c r="E190" s="40"/>
      <c r="F190" s="41"/>
      <c r="G190" s="42" t="e">
        <f>IF($B190="",NA(),COUNTIFS(July[Contributing Factors],$B190))</f>
        <v>#N/A</v>
      </c>
    </row>
    <row r="191" spans="1:7" x14ac:dyDescent="0.25">
      <c r="A191" s="38"/>
      <c r="B191" s="44" t="str">
        <v/>
      </c>
      <c r="C191" s="45"/>
      <c r="D191" s="45"/>
      <c r="E191" s="45"/>
      <c r="F191" s="46"/>
      <c r="G191" s="42" t="e">
        <f>IF($B191="",NA(),COUNTIFS(July[Contributing Factors],$B191))</f>
        <v>#N/A</v>
      </c>
    </row>
    <row r="192" spans="1:7" x14ac:dyDescent="0.25">
      <c r="A192" s="38"/>
      <c r="B192" s="39" t="str">
        <v/>
      </c>
      <c r="C192" s="40"/>
      <c r="D192" s="40"/>
      <c r="E192" s="40"/>
      <c r="F192" s="41"/>
      <c r="G192" s="42" t="e">
        <f>IF($B192="",NA(),COUNTIFS(July[Contributing Factors],$B192))</f>
        <v>#N/A</v>
      </c>
    </row>
    <row r="193" spans="1:7" x14ac:dyDescent="0.25">
      <c r="A193" s="38"/>
      <c r="B193" s="44" t="str">
        <v/>
      </c>
      <c r="C193" s="45"/>
      <c r="D193" s="45"/>
      <c r="E193" s="45"/>
      <c r="F193" s="46"/>
      <c r="G193" s="42" t="e">
        <f>IF($B193="",NA(),COUNTIFS(July[Contributing Factors],$B193))</f>
        <v>#N/A</v>
      </c>
    </row>
    <row r="194" spans="1:7" x14ac:dyDescent="0.25">
      <c r="A194" s="38"/>
      <c r="B194" s="39" t="str">
        <v/>
      </c>
      <c r="C194" s="40"/>
      <c r="D194" s="40"/>
      <c r="E194" s="40"/>
      <c r="F194" s="41"/>
      <c r="G194" s="42" t="e">
        <f>IF($B194="",NA(),COUNTIFS(July[Contributing Factors],$B194))</f>
        <v>#N/A</v>
      </c>
    </row>
    <row r="195" spans="1:7" x14ac:dyDescent="0.25">
      <c r="A195" s="38"/>
      <c r="B195" s="44" t="str">
        <v/>
      </c>
      <c r="C195" s="45"/>
      <c r="D195" s="45"/>
      <c r="E195" s="45"/>
      <c r="F195" s="46"/>
      <c r="G195" s="42" t="e">
        <f>IF($B195="",NA(),COUNTIFS(July[Contributing Factors],$B195))</f>
        <v>#N/A</v>
      </c>
    </row>
    <row r="196" spans="1:7" ht="15.75" thickBot="1" x14ac:dyDescent="0.3">
      <c r="A196" s="38"/>
      <c r="B196" s="39" t="str">
        <v/>
      </c>
      <c r="C196" s="40"/>
      <c r="D196" s="40"/>
      <c r="E196" s="40"/>
      <c r="F196" s="41"/>
      <c r="G196" s="42" t="e">
        <f>IF($B196="",NA(),COUNTIFS(July[Contributing Factors],$B196))</f>
        <v>#N/A</v>
      </c>
    </row>
    <row r="197" spans="1:7" ht="15.6" customHeight="1" thickBot="1" x14ac:dyDescent="0.3">
      <c r="B197" s="287" t="s">
        <v>35</v>
      </c>
      <c r="C197" s="288"/>
      <c r="D197" s="288"/>
      <c r="E197" s="288"/>
      <c r="F197" s="289"/>
      <c r="G197" s="37">
        <f>_xlfn.AGGREGATE(9,6,G173:G196)</f>
        <v>0</v>
      </c>
    </row>
  </sheetData>
  <sheetProtection algorithmName="SHA-512" hashValue="6Ha5KwNKgDcQZK40tu3F7KFoVh3Txj3hPYIeBNvxK4c/IyQ7aZ1CkDtLJ02FZfntjtyOjqBAZrEmJU4vJu9Olw==" saltValue="qtb3pUUKFPDTs4LXPmY7ww==" spinCount="100000" sheet="1" formatCells="0" formatColumns="0" formatRows="0" sort="0" autoFilter="0"/>
  <mergeCells count="61">
    <mergeCell ref="F56:G56"/>
    <mergeCell ref="B51:D51"/>
    <mergeCell ref="F51:H51"/>
    <mergeCell ref="B52:C52"/>
    <mergeCell ref="F52:G52"/>
    <mergeCell ref="B55:C55"/>
    <mergeCell ref="B121:C121"/>
    <mergeCell ref="F58:H58"/>
    <mergeCell ref="F59:G59"/>
    <mergeCell ref="F63:G63"/>
    <mergeCell ref="B65:G65"/>
    <mergeCell ref="B66:F66"/>
    <mergeCell ref="B91:F91"/>
    <mergeCell ref="B93:D93"/>
    <mergeCell ref="B94:C94"/>
    <mergeCell ref="B106:C106"/>
    <mergeCell ref="B108:D108"/>
    <mergeCell ref="B109:C109"/>
    <mergeCell ref="B135:C135"/>
    <mergeCell ref="B123:D123"/>
    <mergeCell ref="B124:C124"/>
    <mergeCell ref="B125:C125"/>
    <mergeCell ref="B126:C126"/>
    <mergeCell ref="B127:C127"/>
    <mergeCell ref="B128:C128"/>
    <mergeCell ref="B129:C129"/>
    <mergeCell ref="B130:C130"/>
    <mergeCell ref="B131:C131"/>
    <mergeCell ref="B132:C132"/>
    <mergeCell ref="B134:D134"/>
    <mergeCell ref="B153:C153"/>
    <mergeCell ref="B141:C141"/>
    <mergeCell ref="B143:D143"/>
    <mergeCell ref="B144:C144"/>
    <mergeCell ref="B145:C145"/>
    <mergeCell ref="B146:C146"/>
    <mergeCell ref="B147:C147"/>
    <mergeCell ref="B148:C148"/>
    <mergeCell ref="B149:C149"/>
    <mergeCell ref="B150:C150"/>
    <mergeCell ref="B151:C151"/>
    <mergeCell ref="B152:C152"/>
    <mergeCell ref="B165:C165"/>
    <mergeCell ref="B154:C154"/>
    <mergeCell ref="B155:C155"/>
    <mergeCell ref="B156:C156"/>
    <mergeCell ref="B157:C157"/>
    <mergeCell ref="B158:C158"/>
    <mergeCell ref="B159:C159"/>
    <mergeCell ref="B160:C160"/>
    <mergeCell ref="B161:C161"/>
    <mergeCell ref="B162:C162"/>
    <mergeCell ref="B163:C163"/>
    <mergeCell ref="B164:C164"/>
    <mergeCell ref="B197:F197"/>
    <mergeCell ref="B166:C166"/>
    <mergeCell ref="B167:C167"/>
    <mergeCell ref="B168:C168"/>
    <mergeCell ref="B169:C169"/>
    <mergeCell ref="B171:G171"/>
    <mergeCell ref="B172:F172"/>
  </mergeCells>
  <conditionalFormatting sqref="C1">
    <cfRule type="expression" dxfId="184" priority="18">
      <formula>OR($C$1="",$C$1=0)</formula>
    </cfRule>
  </conditionalFormatting>
  <conditionalFormatting sqref="D1">
    <cfRule type="cellIs" dxfId="183" priority="19" operator="equal">
      <formula>"Enter year in Data Validation tab"</formula>
    </cfRule>
  </conditionalFormatting>
  <conditionalFormatting sqref="D4:D40">
    <cfRule type="expression" dxfId="182" priority="22">
      <formula>AND($C4&lt;&gt;"",$D4="")</formula>
    </cfRule>
  </conditionalFormatting>
  <conditionalFormatting sqref="D95:D105">
    <cfRule type="expression" dxfId="181" priority="9">
      <formula>ISERROR($D95)</formula>
    </cfRule>
  </conditionalFormatting>
  <conditionalFormatting sqref="D110:D120">
    <cfRule type="expression" dxfId="180" priority="10">
      <formula>ISERROR($D110)</formula>
    </cfRule>
  </conditionalFormatting>
  <conditionalFormatting sqref="D136:D140">
    <cfRule type="expression" dxfId="179" priority="1">
      <formula>ISERROR(D136)</formula>
    </cfRule>
  </conditionalFormatting>
  <conditionalFormatting sqref="E4:E40">
    <cfRule type="expression" dxfId="178" priority="21">
      <formula>AND($C4&lt;&gt;"",$E4="")</formula>
    </cfRule>
  </conditionalFormatting>
  <conditionalFormatting sqref="F4:F40">
    <cfRule type="expression" dxfId="177" priority="14">
      <formula>AND($C4&lt;&gt;"",$F4="")</formula>
    </cfRule>
  </conditionalFormatting>
  <conditionalFormatting sqref="G4:G40">
    <cfRule type="expression" dxfId="176" priority="13">
      <formula>AND($C4&lt;&gt;"",$G4="")</formula>
    </cfRule>
  </conditionalFormatting>
  <conditionalFormatting sqref="G67:G90">
    <cfRule type="expression" dxfId="175" priority="8">
      <formula>ISERROR($G67)</formula>
    </cfRule>
  </conditionalFormatting>
  <conditionalFormatting sqref="G173:G196">
    <cfRule type="expression" dxfId="174" priority="7">
      <formula>ISERROR($G173)</formula>
    </cfRule>
  </conditionalFormatting>
  <conditionalFormatting sqref="H4:H40">
    <cfRule type="expression" dxfId="173" priority="12">
      <formula>AND($C4&lt;&gt;"",$H4="")</formula>
    </cfRule>
  </conditionalFormatting>
  <conditionalFormatting sqref="I4:I40">
    <cfRule type="expression" dxfId="172" priority="11">
      <formula>AND($C4&lt;&gt;"",$I4="")</formula>
    </cfRule>
  </conditionalFormatting>
  <conditionalFormatting sqref="J4:J40">
    <cfRule type="expression" dxfId="171" priority="23">
      <formula>AND($C4&lt;&gt;"",$J4="")</formula>
    </cfRule>
  </conditionalFormatting>
  <conditionalFormatting sqref="L4:L40">
    <cfRule type="expression" dxfId="170" priority="20">
      <formula>AND($C4&lt;&gt;"",$L4="")</formula>
    </cfRule>
  </conditionalFormatting>
  <conditionalFormatting sqref="N4:N40">
    <cfRule type="expression" dxfId="169" priority="25">
      <formula>AND($C4&lt;&gt;"",$N4="")</formula>
    </cfRule>
  </conditionalFormatting>
  <conditionalFormatting sqref="O4:O40">
    <cfRule type="expression" dxfId="168" priority="4">
      <formula>AND($C4&lt;&gt;"",$O4="")</formula>
    </cfRule>
    <cfRule type="cellIs" dxfId="167" priority="15" operator="equal">
      <formula>"Intact (13-15)"</formula>
    </cfRule>
    <cfRule type="cellIs" dxfId="166" priority="16" operator="equal">
      <formula>"Moderate (8-12)"</formula>
    </cfRule>
    <cfRule type="cellIs" dxfId="165" priority="17" operator="equal">
      <formula>"Severe (1-7)"</formula>
    </cfRule>
  </conditionalFormatting>
  <conditionalFormatting sqref="P4:P40">
    <cfRule type="expression" dxfId="164" priority="5">
      <formula>AND($C4&lt;&gt;"",$P4="")</formula>
    </cfRule>
  </conditionalFormatting>
  <conditionalFormatting sqref="Q4:Q40">
    <cfRule type="expression" dxfId="163" priority="3">
      <formula>AND($C4&lt;&gt;"",$Q4="")</formula>
    </cfRule>
  </conditionalFormatting>
  <conditionalFormatting sqref="R4:R40">
    <cfRule type="expression" dxfId="162" priority="26">
      <formula>AND($C4&lt;&gt;"",$R4="")</formula>
    </cfRule>
  </conditionalFormatting>
  <conditionalFormatting sqref="S4:S40">
    <cfRule type="expression" dxfId="161" priority="6">
      <formula>AND($C4&lt;&gt;"",$S4="")</formula>
    </cfRule>
  </conditionalFormatting>
  <conditionalFormatting sqref="T4:T40">
    <cfRule type="expression" dxfId="160" priority="27">
      <formula>AND($C4&lt;&gt;"",$T4="")</formula>
    </cfRule>
  </conditionalFormatting>
  <conditionalFormatting sqref="U4:U40">
    <cfRule type="expression" dxfId="159" priority="24">
      <formula>AND($C4&lt;&gt;"",$U4="")</formula>
    </cfRule>
  </conditionalFormatting>
  <conditionalFormatting sqref="V4:V40">
    <cfRule type="expression" dxfId="158" priority="2">
      <formula>AND($C4&lt;&gt;"",$V4="")</formula>
    </cfRule>
  </conditionalFormatting>
  <dataValidations count="9">
    <dataValidation type="list" allowBlank="1" showInputMessage="1" showErrorMessage="1" sqref="R4:R40" xr:uid="{00000000-0002-0000-0800-000000000000}">
      <formula1>DV_RCAComp</formula1>
    </dataValidation>
    <dataValidation type="list" allowBlank="1" showInputMessage="1" showErrorMessage="1" sqref="G4:G40" xr:uid="{00000000-0002-0000-0800-000001000000}">
      <formula1>DV_FallCircumstances</formula1>
    </dataValidation>
    <dataValidation type="list" allowBlank="1" showInputMessage="1" showErrorMessage="1" sqref="P4:P40" xr:uid="{00000000-0002-0000-0800-000002000000}">
      <formula1>DV_PriortoFall</formula1>
    </dataValidation>
    <dataValidation type="list" allowBlank="1" showInputMessage="1" showErrorMessage="1" sqref="F4:F40" xr:uid="{00000000-0002-0000-0800-000003000000}">
      <formula1>DV_Witnessed</formula1>
    </dataValidation>
    <dataValidation type="list" allowBlank="1" showInputMessage="1" showErrorMessage="1" sqref="N4:N40" xr:uid="{00000000-0002-0000-0800-000004000000}">
      <formula1>DV_BIMSScore</formula1>
    </dataValidation>
    <dataValidation type="list" allowBlank="1" showInputMessage="1" showErrorMessage="1" sqref="L4:L40" xr:uid="{00000000-0002-0000-0800-000005000000}">
      <formula1>DV_Shifts</formula1>
    </dataValidation>
    <dataValidation type="list" allowBlank="1" showInputMessage="1" showErrorMessage="1" sqref="J4:J40" xr:uid="{00000000-0002-0000-0800-000006000000}">
      <formula1>DV_Station</formula1>
    </dataValidation>
    <dataValidation type="list" allowBlank="1" showInputMessage="1" showErrorMessage="1" sqref="I4:I40" xr:uid="{00000000-0002-0000-0800-000007000000}">
      <formula1>DV_Location</formula1>
    </dataValidation>
    <dataValidation type="list" allowBlank="1" showInputMessage="1" showErrorMessage="1" sqref="H4:H40" xr:uid="{00000000-0002-0000-0800-000008000000}">
      <formula1>DV_FallType</formula1>
    </dataValidation>
  </dataValidations>
  <printOptions horizontalCentered="1"/>
  <pageMargins left="0.15" right="0.15" top="0.5" bottom="0.25" header="0.3" footer="0.3"/>
  <pageSetup scale="59" fitToHeight="0" orientation="landscape" r:id="rId1"/>
  <rowBreaks count="3" manualBreakCount="3">
    <brk id="49" max="16383" man="1"/>
    <brk id="91" max="16383" man="1"/>
    <brk id="141" max="16383" man="1"/>
  </rowBreaks>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9000000}">
          <x14:formula1>
            <xm:f>'Data Validation'!$K$3:$K$26</xm:f>
          </x14:formula1>
          <xm:sqref>S4:S40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autoPageBreaks="0" fitToPage="1"/>
  </sheetPr>
  <dimension ref="A1:V197"/>
  <sheetViews>
    <sheetView showGridLines="0" zoomScaleNormal="100" zoomScaleSheetLayoutView="98" workbookViewId="0">
      <selection activeCell="B4" sqref="B4"/>
    </sheetView>
  </sheetViews>
  <sheetFormatPr defaultRowHeight="15" x14ac:dyDescent="0.25"/>
  <cols>
    <col min="1" max="1" width="1.28515625" customWidth="1"/>
    <col min="2" max="2" width="5.85546875" customWidth="1"/>
    <col min="3" max="3" width="17.140625" customWidth="1"/>
    <col min="4" max="4" width="9.28515625" customWidth="1"/>
    <col min="5" max="5" width="11" customWidth="1"/>
    <col min="6" max="6" width="8" customWidth="1"/>
    <col min="7" max="7" width="12.140625" customWidth="1"/>
    <col min="8" max="8" width="10.5703125" customWidth="1"/>
    <col min="9" max="9" width="7.7109375" customWidth="1"/>
    <col min="10" max="10" width="6" customWidth="1"/>
    <col min="11" max="11" width="4.7109375" customWidth="1"/>
    <col min="12" max="12" width="9.28515625" customWidth="1"/>
    <col min="13" max="14" width="4.7109375" customWidth="1"/>
    <col min="15" max="15" width="12.140625" customWidth="1"/>
    <col min="16" max="17" width="23.7109375" customWidth="1"/>
    <col min="18" max="18" width="8.7109375" customWidth="1"/>
    <col min="19" max="19" width="23.7109375" customWidth="1"/>
    <col min="20" max="22" width="11.7109375" customWidth="1"/>
    <col min="23" max="24" width="10.7109375" customWidth="1"/>
  </cols>
  <sheetData>
    <row r="1" spans="1:22" ht="18.75" customHeight="1" x14ac:dyDescent="0.25">
      <c r="B1" s="13" t="s">
        <v>28</v>
      </c>
      <c r="C1" s="14">
        <f>'Data Validation'!$C$4</f>
        <v>0</v>
      </c>
      <c r="D1" s="15" t="str">
        <f>IF(OR($C$1="",$C$1=0),"Enter Year in Data Validation tab",'Data Validation'!$C$2&amp;" August ")</f>
        <v>Enter Year in Data Validation tab</v>
      </c>
      <c r="E1" s="16"/>
      <c r="F1" s="16"/>
      <c r="G1" s="16"/>
      <c r="H1" s="16"/>
      <c r="I1" s="16"/>
      <c r="J1" s="16"/>
      <c r="K1" s="16"/>
      <c r="L1" s="16"/>
      <c r="M1" s="16"/>
      <c r="N1" s="4"/>
      <c r="O1" s="16"/>
      <c r="P1" s="16"/>
      <c r="Q1" s="16"/>
      <c r="R1" s="17" t="s">
        <v>59</v>
      </c>
      <c r="S1" s="14" t="str">
        <f>IF(COUNTIFS(Aug[Resident Name],"&lt;&gt;")=0,"No Data",COUNTIFS(Aug[Resident Name],"&lt;&gt;"))</f>
        <v>No Data</v>
      </c>
      <c r="T1" s="17" t="s">
        <v>62</v>
      </c>
      <c r="U1" s="14" t="str">
        <f>'Fall Rate and Census'!$W$36</f>
        <v>No Data</v>
      </c>
    </row>
    <row r="2" spans="1:22" ht="8.1" customHeight="1" x14ac:dyDescent="0.25">
      <c r="B2" s="18"/>
      <c r="C2" s="16"/>
      <c r="D2" s="16"/>
      <c r="E2" s="16"/>
      <c r="F2" s="16"/>
      <c r="G2" s="16"/>
      <c r="H2" s="16"/>
      <c r="I2" s="16"/>
      <c r="J2" s="16"/>
      <c r="K2" s="16"/>
      <c r="L2" s="16"/>
      <c r="M2" s="16"/>
      <c r="N2" s="16"/>
      <c r="O2" s="16"/>
      <c r="P2" s="16"/>
      <c r="Q2" s="16"/>
      <c r="R2" s="16"/>
    </row>
    <row r="3" spans="1:22" ht="22.35" customHeight="1" x14ac:dyDescent="0.25">
      <c r="B3" s="19" t="s">
        <v>104</v>
      </c>
      <c r="C3" s="19" t="s">
        <v>105</v>
      </c>
      <c r="D3" s="20" t="s">
        <v>0</v>
      </c>
      <c r="E3" s="20" t="s">
        <v>89</v>
      </c>
      <c r="F3" s="20" t="s">
        <v>84</v>
      </c>
      <c r="G3" s="20" t="s">
        <v>100</v>
      </c>
      <c r="H3" s="20" t="s">
        <v>90</v>
      </c>
      <c r="I3" s="20" t="s">
        <v>1</v>
      </c>
      <c r="J3" s="20" t="s">
        <v>2</v>
      </c>
      <c r="K3" s="20" t="s">
        <v>3</v>
      </c>
      <c r="L3" s="20" t="s">
        <v>33</v>
      </c>
      <c r="M3" s="20" t="s">
        <v>34</v>
      </c>
      <c r="N3" s="20" t="s">
        <v>26</v>
      </c>
      <c r="O3" s="20" t="s">
        <v>30</v>
      </c>
      <c r="P3" s="19" t="s">
        <v>158</v>
      </c>
      <c r="Q3" s="19" t="s">
        <v>80</v>
      </c>
      <c r="R3" s="20" t="s">
        <v>81</v>
      </c>
      <c r="S3" s="20" t="s">
        <v>92</v>
      </c>
      <c r="T3" s="12" t="s">
        <v>95</v>
      </c>
      <c r="U3" s="12" t="s">
        <v>94</v>
      </c>
      <c r="V3" s="12" t="s">
        <v>96</v>
      </c>
    </row>
    <row r="4" spans="1:22" ht="20.85" customHeight="1" x14ac:dyDescent="0.25">
      <c r="A4" s="21"/>
      <c r="B4" s="266"/>
      <c r="C4" s="5"/>
      <c r="D4" s="263"/>
      <c r="E4" s="263"/>
      <c r="F4" s="266"/>
      <c r="G4" s="267"/>
      <c r="H4" s="2"/>
      <c r="I4" s="2"/>
      <c r="J4" s="2"/>
      <c r="K4" s="24" t="str">
        <f>IF(Aug[[#This Row],[Date of Incident]]="","",TEXT(Aug[[#This Row],[Date of Incident]],"ddd"))</f>
        <v/>
      </c>
      <c r="L4" s="1"/>
      <c r="M4" s="24" t="str">
        <f>IFERROR(VLOOKUP(Aug[[#This Row],[Hour]],Shifts[],2,FALSE),"")</f>
        <v/>
      </c>
      <c r="N4" s="2"/>
      <c r="O4" s="24" t="str">
        <f>IFERROR(VLOOKUP(Aug[[#This Row],[BIMS Score]],BIMS[],2,FALSE),"")</f>
        <v/>
      </c>
      <c r="P4" s="3"/>
      <c r="Q4" s="3"/>
      <c r="R4" s="2"/>
      <c r="S4" s="168"/>
      <c r="T4" s="3"/>
      <c r="U4" s="3"/>
      <c r="V4" s="3"/>
    </row>
    <row r="5" spans="1:22" ht="20.85" customHeight="1" x14ac:dyDescent="0.25">
      <c r="A5" s="21"/>
      <c r="B5" s="266"/>
      <c r="C5" s="5"/>
      <c r="D5" s="263"/>
      <c r="E5" s="263"/>
      <c r="F5" s="266"/>
      <c r="G5" s="267"/>
      <c r="H5" s="2"/>
      <c r="I5" s="2"/>
      <c r="J5" s="2"/>
      <c r="K5" s="24" t="str">
        <f>IF(Aug[[#This Row],[Date of Incident]]="","",TEXT(Aug[[#This Row],[Date of Incident]],"ddd"))</f>
        <v/>
      </c>
      <c r="L5" s="1"/>
      <c r="M5" s="24" t="str">
        <f>IFERROR(VLOOKUP(Aug[[#This Row],[Hour]],Shifts[],2,FALSE),"")</f>
        <v/>
      </c>
      <c r="N5" s="2"/>
      <c r="O5" s="24" t="str">
        <f>IFERROR(VLOOKUP(Aug[[#This Row],[BIMS Score]],BIMS[],2,FALSE),"")</f>
        <v/>
      </c>
      <c r="P5" s="3"/>
      <c r="Q5" s="3"/>
      <c r="R5" s="2"/>
      <c r="S5" s="168"/>
      <c r="T5" s="3"/>
      <c r="U5" s="3"/>
      <c r="V5" s="3"/>
    </row>
    <row r="6" spans="1:22" ht="20.85" customHeight="1" x14ac:dyDescent="0.25">
      <c r="A6" s="21"/>
      <c r="B6" s="266"/>
      <c r="C6" s="5"/>
      <c r="D6" s="263"/>
      <c r="E6" s="263"/>
      <c r="F6" s="266"/>
      <c r="G6" s="267"/>
      <c r="H6" s="2"/>
      <c r="I6" s="2"/>
      <c r="J6" s="2"/>
      <c r="K6" s="24" t="str">
        <f>IF(Aug[[#This Row],[Date of Incident]]="","",TEXT(Aug[[#This Row],[Date of Incident]],"ddd"))</f>
        <v/>
      </c>
      <c r="L6" s="1"/>
      <c r="M6" s="24" t="str">
        <f>IFERROR(VLOOKUP(Aug[[#This Row],[Hour]],Shifts[],2,FALSE),"")</f>
        <v/>
      </c>
      <c r="N6" s="2"/>
      <c r="O6" s="24" t="str">
        <f>IFERROR(VLOOKUP(Aug[[#This Row],[BIMS Score]],BIMS[],2,FALSE),"")</f>
        <v/>
      </c>
      <c r="P6" s="3"/>
      <c r="Q6" s="3"/>
      <c r="R6" s="2"/>
      <c r="S6" s="168"/>
      <c r="T6" s="3"/>
      <c r="U6" s="3"/>
      <c r="V6" s="3"/>
    </row>
    <row r="7" spans="1:22" ht="20.85" customHeight="1" x14ac:dyDescent="0.25">
      <c r="A7" s="21"/>
      <c r="B7" s="266"/>
      <c r="C7" s="5"/>
      <c r="D7" s="263"/>
      <c r="E7" s="263"/>
      <c r="F7" s="266"/>
      <c r="G7" s="267"/>
      <c r="H7" s="2"/>
      <c r="I7" s="2"/>
      <c r="J7" s="2"/>
      <c r="K7" s="24" t="str">
        <f>IF(Aug[[#This Row],[Date of Incident]]="","",TEXT(Aug[[#This Row],[Date of Incident]],"ddd"))</f>
        <v/>
      </c>
      <c r="L7" s="1"/>
      <c r="M7" s="24" t="str">
        <f>IFERROR(VLOOKUP(Aug[[#This Row],[Hour]],Shifts[],2,FALSE),"")</f>
        <v/>
      </c>
      <c r="N7" s="2"/>
      <c r="O7" s="24" t="str">
        <f>IFERROR(VLOOKUP(Aug[[#This Row],[BIMS Score]],BIMS[],2,FALSE),"")</f>
        <v/>
      </c>
      <c r="P7" s="3"/>
      <c r="Q7" s="3"/>
      <c r="R7" s="2"/>
      <c r="S7" s="168"/>
      <c r="T7" s="3"/>
      <c r="U7" s="3"/>
      <c r="V7" s="3"/>
    </row>
    <row r="8" spans="1:22" ht="20.85" customHeight="1" x14ac:dyDescent="0.25">
      <c r="A8" s="21"/>
      <c r="B8" s="266"/>
      <c r="C8" s="5"/>
      <c r="D8" s="263"/>
      <c r="E8" s="263"/>
      <c r="F8" s="266"/>
      <c r="G8" s="267"/>
      <c r="H8" s="2"/>
      <c r="I8" s="2"/>
      <c r="J8" s="2"/>
      <c r="K8" s="24" t="str">
        <f>IF(Aug[[#This Row],[Date of Incident]]="","",TEXT(Aug[[#This Row],[Date of Incident]],"ddd"))</f>
        <v/>
      </c>
      <c r="L8" s="1"/>
      <c r="M8" s="24" t="str">
        <f>IFERROR(VLOOKUP(Aug[[#This Row],[Hour]],Shifts[],2,FALSE),"")</f>
        <v/>
      </c>
      <c r="N8" s="2"/>
      <c r="O8" s="24" t="str">
        <f>IFERROR(VLOOKUP(Aug[[#This Row],[BIMS Score]],BIMS[],2,FALSE),"")</f>
        <v/>
      </c>
      <c r="P8" s="3"/>
      <c r="Q8" s="3"/>
      <c r="R8" s="2"/>
      <c r="S8" s="168"/>
      <c r="T8" s="3"/>
      <c r="U8" s="3"/>
      <c r="V8" s="3"/>
    </row>
    <row r="9" spans="1:22" ht="20.85" customHeight="1" x14ac:dyDescent="0.25">
      <c r="A9" s="21"/>
      <c r="B9" s="266"/>
      <c r="C9" s="5"/>
      <c r="D9" s="263"/>
      <c r="E9" s="263"/>
      <c r="F9" s="266"/>
      <c r="G9" s="267"/>
      <c r="H9" s="2"/>
      <c r="I9" s="2"/>
      <c r="J9" s="2"/>
      <c r="K9" s="24" t="str">
        <f>IF(Aug[[#This Row],[Date of Incident]]="","",TEXT(Aug[[#This Row],[Date of Incident]],"ddd"))</f>
        <v/>
      </c>
      <c r="L9" s="1"/>
      <c r="M9" s="24" t="str">
        <f>IFERROR(VLOOKUP(Aug[[#This Row],[Hour]],Shifts[],2,FALSE),"")</f>
        <v/>
      </c>
      <c r="N9" s="2"/>
      <c r="O9" s="24" t="str">
        <f>IFERROR(VLOOKUP(Aug[[#This Row],[BIMS Score]],BIMS[],2,FALSE),"")</f>
        <v/>
      </c>
      <c r="P9" s="3"/>
      <c r="Q9" s="3"/>
      <c r="R9" s="2"/>
      <c r="S9" s="168"/>
      <c r="T9" s="3"/>
      <c r="U9" s="3"/>
      <c r="V9" s="3"/>
    </row>
    <row r="10" spans="1:22" ht="20.85" customHeight="1" x14ac:dyDescent="0.25">
      <c r="A10" s="21"/>
      <c r="B10" s="266"/>
      <c r="C10" s="5"/>
      <c r="D10" s="263"/>
      <c r="E10" s="263"/>
      <c r="F10" s="266"/>
      <c r="G10" s="267"/>
      <c r="H10" s="2"/>
      <c r="I10" s="2"/>
      <c r="J10" s="2"/>
      <c r="K10" s="24" t="str">
        <f>IF(Aug[[#This Row],[Date of Incident]]="","",TEXT(Aug[[#This Row],[Date of Incident]],"ddd"))</f>
        <v/>
      </c>
      <c r="L10" s="1"/>
      <c r="M10" s="24" t="str">
        <f>IFERROR(VLOOKUP(Aug[[#This Row],[Hour]],Shifts[],2,FALSE),"")</f>
        <v/>
      </c>
      <c r="N10" s="2"/>
      <c r="O10" s="24" t="str">
        <f>IFERROR(VLOOKUP(Aug[[#This Row],[BIMS Score]],BIMS[],2,FALSE),"")</f>
        <v/>
      </c>
      <c r="P10" s="3"/>
      <c r="Q10" s="3"/>
      <c r="R10" s="2"/>
      <c r="S10" s="168"/>
      <c r="T10" s="3"/>
      <c r="U10" s="3"/>
      <c r="V10" s="3"/>
    </row>
    <row r="11" spans="1:22" ht="20.85" customHeight="1" x14ac:dyDescent="0.25">
      <c r="A11" s="21"/>
      <c r="B11" s="266"/>
      <c r="C11" s="5"/>
      <c r="D11" s="263"/>
      <c r="E11" s="263"/>
      <c r="F11" s="266"/>
      <c r="G11" s="267"/>
      <c r="H11" s="2"/>
      <c r="I11" s="2"/>
      <c r="J11" s="2"/>
      <c r="K11" s="24" t="str">
        <f>IF(Aug[[#This Row],[Date of Incident]]="","",TEXT(Aug[[#This Row],[Date of Incident]],"ddd"))</f>
        <v/>
      </c>
      <c r="L11" s="1"/>
      <c r="M11" s="24" t="str">
        <f>IFERROR(VLOOKUP(Aug[[#This Row],[Hour]],Shifts[],2,FALSE),"")</f>
        <v/>
      </c>
      <c r="N11" s="2"/>
      <c r="O11" s="24" t="str">
        <f>IFERROR(VLOOKUP(Aug[[#This Row],[BIMS Score]],BIMS[],2,FALSE),"")</f>
        <v/>
      </c>
      <c r="P11" s="3"/>
      <c r="Q11" s="3"/>
      <c r="R11" s="2"/>
      <c r="S11" s="168"/>
      <c r="T11" s="3"/>
      <c r="U11" s="3"/>
      <c r="V11" s="3"/>
    </row>
    <row r="12" spans="1:22" ht="20.85" customHeight="1" x14ac:dyDescent="0.25">
      <c r="A12" s="21"/>
      <c r="B12" s="267"/>
      <c r="C12" s="5"/>
      <c r="D12" s="264"/>
      <c r="E12" s="263"/>
      <c r="F12" s="267"/>
      <c r="G12" s="267"/>
      <c r="H12" s="2"/>
      <c r="I12" s="2"/>
      <c r="J12" s="2"/>
      <c r="K12" s="24" t="str">
        <f>IF(Aug[[#This Row],[Date of Incident]]="","",TEXT(Aug[[#This Row],[Date of Incident]],"ddd"))</f>
        <v/>
      </c>
      <c r="L12" s="1"/>
      <c r="M12" s="24" t="str">
        <f>IFERROR(VLOOKUP(Aug[[#This Row],[Hour]],Shifts[],2,FALSE),"")</f>
        <v/>
      </c>
      <c r="N12" s="2"/>
      <c r="O12" s="24" t="str">
        <f>IFERROR(VLOOKUP(Aug[[#This Row],[BIMS Score]],BIMS[],2,FALSE),"")</f>
        <v/>
      </c>
      <c r="P12" s="3"/>
      <c r="Q12" s="3"/>
      <c r="R12" s="2"/>
      <c r="S12" s="168"/>
      <c r="T12" s="3"/>
      <c r="U12" s="3"/>
      <c r="V12" s="3"/>
    </row>
    <row r="13" spans="1:22" ht="20.85" customHeight="1" x14ac:dyDescent="0.25">
      <c r="A13" s="21"/>
      <c r="B13" s="267"/>
      <c r="C13" s="5"/>
      <c r="D13" s="264"/>
      <c r="E13" s="263"/>
      <c r="F13" s="267"/>
      <c r="G13" s="267"/>
      <c r="H13" s="2"/>
      <c r="I13" s="2"/>
      <c r="J13" s="2"/>
      <c r="K13" s="24" t="str">
        <f>IF(Aug[[#This Row],[Date of Incident]]="","",TEXT(Aug[[#This Row],[Date of Incident]],"ddd"))</f>
        <v/>
      </c>
      <c r="L13" s="1"/>
      <c r="M13" s="24" t="str">
        <f>IFERROR(VLOOKUP(Aug[[#This Row],[Hour]],Shifts[],2,FALSE),"")</f>
        <v/>
      </c>
      <c r="N13" s="2"/>
      <c r="O13" s="24" t="str">
        <f>IFERROR(VLOOKUP(Aug[[#This Row],[BIMS Score]],BIMS[],2,FALSE),"")</f>
        <v/>
      </c>
      <c r="P13" s="3"/>
      <c r="Q13" s="3"/>
      <c r="R13" s="2"/>
      <c r="S13" s="168"/>
      <c r="T13" s="3"/>
      <c r="U13" s="3"/>
      <c r="V13" s="3"/>
    </row>
    <row r="14" spans="1:22" ht="20.85" customHeight="1" x14ac:dyDescent="0.25">
      <c r="A14" s="21"/>
      <c r="B14" s="267"/>
      <c r="C14" s="5"/>
      <c r="D14" s="264"/>
      <c r="E14" s="263"/>
      <c r="F14" s="267"/>
      <c r="G14" s="267"/>
      <c r="H14" s="2"/>
      <c r="I14" s="2"/>
      <c r="J14" s="2"/>
      <c r="K14" s="24" t="str">
        <f>IF(Aug[[#This Row],[Date of Incident]]="","",TEXT(Aug[[#This Row],[Date of Incident]],"ddd"))</f>
        <v/>
      </c>
      <c r="L14" s="1"/>
      <c r="M14" s="24" t="str">
        <f>IFERROR(VLOOKUP(Aug[[#This Row],[Hour]],Shifts[],2,FALSE),"")</f>
        <v/>
      </c>
      <c r="N14" s="2"/>
      <c r="O14" s="24" t="str">
        <f>IFERROR(VLOOKUP(Aug[[#This Row],[BIMS Score]],BIMS[],2,FALSE),"")</f>
        <v/>
      </c>
      <c r="P14" s="3"/>
      <c r="Q14" s="3"/>
      <c r="R14" s="2"/>
      <c r="S14" s="168"/>
      <c r="T14" s="3"/>
      <c r="U14" s="3"/>
      <c r="V14" s="3"/>
    </row>
    <row r="15" spans="1:22" ht="20.85" customHeight="1" x14ac:dyDescent="0.25">
      <c r="A15" s="21"/>
      <c r="B15" s="267"/>
      <c r="C15" s="5"/>
      <c r="D15" s="264"/>
      <c r="E15" s="263"/>
      <c r="F15" s="267"/>
      <c r="G15" s="267"/>
      <c r="H15" s="2"/>
      <c r="I15" s="2"/>
      <c r="J15" s="2"/>
      <c r="K15" s="24" t="str">
        <f>IF(Aug[[#This Row],[Date of Incident]]="","",TEXT(Aug[[#This Row],[Date of Incident]],"ddd"))</f>
        <v/>
      </c>
      <c r="L15" s="1"/>
      <c r="M15" s="24" t="str">
        <f>IFERROR(VLOOKUP(Aug[[#This Row],[Hour]],Shifts[],2,FALSE),"")</f>
        <v/>
      </c>
      <c r="N15" s="2"/>
      <c r="O15" s="24" t="str">
        <f>IFERROR(VLOOKUP(Aug[[#This Row],[BIMS Score]],BIMS[],2,FALSE),"")</f>
        <v/>
      </c>
      <c r="P15" s="3"/>
      <c r="Q15" s="3"/>
      <c r="R15" s="2"/>
      <c r="S15" s="168"/>
      <c r="T15" s="3"/>
      <c r="U15" s="3"/>
      <c r="V15" s="3"/>
    </row>
    <row r="16" spans="1:22" ht="20.85" customHeight="1" x14ac:dyDescent="0.25">
      <c r="A16" s="21"/>
      <c r="B16" s="267"/>
      <c r="C16" s="3"/>
      <c r="D16" s="264"/>
      <c r="E16" s="264"/>
      <c r="F16" s="267"/>
      <c r="G16" s="267"/>
      <c r="H16" s="2"/>
      <c r="I16" s="2"/>
      <c r="J16" s="2"/>
      <c r="K16" s="24" t="str">
        <f>IF(Aug[[#This Row],[Date of Incident]]="","",TEXT(Aug[[#This Row],[Date of Incident]],"ddd"))</f>
        <v/>
      </c>
      <c r="L16" s="1"/>
      <c r="M16" s="24" t="str">
        <f>IFERROR(VLOOKUP(Aug[[#This Row],[Hour]],Shifts[],2,FALSE),"")</f>
        <v/>
      </c>
      <c r="N16" s="2"/>
      <c r="O16" s="24" t="str">
        <f>IFERROR(VLOOKUP(Aug[[#This Row],[BIMS Score]],BIMS[],2,FALSE),"")</f>
        <v/>
      </c>
      <c r="P16" s="3"/>
      <c r="Q16" s="3"/>
      <c r="R16" s="2"/>
      <c r="S16" s="168"/>
      <c r="T16" s="3"/>
      <c r="U16" s="3"/>
      <c r="V16" s="3"/>
    </row>
    <row r="17" spans="1:22" ht="20.85" customHeight="1" x14ac:dyDescent="0.25">
      <c r="A17" s="21"/>
      <c r="B17" s="267"/>
      <c r="C17" s="3"/>
      <c r="D17" s="264"/>
      <c r="E17" s="264"/>
      <c r="F17" s="267"/>
      <c r="G17" s="267"/>
      <c r="H17" s="2"/>
      <c r="I17" s="2"/>
      <c r="J17" s="2"/>
      <c r="K17" s="24" t="str">
        <f>IF(Aug[[#This Row],[Date of Incident]]="","",TEXT(Aug[[#This Row],[Date of Incident]],"ddd"))</f>
        <v/>
      </c>
      <c r="L17" s="1"/>
      <c r="M17" s="24" t="str">
        <f>IFERROR(VLOOKUP(Aug[[#This Row],[Hour]],Shifts[],2,FALSE),"")</f>
        <v/>
      </c>
      <c r="N17" s="2"/>
      <c r="O17" s="24" t="str">
        <f>IFERROR(VLOOKUP(Aug[[#This Row],[BIMS Score]],BIMS[],2,FALSE),"")</f>
        <v/>
      </c>
      <c r="P17" s="3"/>
      <c r="Q17" s="3"/>
      <c r="R17" s="2"/>
      <c r="S17" s="168"/>
      <c r="T17" s="3"/>
      <c r="U17" s="3"/>
      <c r="V17" s="3"/>
    </row>
    <row r="18" spans="1:22" ht="20.85" customHeight="1" x14ac:dyDescent="0.25">
      <c r="A18" s="21"/>
      <c r="B18" s="267"/>
      <c r="C18" s="3"/>
      <c r="D18" s="264"/>
      <c r="E18" s="264"/>
      <c r="F18" s="267"/>
      <c r="G18" s="267"/>
      <c r="H18" s="2"/>
      <c r="I18" s="2"/>
      <c r="J18" s="2"/>
      <c r="K18" s="24" t="str">
        <f>IF(Aug[[#This Row],[Date of Incident]]="","",TEXT(Aug[[#This Row],[Date of Incident]],"ddd"))</f>
        <v/>
      </c>
      <c r="L18" s="1"/>
      <c r="M18" s="24" t="str">
        <f>IFERROR(VLOOKUP(Aug[[#This Row],[Hour]],Shifts[],2,FALSE),"")</f>
        <v/>
      </c>
      <c r="N18" s="2"/>
      <c r="O18" s="24" t="str">
        <f>IFERROR(VLOOKUP(Aug[[#This Row],[BIMS Score]],BIMS[],2,FALSE),"")</f>
        <v/>
      </c>
      <c r="P18" s="3"/>
      <c r="Q18" s="3"/>
      <c r="R18" s="2"/>
      <c r="S18" s="168"/>
      <c r="T18" s="3"/>
      <c r="U18" s="3"/>
      <c r="V18" s="3"/>
    </row>
    <row r="19" spans="1:22" ht="20.85" customHeight="1" x14ac:dyDescent="0.25">
      <c r="A19" s="21"/>
      <c r="B19" s="267"/>
      <c r="C19" s="3"/>
      <c r="D19" s="264"/>
      <c r="E19" s="264"/>
      <c r="F19" s="267"/>
      <c r="G19" s="267"/>
      <c r="H19" s="2"/>
      <c r="I19" s="2"/>
      <c r="J19" s="2"/>
      <c r="K19" s="24" t="str">
        <f>IF(Aug[[#This Row],[Date of Incident]]="","",TEXT(Aug[[#This Row],[Date of Incident]],"ddd"))</f>
        <v/>
      </c>
      <c r="L19" s="1"/>
      <c r="M19" s="24" t="str">
        <f>IFERROR(VLOOKUP(Aug[[#This Row],[Hour]],Shifts[],2,FALSE),"")</f>
        <v/>
      </c>
      <c r="N19" s="2"/>
      <c r="O19" s="24" t="str">
        <f>IFERROR(VLOOKUP(Aug[[#This Row],[BIMS Score]],BIMS[],2,FALSE),"")</f>
        <v/>
      </c>
      <c r="P19" s="3"/>
      <c r="Q19" s="3"/>
      <c r="R19" s="2"/>
      <c r="S19" s="168"/>
      <c r="T19" s="3"/>
      <c r="U19" s="3"/>
      <c r="V19" s="3"/>
    </row>
    <row r="20" spans="1:22" ht="20.85" customHeight="1" x14ac:dyDescent="0.25">
      <c r="A20" s="21"/>
      <c r="B20" s="267"/>
      <c r="C20" s="3"/>
      <c r="D20" s="264"/>
      <c r="E20" s="264"/>
      <c r="F20" s="267"/>
      <c r="G20" s="267"/>
      <c r="H20" s="2"/>
      <c r="I20" s="2"/>
      <c r="J20" s="2"/>
      <c r="K20" s="24" t="str">
        <f>IF(Aug[[#This Row],[Date of Incident]]="","",TEXT(Aug[[#This Row],[Date of Incident]],"ddd"))</f>
        <v/>
      </c>
      <c r="L20" s="1"/>
      <c r="M20" s="24" t="str">
        <f>IFERROR(VLOOKUP(Aug[[#This Row],[Hour]],Shifts[],2,FALSE),"")</f>
        <v/>
      </c>
      <c r="N20" s="2"/>
      <c r="O20" s="24" t="str">
        <f>IFERROR(VLOOKUP(Aug[[#This Row],[BIMS Score]],BIMS[],2,FALSE),"")</f>
        <v/>
      </c>
      <c r="P20" s="3"/>
      <c r="Q20" s="3"/>
      <c r="R20" s="2"/>
      <c r="S20" s="168"/>
      <c r="T20" s="3"/>
      <c r="U20" s="3"/>
      <c r="V20" s="3"/>
    </row>
    <row r="21" spans="1:22" ht="20.85" customHeight="1" x14ac:dyDescent="0.25">
      <c r="A21" s="21"/>
      <c r="B21" s="267"/>
      <c r="C21" s="3"/>
      <c r="D21" s="264"/>
      <c r="E21" s="264"/>
      <c r="F21" s="267"/>
      <c r="G21" s="267"/>
      <c r="H21" s="2"/>
      <c r="I21" s="2"/>
      <c r="J21" s="2"/>
      <c r="K21" s="24" t="str">
        <f>IF(Aug[[#This Row],[Date of Incident]]="","",TEXT(Aug[[#This Row],[Date of Incident]],"ddd"))</f>
        <v/>
      </c>
      <c r="L21" s="1"/>
      <c r="M21" s="24" t="str">
        <f>IFERROR(VLOOKUP(Aug[[#This Row],[Hour]],Shifts[],2,FALSE),"")</f>
        <v/>
      </c>
      <c r="N21" s="2"/>
      <c r="O21" s="24" t="str">
        <f>IFERROR(VLOOKUP(Aug[[#This Row],[BIMS Score]],BIMS[],2,FALSE),"")</f>
        <v/>
      </c>
      <c r="P21" s="3"/>
      <c r="Q21" s="3"/>
      <c r="R21" s="2"/>
      <c r="S21" s="168"/>
      <c r="T21" s="3"/>
      <c r="U21" s="3"/>
      <c r="V21" s="3"/>
    </row>
    <row r="22" spans="1:22" ht="20.85" customHeight="1" x14ac:dyDescent="0.25">
      <c r="A22" s="21"/>
      <c r="B22" s="267"/>
      <c r="C22" s="3"/>
      <c r="D22" s="264"/>
      <c r="E22" s="264"/>
      <c r="F22" s="267"/>
      <c r="G22" s="267"/>
      <c r="H22" s="2"/>
      <c r="I22" s="2"/>
      <c r="J22" s="2"/>
      <c r="K22" s="24" t="str">
        <f>IF(Aug[[#This Row],[Date of Incident]]="","",TEXT(Aug[[#This Row],[Date of Incident]],"ddd"))</f>
        <v/>
      </c>
      <c r="L22" s="1"/>
      <c r="M22" s="24" t="str">
        <f>IFERROR(VLOOKUP(Aug[[#This Row],[Hour]],Shifts[],2,FALSE),"")</f>
        <v/>
      </c>
      <c r="N22" s="1"/>
      <c r="O22" s="24" t="str">
        <f>IFERROR(VLOOKUP(Aug[[#This Row],[BIMS Score]],BIMS[],2,FALSE),"")</f>
        <v/>
      </c>
      <c r="P22" s="3"/>
      <c r="Q22" s="3"/>
      <c r="R22" s="2"/>
      <c r="S22" s="168"/>
      <c r="T22" s="3"/>
      <c r="U22" s="3"/>
      <c r="V22" s="3"/>
    </row>
    <row r="23" spans="1:22" ht="20.85" customHeight="1" x14ac:dyDescent="0.25">
      <c r="A23" s="21"/>
      <c r="B23" s="267"/>
      <c r="C23" s="3"/>
      <c r="D23" s="264"/>
      <c r="E23" s="264"/>
      <c r="F23" s="267"/>
      <c r="G23" s="267"/>
      <c r="H23" s="2"/>
      <c r="I23" s="2"/>
      <c r="J23" s="2"/>
      <c r="K23" s="24" t="str">
        <f>IF(Aug[[#This Row],[Date of Incident]]="","",TEXT(Aug[[#This Row],[Date of Incident]],"ddd"))</f>
        <v/>
      </c>
      <c r="L23" s="1"/>
      <c r="M23" s="24" t="str">
        <f>IFERROR(VLOOKUP(Aug[[#This Row],[Hour]],Shifts[],2,FALSE),"")</f>
        <v/>
      </c>
      <c r="N23" s="1"/>
      <c r="O23" s="24" t="str">
        <f>IFERROR(VLOOKUP(Aug[[#This Row],[BIMS Score]],BIMS[],2,FALSE),"")</f>
        <v/>
      </c>
      <c r="P23" s="3"/>
      <c r="Q23" s="3"/>
      <c r="R23" s="2"/>
      <c r="S23" s="168"/>
      <c r="T23" s="3"/>
      <c r="U23" s="3"/>
      <c r="V23" s="3"/>
    </row>
    <row r="24" spans="1:22" s="10" customFormat="1" ht="20.85" customHeight="1" x14ac:dyDescent="0.25">
      <c r="A24" s="26"/>
      <c r="B24" s="266"/>
      <c r="C24" s="5"/>
      <c r="D24" s="263"/>
      <c r="E24" s="263"/>
      <c r="F24" s="267"/>
      <c r="G24" s="267"/>
      <c r="H24" s="1"/>
      <c r="I24" s="1"/>
      <c r="J24" s="1"/>
      <c r="K24" s="24" t="str">
        <f>IF(Aug[[#This Row],[Date of Incident]]="","",TEXT(Aug[[#This Row],[Date of Incident]],"ddd"))</f>
        <v/>
      </c>
      <c r="L24" s="1"/>
      <c r="M24" s="24" t="str">
        <f>IFERROR(VLOOKUP(Aug[[#This Row],[Hour]],Shifts[],2,FALSE),"")</f>
        <v/>
      </c>
      <c r="N24" s="1"/>
      <c r="O24" s="24" t="str">
        <f>IFERROR(VLOOKUP(Aug[[#This Row],[BIMS Score]],BIMS[],2,FALSE),"")</f>
        <v/>
      </c>
      <c r="P24" s="3"/>
      <c r="Q24" s="3"/>
      <c r="R24" s="2"/>
      <c r="S24" s="168"/>
      <c r="T24" s="5"/>
      <c r="U24" s="5"/>
      <c r="V24" s="3"/>
    </row>
    <row r="25" spans="1:22" ht="20.85" customHeight="1" x14ac:dyDescent="0.25">
      <c r="A25" s="21"/>
      <c r="B25" s="266"/>
      <c r="C25" s="5"/>
      <c r="D25" s="263"/>
      <c r="E25" s="263"/>
      <c r="F25" s="267"/>
      <c r="G25" s="267"/>
      <c r="H25" s="1"/>
      <c r="I25" s="1"/>
      <c r="J25" s="1"/>
      <c r="K25" s="24" t="str">
        <f>IF(Aug[[#This Row],[Date of Incident]]="","",TEXT(Aug[[#This Row],[Date of Incident]],"ddd"))</f>
        <v/>
      </c>
      <c r="L25" s="1"/>
      <c r="M25" s="24" t="str">
        <f>IFERROR(VLOOKUP(Aug[[#This Row],[Hour]],Shifts[],2,FALSE),"")</f>
        <v/>
      </c>
      <c r="N25" s="1"/>
      <c r="O25" s="24" t="str">
        <f>IFERROR(VLOOKUP(Aug[[#This Row],[BIMS Score]],BIMS[],2,FALSE),"")</f>
        <v/>
      </c>
      <c r="P25" s="3"/>
      <c r="Q25" s="3"/>
      <c r="R25" s="2"/>
      <c r="S25" s="168"/>
      <c r="T25" s="5"/>
      <c r="U25" s="5"/>
      <c r="V25" s="3"/>
    </row>
    <row r="26" spans="1:22" ht="20.85" customHeight="1" x14ac:dyDescent="0.25">
      <c r="A26" s="21"/>
      <c r="B26" s="266"/>
      <c r="C26" s="5"/>
      <c r="D26" s="263"/>
      <c r="E26" s="263"/>
      <c r="F26" s="267"/>
      <c r="G26" s="267"/>
      <c r="H26" s="1"/>
      <c r="I26" s="1"/>
      <c r="J26" s="1"/>
      <c r="K26" s="24" t="str">
        <f>IF(Aug[[#This Row],[Date of Incident]]="","",TEXT(Aug[[#This Row],[Date of Incident]],"ddd"))</f>
        <v/>
      </c>
      <c r="L26" s="1"/>
      <c r="M26" s="24" t="str">
        <f>IFERROR(VLOOKUP(Aug[[#This Row],[Hour]],Shifts[],2,FALSE),"")</f>
        <v/>
      </c>
      <c r="N26" s="1"/>
      <c r="O26" s="24" t="str">
        <f>IFERROR(VLOOKUP(Aug[[#This Row],[BIMS Score]],BIMS[],2,FALSE),"")</f>
        <v/>
      </c>
      <c r="P26" s="3"/>
      <c r="Q26" s="3"/>
      <c r="R26" s="2"/>
      <c r="S26" s="168"/>
      <c r="T26" s="5"/>
      <c r="U26" s="5"/>
      <c r="V26" s="3"/>
    </row>
    <row r="27" spans="1:22" ht="20.85" customHeight="1" x14ac:dyDescent="0.25">
      <c r="A27" s="21"/>
      <c r="B27" s="266"/>
      <c r="C27" s="5"/>
      <c r="D27" s="263"/>
      <c r="E27" s="263"/>
      <c r="F27" s="267"/>
      <c r="G27" s="267"/>
      <c r="H27" s="1"/>
      <c r="I27" s="1"/>
      <c r="J27" s="1"/>
      <c r="K27" s="24" t="str">
        <f>IF(Aug[[#This Row],[Date of Incident]]="","",TEXT(Aug[[#This Row],[Date of Incident]],"ddd"))</f>
        <v/>
      </c>
      <c r="L27" s="1"/>
      <c r="M27" s="24" t="str">
        <f>IFERROR(VLOOKUP(Aug[[#This Row],[Hour]],Shifts[],2,FALSE),"")</f>
        <v/>
      </c>
      <c r="N27" s="1"/>
      <c r="O27" s="24" t="str">
        <f>IFERROR(VLOOKUP(Aug[[#This Row],[BIMS Score]],BIMS[],2,FALSE),"")</f>
        <v/>
      </c>
      <c r="P27" s="3"/>
      <c r="Q27" s="3"/>
      <c r="R27" s="2"/>
      <c r="S27" s="168"/>
      <c r="T27" s="5"/>
      <c r="U27" s="5"/>
      <c r="V27" s="3"/>
    </row>
    <row r="28" spans="1:22" ht="20.85" customHeight="1" x14ac:dyDescent="0.25">
      <c r="A28" s="21"/>
      <c r="B28" s="266"/>
      <c r="C28" s="5"/>
      <c r="D28" s="263"/>
      <c r="E28" s="263"/>
      <c r="F28" s="267"/>
      <c r="G28" s="267"/>
      <c r="H28" s="1"/>
      <c r="I28" s="1"/>
      <c r="J28" s="1"/>
      <c r="K28" s="24" t="str">
        <f>IF(Aug[[#This Row],[Date of Incident]]="","",TEXT(Aug[[#This Row],[Date of Incident]],"ddd"))</f>
        <v/>
      </c>
      <c r="L28" s="1"/>
      <c r="M28" s="24" t="str">
        <f>IFERROR(VLOOKUP(Aug[[#This Row],[Hour]],Shifts[],2,FALSE),"")</f>
        <v/>
      </c>
      <c r="N28" s="1"/>
      <c r="O28" s="24" t="str">
        <f>IFERROR(VLOOKUP(Aug[[#This Row],[BIMS Score]],BIMS[],2,FALSE),"")</f>
        <v/>
      </c>
      <c r="P28" s="3"/>
      <c r="Q28" s="3"/>
      <c r="R28" s="2"/>
      <c r="S28" s="168"/>
      <c r="T28" s="5"/>
      <c r="U28" s="5"/>
      <c r="V28" s="3"/>
    </row>
    <row r="29" spans="1:22" ht="20.85" customHeight="1" x14ac:dyDescent="0.25">
      <c r="B29" s="266"/>
      <c r="C29" s="5"/>
      <c r="D29" s="263"/>
      <c r="E29" s="263"/>
      <c r="F29" s="267"/>
      <c r="G29" s="267"/>
      <c r="H29" s="1"/>
      <c r="I29" s="1"/>
      <c r="J29" s="1"/>
      <c r="K29" s="27" t="str">
        <f>IF(Aug[[#This Row],[Date of Incident]]="","",TEXT(Aug[[#This Row],[Date of Incident]],"ddd"))</f>
        <v/>
      </c>
      <c r="L29" s="1"/>
      <c r="M29" s="27" t="str">
        <f>IFERROR(VLOOKUP(Aug[[#This Row],[Hour]],Shifts[],2,FALSE),"")</f>
        <v/>
      </c>
      <c r="N29" s="2"/>
      <c r="O29" s="24" t="str">
        <f>IFERROR(VLOOKUP(Aug[[#This Row],[BIMS Score]],BIMS[],2,FALSE),"")</f>
        <v/>
      </c>
      <c r="P29" s="3"/>
      <c r="Q29" s="3"/>
      <c r="R29" s="2"/>
      <c r="S29" s="168"/>
      <c r="T29" s="5"/>
      <c r="U29" s="5"/>
      <c r="V29" s="5"/>
    </row>
    <row r="30" spans="1:22" ht="20.85" customHeight="1" x14ac:dyDescent="0.25">
      <c r="B30" s="266"/>
      <c r="C30" s="5"/>
      <c r="D30" s="263"/>
      <c r="E30" s="263"/>
      <c r="F30" s="267"/>
      <c r="G30" s="267"/>
      <c r="H30" s="1"/>
      <c r="I30" s="1"/>
      <c r="J30" s="1"/>
      <c r="K30" s="27" t="str">
        <f>IF(Aug[[#This Row],[Date of Incident]]="","",TEXT(Aug[[#This Row],[Date of Incident]],"ddd"))</f>
        <v/>
      </c>
      <c r="L30" s="1"/>
      <c r="M30" s="27" t="str">
        <f>IFERROR(VLOOKUP(Aug[[#This Row],[Hour]],Shifts[],2,FALSE),"")</f>
        <v/>
      </c>
      <c r="N30" s="2"/>
      <c r="O30" s="24" t="str">
        <f>IFERROR(VLOOKUP(Aug[[#This Row],[BIMS Score]],BIMS[],2,FALSE),"")</f>
        <v/>
      </c>
      <c r="P30" s="3"/>
      <c r="Q30" s="3"/>
      <c r="R30" s="2"/>
      <c r="S30" s="168"/>
      <c r="T30" s="5"/>
      <c r="U30" s="5"/>
      <c r="V30" s="5"/>
    </row>
    <row r="31" spans="1:22" ht="20.85" customHeight="1" x14ac:dyDescent="0.25">
      <c r="B31" s="266"/>
      <c r="C31" s="5"/>
      <c r="D31" s="263"/>
      <c r="E31" s="263"/>
      <c r="F31" s="267"/>
      <c r="G31" s="267"/>
      <c r="H31" s="1"/>
      <c r="I31" s="1"/>
      <c r="J31" s="1"/>
      <c r="K31" s="27" t="str">
        <f>IF(Aug[[#This Row],[Date of Incident]]="","",TEXT(Aug[[#This Row],[Date of Incident]],"ddd"))</f>
        <v/>
      </c>
      <c r="L31" s="1"/>
      <c r="M31" s="27" t="str">
        <f>IFERROR(VLOOKUP(Aug[[#This Row],[Hour]],Shifts[],2,FALSE),"")</f>
        <v/>
      </c>
      <c r="N31" s="2"/>
      <c r="O31" s="24" t="str">
        <f>IFERROR(VLOOKUP(Aug[[#This Row],[BIMS Score]],BIMS[],2,FALSE),"")</f>
        <v/>
      </c>
      <c r="P31" s="3"/>
      <c r="Q31" s="3"/>
      <c r="R31" s="2"/>
      <c r="S31" s="168"/>
      <c r="T31" s="5"/>
      <c r="U31" s="5"/>
      <c r="V31" s="5"/>
    </row>
    <row r="32" spans="1:22" ht="20.85" customHeight="1" x14ac:dyDescent="0.25">
      <c r="B32" s="266"/>
      <c r="C32" s="5"/>
      <c r="D32" s="263"/>
      <c r="E32" s="263"/>
      <c r="F32" s="267"/>
      <c r="G32" s="267"/>
      <c r="H32" s="1"/>
      <c r="I32" s="1"/>
      <c r="J32" s="1"/>
      <c r="K32" s="27" t="str">
        <f>IF(Aug[[#This Row],[Date of Incident]]="","",TEXT(Aug[[#This Row],[Date of Incident]],"ddd"))</f>
        <v/>
      </c>
      <c r="L32" s="1"/>
      <c r="M32" s="27" t="str">
        <f>IFERROR(VLOOKUP(Aug[[#This Row],[Hour]],Shifts[],2,FALSE),"")</f>
        <v/>
      </c>
      <c r="N32" s="2"/>
      <c r="O32" s="24" t="str">
        <f>IFERROR(VLOOKUP(Aug[[#This Row],[BIMS Score]],BIMS[],2,FALSE),"")</f>
        <v/>
      </c>
      <c r="P32" s="3"/>
      <c r="Q32" s="3"/>
      <c r="R32" s="2"/>
      <c r="S32" s="168"/>
      <c r="T32" s="5"/>
      <c r="U32" s="5"/>
      <c r="V32" s="5"/>
    </row>
    <row r="33" spans="2:22" ht="20.85" customHeight="1" x14ac:dyDescent="0.25">
      <c r="B33" s="266"/>
      <c r="C33" s="5"/>
      <c r="D33" s="263"/>
      <c r="E33" s="263"/>
      <c r="F33" s="267"/>
      <c r="G33" s="267"/>
      <c r="H33" s="1"/>
      <c r="I33" s="1"/>
      <c r="J33" s="1"/>
      <c r="K33" s="27" t="str">
        <f>IF(Aug[[#This Row],[Date of Incident]]="","",TEXT(Aug[[#This Row],[Date of Incident]],"ddd"))</f>
        <v/>
      </c>
      <c r="L33" s="1"/>
      <c r="M33" s="27" t="str">
        <f>IFERROR(VLOOKUP(Aug[[#This Row],[Hour]],Shifts[],2,FALSE),"")</f>
        <v/>
      </c>
      <c r="N33" s="2"/>
      <c r="O33" s="24" t="str">
        <f>IFERROR(VLOOKUP(Aug[[#This Row],[BIMS Score]],BIMS[],2,FALSE),"")</f>
        <v/>
      </c>
      <c r="P33" s="3"/>
      <c r="Q33" s="3"/>
      <c r="R33" s="2"/>
      <c r="S33" s="168"/>
      <c r="T33" s="5"/>
      <c r="U33" s="5"/>
      <c r="V33" s="5"/>
    </row>
    <row r="34" spans="2:22" ht="20.85" customHeight="1" x14ac:dyDescent="0.25">
      <c r="B34" s="266"/>
      <c r="C34" s="5"/>
      <c r="D34" s="263"/>
      <c r="E34" s="263"/>
      <c r="F34" s="267"/>
      <c r="G34" s="267"/>
      <c r="H34" s="1"/>
      <c r="I34" s="1"/>
      <c r="J34" s="1"/>
      <c r="K34" s="27" t="str">
        <f>IF(Aug[[#This Row],[Date of Incident]]="","",TEXT(Aug[[#This Row],[Date of Incident]],"ddd"))</f>
        <v/>
      </c>
      <c r="L34" s="1"/>
      <c r="M34" s="27" t="str">
        <f>IFERROR(VLOOKUP(Aug[[#This Row],[Hour]],Shifts[],2,FALSE),"")</f>
        <v/>
      </c>
      <c r="N34" s="2"/>
      <c r="O34" s="24" t="str">
        <f>IFERROR(VLOOKUP(Aug[[#This Row],[BIMS Score]],BIMS[],2,FALSE),"")</f>
        <v/>
      </c>
      <c r="P34" s="3"/>
      <c r="Q34" s="3"/>
      <c r="R34" s="2"/>
      <c r="S34" s="168"/>
      <c r="T34" s="5"/>
      <c r="U34" s="5"/>
      <c r="V34" s="5"/>
    </row>
    <row r="35" spans="2:22" ht="20.85" customHeight="1" x14ac:dyDescent="0.25">
      <c r="B35" s="266"/>
      <c r="C35" s="5"/>
      <c r="D35" s="263"/>
      <c r="E35" s="263"/>
      <c r="F35" s="267"/>
      <c r="G35" s="267"/>
      <c r="H35" s="1"/>
      <c r="I35" s="1"/>
      <c r="J35" s="1"/>
      <c r="K35" s="27" t="str">
        <f>IF(Aug[[#This Row],[Date of Incident]]="","",TEXT(Aug[[#This Row],[Date of Incident]],"ddd"))</f>
        <v/>
      </c>
      <c r="L35" s="1"/>
      <c r="M35" s="27" t="str">
        <f>IFERROR(VLOOKUP(Aug[[#This Row],[Hour]],Shifts[],2,FALSE),"")</f>
        <v/>
      </c>
      <c r="N35" s="2"/>
      <c r="O35" s="24" t="str">
        <f>IFERROR(VLOOKUP(Aug[[#This Row],[BIMS Score]],BIMS[],2,FALSE),"")</f>
        <v/>
      </c>
      <c r="P35" s="3"/>
      <c r="Q35" s="3"/>
      <c r="R35" s="2"/>
      <c r="S35" s="168"/>
      <c r="T35" s="5"/>
      <c r="U35" s="5"/>
      <c r="V35" s="5"/>
    </row>
    <row r="36" spans="2:22" ht="20.85" customHeight="1" x14ac:dyDescent="0.25">
      <c r="B36" s="266"/>
      <c r="C36" s="5"/>
      <c r="D36" s="263"/>
      <c r="E36" s="263"/>
      <c r="F36" s="267"/>
      <c r="G36" s="267"/>
      <c r="H36" s="1"/>
      <c r="I36" s="1"/>
      <c r="J36" s="1"/>
      <c r="K36" s="27" t="str">
        <f>IF(Aug[[#This Row],[Date of Incident]]="","",TEXT(Aug[[#This Row],[Date of Incident]],"ddd"))</f>
        <v/>
      </c>
      <c r="L36" s="1"/>
      <c r="M36" s="27" t="str">
        <f>IFERROR(VLOOKUP(Aug[[#This Row],[Hour]],Shifts[],2,FALSE),"")</f>
        <v/>
      </c>
      <c r="N36" s="2"/>
      <c r="O36" s="24" t="str">
        <f>IFERROR(VLOOKUP(Aug[[#This Row],[BIMS Score]],BIMS[],2,FALSE),"")</f>
        <v/>
      </c>
      <c r="P36" s="3"/>
      <c r="Q36" s="3"/>
      <c r="R36" s="2"/>
      <c r="S36" s="168"/>
      <c r="T36" s="5"/>
      <c r="U36" s="5"/>
      <c r="V36" s="5"/>
    </row>
    <row r="37" spans="2:22" ht="20.85" customHeight="1" x14ac:dyDescent="0.25">
      <c r="B37" s="266"/>
      <c r="C37" s="5"/>
      <c r="D37" s="263"/>
      <c r="E37" s="263"/>
      <c r="F37" s="267"/>
      <c r="G37" s="267"/>
      <c r="H37" s="1"/>
      <c r="I37" s="1"/>
      <c r="J37" s="1"/>
      <c r="K37" s="27" t="str">
        <f>IF(Aug[[#This Row],[Date of Incident]]="","",TEXT(Aug[[#This Row],[Date of Incident]],"ddd"))</f>
        <v/>
      </c>
      <c r="L37" s="1"/>
      <c r="M37" s="27" t="str">
        <f>IFERROR(VLOOKUP(Aug[[#This Row],[Hour]],Shifts[],2,FALSE),"")</f>
        <v/>
      </c>
      <c r="N37" s="2"/>
      <c r="O37" s="24" t="str">
        <f>IFERROR(VLOOKUP(Aug[[#This Row],[BIMS Score]],BIMS[],2,FALSE),"")</f>
        <v/>
      </c>
      <c r="P37" s="3"/>
      <c r="Q37" s="3"/>
      <c r="R37" s="2"/>
      <c r="S37" s="168"/>
      <c r="T37" s="5"/>
      <c r="U37" s="5"/>
      <c r="V37" s="5"/>
    </row>
    <row r="38" spans="2:22" ht="20.85" customHeight="1" x14ac:dyDescent="0.25">
      <c r="B38" s="266"/>
      <c r="C38" s="5"/>
      <c r="D38" s="263"/>
      <c r="E38" s="263"/>
      <c r="F38" s="267"/>
      <c r="G38" s="267"/>
      <c r="H38" s="1"/>
      <c r="I38" s="1"/>
      <c r="J38" s="1"/>
      <c r="K38" s="27" t="str">
        <f>IF(Aug[[#This Row],[Date of Incident]]="","",TEXT(Aug[[#This Row],[Date of Incident]],"ddd"))</f>
        <v/>
      </c>
      <c r="L38" s="1"/>
      <c r="M38" s="27" t="str">
        <f>IFERROR(VLOOKUP(Aug[[#This Row],[Hour]],Shifts[],2,FALSE),"")</f>
        <v/>
      </c>
      <c r="N38" s="2"/>
      <c r="O38" s="24" t="str">
        <f>IFERROR(VLOOKUP(Aug[[#This Row],[BIMS Score]],BIMS[],2,FALSE),"")</f>
        <v/>
      </c>
      <c r="P38" s="3"/>
      <c r="Q38" s="3"/>
      <c r="R38" s="2"/>
      <c r="S38" s="168"/>
      <c r="T38" s="5"/>
      <c r="U38" s="5"/>
      <c r="V38" s="5"/>
    </row>
    <row r="39" spans="2:22" ht="20.85" customHeight="1" x14ac:dyDescent="0.25">
      <c r="B39" s="266"/>
      <c r="C39" s="5"/>
      <c r="D39" s="263"/>
      <c r="E39" s="263"/>
      <c r="F39" s="267"/>
      <c r="G39" s="267"/>
      <c r="H39" s="1"/>
      <c r="I39" s="1"/>
      <c r="J39" s="1"/>
      <c r="K39" s="27" t="str">
        <f>IF(Aug[[#This Row],[Date of Incident]]="","",TEXT(Aug[[#This Row],[Date of Incident]],"ddd"))</f>
        <v/>
      </c>
      <c r="L39" s="1"/>
      <c r="M39" s="27" t="str">
        <f>IFERROR(VLOOKUP(Aug[[#This Row],[Hour]],Shifts[],2,FALSE),"")</f>
        <v/>
      </c>
      <c r="N39" s="2"/>
      <c r="O39" s="24" t="str">
        <f>IFERROR(VLOOKUP(Aug[[#This Row],[BIMS Score]],BIMS[],2,FALSE),"")</f>
        <v/>
      </c>
      <c r="P39" s="3"/>
      <c r="Q39" s="3"/>
      <c r="R39" s="2"/>
      <c r="S39" s="168"/>
      <c r="T39" s="5"/>
      <c r="U39" s="5"/>
      <c r="V39" s="5"/>
    </row>
    <row r="40" spans="2:22" ht="20.85" customHeight="1" x14ac:dyDescent="0.25">
      <c r="B40" s="266"/>
      <c r="C40" s="5"/>
      <c r="D40" s="263"/>
      <c r="E40" s="263"/>
      <c r="F40" s="267"/>
      <c r="G40" s="267"/>
      <c r="H40" s="1"/>
      <c r="I40" s="1"/>
      <c r="J40" s="1"/>
      <c r="K40" s="27" t="str">
        <f>IF(Aug[[#This Row],[Date of Incident]]="","",TEXT(Aug[[#This Row],[Date of Incident]],"ddd"))</f>
        <v/>
      </c>
      <c r="L40" s="1"/>
      <c r="M40" s="27" t="str">
        <f>IFERROR(VLOOKUP(Aug[[#This Row],[Hour]],Shifts[],2,FALSE),"")</f>
        <v/>
      </c>
      <c r="N40" s="2"/>
      <c r="O40" s="24" t="str">
        <f>IFERROR(VLOOKUP(Aug[[#This Row],[BIMS Score]],BIMS[],2,FALSE),"")</f>
        <v/>
      </c>
      <c r="P40" s="3"/>
      <c r="Q40" s="3"/>
      <c r="R40" s="2"/>
      <c r="S40" s="168"/>
      <c r="T40" s="5"/>
      <c r="U40" s="5"/>
      <c r="V40" s="5"/>
    </row>
    <row r="41" spans="2:22" x14ac:dyDescent="0.25">
      <c r="B41" s="26"/>
      <c r="C41" s="21"/>
      <c r="D41" s="22"/>
      <c r="E41" s="23"/>
      <c r="F41" s="26"/>
      <c r="G41" s="26"/>
      <c r="H41" s="26"/>
      <c r="I41" s="26"/>
      <c r="J41" s="26"/>
      <c r="K41" s="26"/>
      <c r="L41" s="26"/>
      <c r="M41" s="26"/>
      <c r="N41" s="20"/>
      <c r="O41" s="25"/>
      <c r="P41" s="21"/>
      <c r="Q41" s="21"/>
      <c r="R41" s="25"/>
    </row>
    <row r="42" spans="2:22" x14ac:dyDescent="0.25">
      <c r="B42" s="26"/>
      <c r="C42" s="21"/>
      <c r="D42" s="22"/>
      <c r="E42" s="23"/>
      <c r="F42" s="26"/>
      <c r="G42" s="26"/>
      <c r="H42" s="26"/>
      <c r="I42" s="26"/>
      <c r="J42" s="26"/>
      <c r="K42" s="26"/>
      <c r="L42" s="26"/>
      <c r="M42" s="26"/>
      <c r="N42" s="20"/>
      <c r="O42" s="25"/>
      <c r="P42" s="21"/>
      <c r="Q42" s="21"/>
      <c r="R42" s="25"/>
    </row>
    <row r="43" spans="2:22" x14ac:dyDescent="0.25">
      <c r="B43" s="26"/>
      <c r="C43" s="21"/>
      <c r="D43" s="22"/>
      <c r="E43" s="23"/>
      <c r="F43" s="26"/>
      <c r="G43" s="26"/>
      <c r="H43" s="26"/>
      <c r="I43" s="26"/>
      <c r="J43" s="26"/>
      <c r="K43" s="26"/>
      <c r="L43" s="26"/>
      <c r="M43" s="26"/>
      <c r="N43" s="20"/>
      <c r="O43" s="25"/>
      <c r="P43" s="21"/>
      <c r="Q43" s="21"/>
      <c r="R43" s="25"/>
    </row>
    <row r="44" spans="2:22" x14ac:dyDescent="0.25">
      <c r="B44" s="26"/>
      <c r="C44" s="21"/>
      <c r="D44" s="22"/>
      <c r="E44" s="23"/>
      <c r="F44" s="26"/>
      <c r="G44" s="26"/>
      <c r="H44" s="26"/>
      <c r="I44" s="26"/>
      <c r="J44" s="26"/>
      <c r="K44" s="26"/>
      <c r="L44" s="26"/>
      <c r="M44" s="26"/>
      <c r="N44" s="20"/>
      <c r="O44" s="25"/>
      <c r="P44" s="21"/>
      <c r="Q44" s="21"/>
      <c r="R44" s="25"/>
    </row>
    <row r="45" spans="2:22" x14ac:dyDescent="0.25">
      <c r="B45" s="26"/>
      <c r="C45" s="21"/>
      <c r="D45" s="22"/>
      <c r="E45" s="23"/>
      <c r="F45" s="26"/>
      <c r="G45" s="26"/>
      <c r="H45" s="26"/>
      <c r="I45" s="26"/>
      <c r="J45" s="26"/>
      <c r="K45" s="26"/>
      <c r="L45" s="26"/>
      <c r="M45" s="26"/>
      <c r="N45" s="20"/>
      <c r="O45" s="25"/>
      <c r="P45" s="21"/>
      <c r="Q45" s="21"/>
      <c r="R45" s="25"/>
    </row>
    <row r="46" spans="2:22" x14ac:dyDescent="0.25">
      <c r="B46" s="26"/>
      <c r="C46" s="21"/>
      <c r="D46" s="22"/>
      <c r="E46" s="23"/>
      <c r="F46" s="26"/>
      <c r="G46" s="26"/>
      <c r="H46" s="26"/>
      <c r="I46" s="26"/>
      <c r="J46" s="26"/>
      <c r="K46" s="26"/>
      <c r="L46" s="26"/>
      <c r="M46" s="26"/>
      <c r="N46" s="20"/>
      <c r="O46" s="25"/>
      <c r="P46" s="21"/>
      <c r="Q46" s="21"/>
      <c r="R46" s="25"/>
    </row>
    <row r="47" spans="2:22" x14ac:dyDescent="0.25">
      <c r="B47" s="26"/>
      <c r="C47" s="21"/>
      <c r="D47" s="22"/>
      <c r="E47" s="23"/>
      <c r="F47" s="26"/>
      <c r="G47" s="26"/>
      <c r="H47" s="26"/>
      <c r="I47" s="26"/>
      <c r="J47" s="26"/>
      <c r="K47" s="26"/>
      <c r="L47" s="26"/>
      <c r="M47" s="26"/>
      <c r="N47" s="20"/>
      <c r="O47" s="25"/>
      <c r="P47" s="21"/>
      <c r="Q47" s="21"/>
      <c r="R47" s="25"/>
    </row>
    <row r="48" spans="2:22" x14ac:dyDescent="0.25">
      <c r="B48" s="26"/>
      <c r="C48" s="21"/>
      <c r="D48" s="22"/>
      <c r="E48" s="23"/>
      <c r="F48" s="26"/>
      <c r="G48" s="26"/>
      <c r="H48" s="26"/>
      <c r="I48" s="26"/>
      <c r="J48" s="26"/>
      <c r="K48" s="26"/>
      <c r="L48" s="26"/>
      <c r="M48" s="26"/>
      <c r="N48" s="20"/>
      <c r="O48" s="25"/>
      <c r="P48" s="21"/>
      <c r="Q48" s="21"/>
      <c r="R48" s="25"/>
    </row>
    <row r="49" spans="1:18" x14ac:dyDescent="0.25">
      <c r="B49" s="26"/>
      <c r="C49" s="21"/>
      <c r="D49" s="22"/>
      <c r="E49" s="23"/>
      <c r="F49" s="26"/>
      <c r="G49" s="26"/>
      <c r="H49" s="26"/>
      <c r="I49" s="26"/>
      <c r="J49" s="26"/>
      <c r="K49" s="26"/>
      <c r="L49" s="26"/>
      <c r="M49" s="26"/>
      <c r="N49" s="20"/>
      <c r="O49" s="25"/>
      <c r="P49" s="21"/>
      <c r="Q49" s="21"/>
      <c r="R49" s="25"/>
    </row>
    <row r="50" spans="1:18" ht="15.75" thickBot="1" x14ac:dyDescent="0.3">
      <c r="B50" s="26"/>
      <c r="C50" s="21"/>
      <c r="D50" s="22"/>
      <c r="E50" s="23"/>
      <c r="F50" s="26"/>
      <c r="G50" s="26"/>
      <c r="H50" s="26"/>
      <c r="I50" s="26"/>
      <c r="Q50" s="21"/>
    </row>
    <row r="51" spans="1:18" ht="22.35" customHeight="1" thickBot="1" x14ac:dyDescent="0.3">
      <c r="B51" s="282" t="s">
        <v>85</v>
      </c>
      <c r="C51" s="283"/>
      <c r="D51" s="284"/>
      <c r="F51" s="282" t="s">
        <v>100</v>
      </c>
      <c r="G51" s="283"/>
      <c r="H51" s="284"/>
    </row>
    <row r="52" spans="1:18" ht="15.6" customHeight="1" x14ac:dyDescent="0.25">
      <c r="B52" s="285" t="s">
        <v>83</v>
      </c>
      <c r="C52" s="286"/>
      <c r="D52" s="28" t="s">
        <v>35</v>
      </c>
      <c r="F52" s="285" t="s">
        <v>83</v>
      </c>
      <c r="G52" s="286"/>
      <c r="H52" s="28" t="s">
        <v>35</v>
      </c>
    </row>
    <row r="53" spans="1:18" x14ac:dyDescent="0.25">
      <c r="B53" s="29" t="s">
        <v>41</v>
      </c>
      <c r="C53" s="30"/>
      <c r="D53" s="31">
        <f>COUNTIFS(Aug[Witnessed
Fall?],$B53)</f>
        <v>0</v>
      </c>
      <c r="F53" s="29" t="s">
        <v>79</v>
      </c>
      <c r="G53" s="30"/>
      <c r="H53" s="31">
        <f>COUNTIFS(Aug[Fall Circumstances],$F53)</f>
        <v>0</v>
      </c>
    </row>
    <row r="54" spans="1:18" ht="15.75" thickBot="1" x14ac:dyDescent="0.3">
      <c r="B54" s="32" t="s">
        <v>42</v>
      </c>
      <c r="C54" s="33"/>
      <c r="D54" s="34">
        <f>COUNTIFS(Aug[Witnessed
Fall?],$B54)</f>
        <v>0</v>
      </c>
      <c r="F54" s="29" t="s">
        <v>101</v>
      </c>
      <c r="G54" s="30"/>
      <c r="H54" s="31">
        <f>COUNTIFS(Aug[Fall Circumstances],$F54)</f>
        <v>0</v>
      </c>
    </row>
    <row r="55" spans="1:18" ht="15.6" customHeight="1" thickBot="1" x14ac:dyDescent="0.3">
      <c r="B55" s="287" t="s">
        <v>16</v>
      </c>
      <c r="C55" s="288"/>
      <c r="D55" s="35">
        <f>SUM(D53:D54)</f>
        <v>0</v>
      </c>
      <c r="F55" s="32" t="s">
        <v>102</v>
      </c>
      <c r="G55" s="33"/>
      <c r="H55" s="36">
        <f>COUNTIFS(Aug[Fall Circumstances],$F55)</f>
        <v>0</v>
      </c>
    </row>
    <row r="56" spans="1:18" ht="15.6" customHeight="1" thickBot="1" x14ac:dyDescent="0.3">
      <c r="A56" s="26"/>
      <c r="B56" s="21"/>
      <c r="C56" s="22"/>
      <c r="D56" s="26"/>
      <c r="F56" s="287" t="s">
        <v>16</v>
      </c>
      <c r="G56" s="288"/>
      <c r="H56" s="37">
        <f>SUM(H53:H55)</f>
        <v>0</v>
      </c>
    </row>
    <row r="57" spans="1:18" ht="15.75" thickBot="1" x14ac:dyDescent="0.3">
      <c r="A57" s="26"/>
      <c r="B57" s="21"/>
      <c r="C57" s="22"/>
      <c r="D57" s="26"/>
      <c r="F57" s="26"/>
      <c r="G57" s="21"/>
      <c r="H57" s="22"/>
      <c r="L57" s="21"/>
      <c r="O57" s="22"/>
    </row>
    <row r="58" spans="1:18" ht="15.75" thickBot="1" x14ac:dyDescent="0.3">
      <c r="A58" s="26"/>
      <c r="B58" s="21"/>
      <c r="C58" s="22"/>
      <c r="D58" s="26"/>
      <c r="F58" s="282" t="s">
        <v>103</v>
      </c>
      <c r="G58" s="283"/>
      <c r="H58" s="284"/>
      <c r="L58" s="21"/>
      <c r="O58" s="22"/>
    </row>
    <row r="59" spans="1:18" x14ac:dyDescent="0.25">
      <c r="A59" s="26"/>
      <c r="B59" s="21"/>
      <c r="C59" s="22"/>
      <c r="D59" s="26"/>
      <c r="F59" s="285" t="s">
        <v>26</v>
      </c>
      <c r="G59" s="286"/>
      <c r="H59" s="28" t="s">
        <v>35</v>
      </c>
      <c r="L59" s="21"/>
      <c r="O59" s="22"/>
    </row>
    <row r="60" spans="1:18" ht="15.6" customHeight="1" x14ac:dyDescent="0.25">
      <c r="F60" s="29" t="s">
        <v>142</v>
      </c>
      <c r="G60" s="30"/>
      <c r="H60" s="31">
        <f>COUNTIFS(Aug[Cognitive Impairment],$F60)</f>
        <v>0</v>
      </c>
    </row>
    <row r="61" spans="1:18" x14ac:dyDescent="0.25">
      <c r="F61" s="29" t="s">
        <v>143</v>
      </c>
      <c r="G61" s="30"/>
      <c r="H61" s="31">
        <f>COUNTIFS(Aug[Cognitive Impairment],$F61)</f>
        <v>0</v>
      </c>
    </row>
    <row r="62" spans="1:18" ht="15.75" thickBot="1" x14ac:dyDescent="0.3">
      <c r="F62" s="32" t="s">
        <v>144</v>
      </c>
      <c r="G62" s="33"/>
      <c r="H62" s="31">
        <f>COUNTIFS(Aug[Cognitive Impairment],$F62)</f>
        <v>0</v>
      </c>
    </row>
    <row r="63" spans="1:18" ht="15.75" thickBot="1" x14ac:dyDescent="0.3">
      <c r="F63" s="287" t="s">
        <v>16</v>
      </c>
      <c r="G63" s="288"/>
      <c r="H63" s="37">
        <f>SUM(H60:H62)</f>
        <v>0</v>
      </c>
    </row>
    <row r="64" spans="1:18" ht="15.75" thickBot="1" x14ac:dyDescent="0.3"/>
    <row r="65" spans="1:8" ht="21.4" customHeight="1" thickBot="1" x14ac:dyDescent="0.3">
      <c r="B65" s="282" t="s">
        <v>78</v>
      </c>
      <c r="C65" s="283"/>
      <c r="D65" s="283"/>
      <c r="E65" s="283"/>
      <c r="F65" s="283"/>
      <c r="G65" s="284"/>
    </row>
    <row r="66" spans="1:8" ht="15.6" customHeight="1" x14ac:dyDescent="0.25">
      <c r="A66" s="38"/>
      <c r="B66" s="290" t="s">
        <v>86</v>
      </c>
      <c r="C66" s="291"/>
      <c r="D66" s="291"/>
      <c r="E66" s="291"/>
      <c r="F66" s="292"/>
      <c r="G66" s="28" t="s">
        <v>35</v>
      </c>
    </row>
    <row r="67" spans="1:8" x14ac:dyDescent="0.25">
      <c r="A67" s="38"/>
      <c r="B67" s="39" t="str" cm="1">
        <f t="array" ref="B67:B90">IF(_xlfn._xlws.SORT(PriortoFall[What was the resident doing prior to fall?],1,1,TRUE)=0,"",(_xlfn._xlws.SORT(PriortoFall[What was the resident doing prior to fall?],1,1,TRUE)))</f>
        <v>Ambulating with assistive device (walker, cane, wheelchair)</v>
      </c>
      <c r="C67" s="40"/>
      <c r="D67" s="40"/>
      <c r="E67" s="40"/>
      <c r="F67" s="41"/>
      <c r="G67" s="42">
        <f>IF($B67="",NA(),COUNTIFS(Aug[What was resident doing prior to fall?],$B67))</f>
        <v>0</v>
      </c>
      <c r="H67" s="43"/>
    </row>
    <row r="68" spans="1:8" x14ac:dyDescent="0.25">
      <c r="A68" s="38"/>
      <c r="B68" s="44" t="str">
        <v>Ambulating with staff assistance</v>
      </c>
      <c r="C68" s="45"/>
      <c r="D68" s="45"/>
      <c r="E68" s="45"/>
      <c r="F68" s="46"/>
      <c r="G68" s="42">
        <f>IF($B68="",NA(),COUNTIFS(Aug[What was resident doing prior to fall?],$B68))</f>
        <v>0</v>
      </c>
    </row>
    <row r="69" spans="1:8" x14ac:dyDescent="0.25">
      <c r="A69" s="38"/>
      <c r="B69" s="39" t="str">
        <v>Ambulating without assistance or assistive device</v>
      </c>
      <c r="C69" s="40"/>
      <c r="D69" s="40"/>
      <c r="E69" s="40"/>
      <c r="F69" s="41"/>
      <c r="G69" s="42">
        <f>IF($B69="",NA(),COUNTIFS(Aug[What was resident doing prior to fall?],$B69))</f>
        <v>0</v>
      </c>
    </row>
    <row r="70" spans="1:8" x14ac:dyDescent="0.25">
      <c r="A70" s="38"/>
      <c r="B70" s="44" t="str">
        <v>Changing position (e.g., in bed, chair)</v>
      </c>
      <c r="C70" s="45"/>
      <c r="D70" s="45"/>
      <c r="E70" s="45"/>
      <c r="F70" s="46"/>
      <c r="G70" s="42">
        <f>IF($B70="",NA(),COUNTIFS(Aug[What was resident doing prior to fall?],$B70))</f>
        <v>0</v>
      </c>
    </row>
    <row r="71" spans="1:8" x14ac:dyDescent="0.25">
      <c r="A71" s="38"/>
      <c r="B71" s="44" t="str">
        <v>Dressing or undressing</v>
      </c>
      <c r="C71" s="45"/>
      <c r="D71" s="45"/>
      <c r="E71" s="45"/>
      <c r="F71" s="46"/>
      <c r="G71" s="42">
        <f>IF($B71="",NA(),COUNTIFS(Aug[What was resident doing prior to fall?],$B71))</f>
        <v>0</v>
      </c>
    </row>
    <row r="72" spans="1:8" x14ac:dyDescent="0.25">
      <c r="A72" s="38"/>
      <c r="B72" s="44" t="str">
        <v>Other activity</v>
      </c>
      <c r="C72" s="45"/>
      <c r="D72" s="45"/>
      <c r="E72" s="45"/>
      <c r="F72" s="46"/>
      <c r="G72" s="42">
        <f>IF($B72="",NA(),COUNTIFS(Aug[What was resident doing prior to fall?],$B72))</f>
        <v>0</v>
      </c>
    </row>
    <row r="73" spans="1:8" x14ac:dyDescent="0.25">
      <c r="A73" s="38"/>
      <c r="B73" s="44" t="str">
        <v>Reaching for an item</v>
      </c>
      <c r="C73" s="45"/>
      <c r="D73" s="45"/>
      <c r="E73" s="45"/>
      <c r="F73" s="46"/>
      <c r="G73" s="42">
        <f>IF($B73="",NA(),COUNTIFS(Aug[What was resident doing prior to fall?],$B73))</f>
        <v>0</v>
      </c>
    </row>
    <row r="74" spans="1:8" x14ac:dyDescent="0.25">
      <c r="A74" s="38"/>
      <c r="B74" s="44" t="str">
        <v>Showering or bathing</v>
      </c>
      <c r="C74" s="45"/>
      <c r="D74" s="45"/>
      <c r="E74" s="45"/>
      <c r="F74" s="46"/>
      <c r="G74" s="42">
        <f>IF($B74="",NA(),COUNTIFS(Aug[What was resident doing prior to fall?],$B74))</f>
        <v>0</v>
      </c>
    </row>
    <row r="75" spans="1:8" x14ac:dyDescent="0.25">
      <c r="A75" s="38"/>
      <c r="B75" s="44" t="str">
        <v>Toileting</v>
      </c>
      <c r="C75" s="45"/>
      <c r="D75" s="45"/>
      <c r="E75" s="45"/>
      <c r="F75" s="46"/>
      <c r="G75" s="42">
        <f>IF($B75="",NA(),COUNTIFS(Aug[What was resident doing prior to fall?],$B75))</f>
        <v>0</v>
      </c>
    </row>
    <row r="76" spans="1:8" x14ac:dyDescent="0.25">
      <c r="A76" s="38"/>
      <c r="B76" s="44" t="str">
        <v>Transferring to or from bed, chair, wheelchair, etc.</v>
      </c>
      <c r="C76" s="45"/>
      <c r="D76" s="45"/>
      <c r="E76" s="45"/>
      <c r="F76" s="46"/>
      <c r="G76" s="42">
        <f>IF($B76="",NA(),COUNTIFS(Aug[What was resident doing prior to fall?],$B76))</f>
        <v>0</v>
      </c>
    </row>
    <row r="77" spans="1:8" x14ac:dyDescent="0.25">
      <c r="A77" s="38"/>
      <c r="B77" s="39" t="str">
        <v>Unknown</v>
      </c>
      <c r="C77" s="40"/>
      <c r="D77" s="40"/>
      <c r="E77" s="40"/>
      <c r="F77" s="41"/>
      <c r="G77" s="42">
        <f>IF($B77="",NA(),COUNTIFS(Aug[What was resident doing prior to fall?],$B77))</f>
        <v>0</v>
      </c>
    </row>
    <row r="78" spans="1:8" x14ac:dyDescent="0.25">
      <c r="A78" s="38"/>
      <c r="B78" s="44" t="str">
        <v/>
      </c>
      <c r="C78" s="45"/>
      <c r="D78" s="45"/>
      <c r="E78" s="45"/>
      <c r="F78" s="46"/>
      <c r="G78" s="42" t="e">
        <f>IF($B78="",NA(),COUNTIFS(Aug[What was resident doing prior to fall?],$B78))</f>
        <v>#N/A</v>
      </c>
    </row>
    <row r="79" spans="1:8" x14ac:dyDescent="0.25">
      <c r="A79" s="38"/>
      <c r="B79" s="39" t="str">
        <v/>
      </c>
      <c r="C79" s="40"/>
      <c r="D79" s="40"/>
      <c r="E79" s="40"/>
      <c r="F79" s="41"/>
      <c r="G79" s="42" t="e">
        <f>IF($B79="",NA(),COUNTIFS(Aug[What was resident doing prior to fall?],$B79))</f>
        <v>#N/A</v>
      </c>
    </row>
    <row r="80" spans="1:8" x14ac:dyDescent="0.25">
      <c r="A80" s="38"/>
      <c r="B80" s="44" t="str">
        <v/>
      </c>
      <c r="C80" s="45"/>
      <c r="D80" s="45"/>
      <c r="E80" s="45"/>
      <c r="F80" s="46"/>
      <c r="G80" s="42" t="e">
        <f>IF($B80="",NA(),COUNTIFS(Aug[What was resident doing prior to fall?],$B80))</f>
        <v>#N/A</v>
      </c>
    </row>
    <row r="81" spans="1:7" x14ac:dyDescent="0.25">
      <c r="A81" s="38"/>
      <c r="B81" s="39" t="str">
        <v/>
      </c>
      <c r="C81" s="40"/>
      <c r="D81" s="40"/>
      <c r="E81" s="40"/>
      <c r="F81" s="41"/>
      <c r="G81" s="42" t="e">
        <f>IF($B81="",NA(),COUNTIFS(Aug[What was resident doing prior to fall?],$B81))</f>
        <v>#N/A</v>
      </c>
    </row>
    <row r="82" spans="1:7" x14ac:dyDescent="0.25">
      <c r="A82" s="38"/>
      <c r="B82" s="44" t="str">
        <v/>
      </c>
      <c r="C82" s="45"/>
      <c r="D82" s="45"/>
      <c r="E82" s="45"/>
      <c r="F82" s="46"/>
      <c r="G82" s="42" t="e">
        <f>IF($B82="",NA(),COUNTIFS(Aug[What was resident doing prior to fall?],$B82))</f>
        <v>#N/A</v>
      </c>
    </row>
    <row r="83" spans="1:7" x14ac:dyDescent="0.25">
      <c r="A83" s="38"/>
      <c r="B83" s="39" t="str">
        <v/>
      </c>
      <c r="C83" s="40"/>
      <c r="D83" s="40"/>
      <c r="E83" s="40"/>
      <c r="F83" s="41"/>
      <c r="G83" s="42" t="e">
        <f>IF($B83="",NA(),COUNTIFS(Aug[What was resident doing prior to fall?],$B83))</f>
        <v>#N/A</v>
      </c>
    </row>
    <row r="84" spans="1:7" x14ac:dyDescent="0.25">
      <c r="A84" s="38"/>
      <c r="B84" s="44" t="str">
        <v/>
      </c>
      <c r="C84" s="45"/>
      <c r="D84" s="45"/>
      <c r="E84" s="45"/>
      <c r="F84" s="46"/>
      <c r="G84" s="42" t="e">
        <f>IF($B84="",NA(),COUNTIFS(Aug[What was resident doing prior to fall?],$B84))</f>
        <v>#N/A</v>
      </c>
    </row>
    <row r="85" spans="1:7" x14ac:dyDescent="0.25">
      <c r="A85" s="38"/>
      <c r="B85" s="44" t="str">
        <v/>
      </c>
      <c r="C85" s="45"/>
      <c r="D85" s="45"/>
      <c r="E85" s="45"/>
      <c r="F85" s="46"/>
      <c r="G85" s="42" t="e">
        <f>IF($B85="",NA(),COUNTIFS(Aug[What was resident doing prior to fall?],$B85))</f>
        <v>#N/A</v>
      </c>
    </row>
    <row r="86" spans="1:7" x14ac:dyDescent="0.25">
      <c r="A86" s="38"/>
      <c r="B86" s="39" t="str">
        <v/>
      </c>
      <c r="C86" s="40"/>
      <c r="D86" s="40"/>
      <c r="E86" s="40"/>
      <c r="F86" s="41"/>
      <c r="G86" s="42" t="e">
        <f>IF($B86="",NA(),COUNTIFS(Aug[What was resident doing prior to fall?],$B86))</f>
        <v>#N/A</v>
      </c>
    </row>
    <row r="87" spans="1:7" x14ac:dyDescent="0.25">
      <c r="A87" s="38"/>
      <c r="B87" s="44" t="str">
        <v/>
      </c>
      <c r="C87" s="45"/>
      <c r="D87" s="45"/>
      <c r="E87" s="45"/>
      <c r="F87" s="46"/>
      <c r="G87" s="42" t="e">
        <f>IF($B87="",NA(),COUNTIFS(Aug[What was resident doing prior to fall?],$B87))</f>
        <v>#N/A</v>
      </c>
    </row>
    <row r="88" spans="1:7" x14ac:dyDescent="0.25">
      <c r="A88" s="38"/>
      <c r="B88" s="39" t="str">
        <v/>
      </c>
      <c r="C88" s="40"/>
      <c r="D88" s="40"/>
      <c r="E88" s="40"/>
      <c r="F88" s="41"/>
      <c r="G88" s="42" t="e">
        <f>IF($B88="",NA(),COUNTIFS(Aug[What was resident doing prior to fall?],$B88))</f>
        <v>#N/A</v>
      </c>
    </row>
    <row r="89" spans="1:7" x14ac:dyDescent="0.25">
      <c r="A89" s="38"/>
      <c r="B89" s="44" t="str">
        <v/>
      </c>
      <c r="C89" s="45"/>
      <c r="D89" s="45"/>
      <c r="E89" s="45"/>
      <c r="F89" s="46"/>
      <c r="G89" s="42" t="e">
        <f>IF($B89="",NA(),COUNTIFS(Aug[What was resident doing prior to fall?],$B89))</f>
        <v>#N/A</v>
      </c>
    </row>
    <row r="90" spans="1:7" ht="15.75" thickBot="1" x14ac:dyDescent="0.3">
      <c r="A90" s="38"/>
      <c r="B90" s="47" t="str">
        <v/>
      </c>
      <c r="C90" s="47"/>
      <c r="D90" s="47"/>
      <c r="E90" s="47"/>
      <c r="F90" s="48"/>
      <c r="G90" s="42" t="e">
        <f>IF($B90="",NA(),COUNTIFS(Aug[What was resident doing prior to fall?],$B90))</f>
        <v>#N/A</v>
      </c>
    </row>
    <row r="91" spans="1:7" ht="15.6" customHeight="1" thickBot="1" x14ac:dyDescent="0.3">
      <c r="B91" s="287" t="s">
        <v>35</v>
      </c>
      <c r="C91" s="288"/>
      <c r="D91" s="288"/>
      <c r="E91" s="288"/>
      <c r="F91" s="289"/>
      <c r="G91" s="37">
        <f>_xlfn.AGGREGATE(9,6,G67:G90)</f>
        <v>0</v>
      </c>
    </row>
    <row r="92" spans="1:7" ht="15.75" thickBot="1" x14ac:dyDescent="0.3"/>
    <row r="93" spans="1:7" ht="22.35" customHeight="1" thickBot="1" x14ac:dyDescent="0.3">
      <c r="B93" s="295" t="s">
        <v>173</v>
      </c>
      <c r="C93" s="296"/>
      <c r="D93" s="297"/>
    </row>
    <row r="94" spans="1:7" x14ac:dyDescent="0.25">
      <c r="A94" s="38"/>
      <c r="B94" s="300" t="s">
        <v>1</v>
      </c>
      <c r="C94" s="301"/>
      <c r="D94" s="49" t="s">
        <v>35</v>
      </c>
    </row>
    <row r="95" spans="1:7" x14ac:dyDescent="0.25">
      <c r="A95" s="38"/>
      <c r="B95" s="50" t="str" cm="1">
        <f t="array" ref="B95:B105">IF(_xlfn._xlws.SORT(Location[Location],1,1,TRUE)=0,"",(_xlfn._xlws.SORT(Location[Location],1,1,TRUE)))</f>
        <v>Activity Room</v>
      </c>
      <c r="C95" s="51"/>
      <c r="D95" s="52">
        <f>IF($B95="",NA(),COUNTIFS(Aug[Location],$B95))</f>
        <v>0</v>
      </c>
    </row>
    <row r="96" spans="1:7" x14ac:dyDescent="0.25">
      <c r="A96" s="38"/>
      <c r="B96" s="50" t="str">
        <v>Bedroom</v>
      </c>
      <c r="C96" s="51"/>
      <c r="D96" s="52">
        <f>IF($B96="",NA(),COUNTIFS(Aug[Location],$B96))</f>
        <v>0</v>
      </c>
    </row>
    <row r="97" spans="1:4" x14ac:dyDescent="0.25">
      <c r="A97" s="38"/>
      <c r="B97" s="50" t="str">
        <v>Bathroom</v>
      </c>
      <c r="C97" s="51"/>
      <c r="D97" s="52">
        <f>IF($B97="",NA(),COUNTIFS(Aug[Location],$B97))</f>
        <v>0</v>
      </c>
    </row>
    <row r="98" spans="1:4" x14ac:dyDescent="0.25">
      <c r="A98" s="38"/>
      <c r="B98" s="50" t="str">
        <v>Hallway</v>
      </c>
      <c r="C98" s="51"/>
      <c r="D98" s="52">
        <f>IF($B98="",NA(),COUNTIFS(Aug[Location],$B98))</f>
        <v>0</v>
      </c>
    </row>
    <row r="99" spans="1:4" x14ac:dyDescent="0.25">
      <c r="A99" s="38"/>
      <c r="B99" s="50" t="str">
        <v>Offsite</v>
      </c>
      <c r="C99" s="51"/>
      <c r="D99" s="52">
        <f>IF($B99="",NA(),COUNTIFS(Aug[Location],$B99))</f>
        <v>0</v>
      </c>
    </row>
    <row r="100" spans="1:4" x14ac:dyDescent="0.25">
      <c r="A100" s="38"/>
      <c r="B100" s="53" t="str">
        <v>Shower Room</v>
      </c>
      <c r="C100" s="54"/>
      <c r="D100" s="52">
        <f>IF($B100="",NA(),COUNTIFS(Aug[Location],$B100))</f>
        <v>0</v>
      </c>
    </row>
    <row r="101" spans="1:4" x14ac:dyDescent="0.25">
      <c r="A101" s="38"/>
      <c r="B101" s="55" t="str">
        <v>Dining Room</v>
      </c>
      <c r="C101" s="56"/>
      <c r="D101" s="52">
        <f>IF($B101="",NA(),COUNTIFS(Aug[Location],$B101))</f>
        <v>0</v>
      </c>
    </row>
    <row r="102" spans="1:4" x14ac:dyDescent="0.25">
      <c r="A102" s="38"/>
      <c r="B102" s="57" t="str">
        <v/>
      </c>
      <c r="C102" s="58"/>
      <c r="D102" s="52" t="e">
        <f>IF($B102="",NA(),COUNTIFS(Aug[Location],$B102))</f>
        <v>#N/A</v>
      </c>
    </row>
    <row r="103" spans="1:4" x14ac:dyDescent="0.25">
      <c r="A103" s="38"/>
      <c r="B103" s="59" t="str">
        <v/>
      </c>
      <c r="C103" s="51"/>
      <c r="D103" s="52" t="e">
        <f>IF($B103="",NA(),COUNTIFS(Aug[Location],$B103))</f>
        <v>#N/A</v>
      </c>
    </row>
    <row r="104" spans="1:4" x14ac:dyDescent="0.25">
      <c r="A104" s="38"/>
      <c r="B104" s="53" t="str">
        <v/>
      </c>
      <c r="C104" s="60"/>
      <c r="D104" s="52" t="e">
        <f>IF($B104="",NA(),COUNTIFS(Aug[Location],$B104))</f>
        <v>#N/A</v>
      </c>
    </row>
    <row r="105" spans="1:4" ht="15.75" thickBot="1" x14ac:dyDescent="0.3">
      <c r="A105" s="38"/>
      <c r="B105" s="59" t="str">
        <v/>
      </c>
      <c r="C105" s="61"/>
      <c r="D105" s="52" t="e">
        <f>IF($B105="",NA(),COUNTIFS(Aug[Location],$B105))</f>
        <v>#N/A</v>
      </c>
    </row>
    <row r="106" spans="1:4" ht="15.75" thickBot="1" x14ac:dyDescent="0.3">
      <c r="B106" s="298" t="s">
        <v>16</v>
      </c>
      <c r="C106" s="299"/>
      <c r="D106" s="37">
        <f>_xlfn.AGGREGATE(9,6,D95:D105)</f>
        <v>0</v>
      </c>
    </row>
    <row r="107" spans="1:4" ht="15.75" thickBot="1" x14ac:dyDescent="0.3"/>
    <row r="108" spans="1:4" ht="21.4" customHeight="1" thickBot="1" x14ac:dyDescent="0.3">
      <c r="B108" s="282" t="str">
        <f>"Falls by Nursing Station "</f>
        <v xml:space="preserve">Falls by Nursing Station </v>
      </c>
      <c r="C108" s="283"/>
      <c r="D108" s="284"/>
    </row>
    <row r="109" spans="1:4" ht="15.75" x14ac:dyDescent="0.25">
      <c r="B109" s="293" t="s">
        <v>2</v>
      </c>
      <c r="C109" s="293"/>
      <c r="D109" s="28" t="s">
        <v>35</v>
      </c>
    </row>
    <row r="110" spans="1:4" x14ac:dyDescent="0.25">
      <c r="B110" s="62" cm="1">
        <f t="array" ref="B110:B120">IF(_xlfn._xlws.SORT(NS[Nurses Stations],1,1,TRUE)=0,"",(_xlfn._xlws.SORT(NS[Nurses Stations],1,1,TRUE)))</f>
        <v>1</v>
      </c>
      <c r="C110" s="63"/>
      <c r="D110" s="31">
        <f>IF($B110="",NA(),COUNTIFS(Aug[Station],$B110))</f>
        <v>0</v>
      </c>
    </row>
    <row r="111" spans="1:4" x14ac:dyDescent="0.25">
      <c r="B111" s="62">
        <v>2</v>
      </c>
      <c r="C111" s="63"/>
      <c r="D111" s="31">
        <f>IF($B111="",NA(),COUNTIFS(Aug[Station],$B111))</f>
        <v>0</v>
      </c>
    </row>
    <row r="112" spans="1:4" x14ac:dyDescent="0.25">
      <c r="B112" s="62">
        <v>3</v>
      </c>
      <c r="C112" s="63"/>
      <c r="D112" s="31">
        <f>IF($B112="",NA(),COUNTIFS(Aug[Station],$B112))</f>
        <v>0</v>
      </c>
    </row>
    <row r="113" spans="2:4" x14ac:dyDescent="0.25">
      <c r="B113" s="62">
        <v>4</v>
      </c>
      <c r="C113" s="63"/>
      <c r="D113" s="31">
        <f>IF($B113="",NA(),COUNTIFS(Aug[Station],$B113))</f>
        <v>0</v>
      </c>
    </row>
    <row r="114" spans="2:4" x14ac:dyDescent="0.25">
      <c r="B114" s="62">
        <v>5</v>
      </c>
      <c r="C114" s="63"/>
      <c r="D114" s="31">
        <f>IF($B114="",NA(),COUNTIFS(Aug[Station],$B114))</f>
        <v>0</v>
      </c>
    </row>
    <row r="115" spans="2:4" x14ac:dyDescent="0.25">
      <c r="B115" s="62" t="str">
        <v/>
      </c>
      <c r="C115" s="63"/>
      <c r="D115" s="31" t="e">
        <f>IF($B115="",NA(),COUNTIFS(Aug[Station],$B115))</f>
        <v>#N/A</v>
      </c>
    </row>
    <row r="116" spans="2:4" x14ac:dyDescent="0.25">
      <c r="B116" s="62" t="str">
        <v/>
      </c>
      <c r="C116" s="63"/>
      <c r="D116" s="31" t="e">
        <f>IF($B116="",NA(),COUNTIFS(Aug[Station],$B116))</f>
        <v>#N/A</v>
      </c>
    </row>
    <row r="117" spans="2:4" x14ac:dyDescent="0.25">
      <c r="B117" s="62" t="str">
        <v/>
      </c>
      <c r="C117" s="63"/>
      <c r="D117" s="31" t="e">
        <f>IF($B117="",NA(),COUNTIFS(Aug[Station],$B117))</f>
        <v>#N/A</v>
      </c>
    </row>
    <row r="118" spans="2:4" x14ac:dyDescent="0.25">
      <c r="B118" s="62" t="str">
        <v/>
      </c>
      <c r="C118" s="63"/>
      <c r="D118" s="31" t="e">
        <f>IF($B118="",NA(),COUNTIFS(Aug[Station],$B118))</f>
        <v>#N/A</v>
      </c>
    </row>
    <row r="119" spans="2:4" x14ac:dyDescent="0.25">
      <c r="B119" s="62" t="str">
        <v/>
      </c>
      <c r="C119" s="63"/>
      <c r="D119" s="31" t="e">
        <f>IF($B119="",NA(),COUNTIFS(Aug[Station],$B119))</f>
        <v>#N/A</v>
      </c>
    </row>
    <row r="120" spans="2:4" ht="15.75" thickBot="1" x14ac:dyDescent="0.3">
      <c r="B120" s="64" t="str">
        <v/>
      </c>
      <c r="C120" s="63"/>
      <c r="D120" s="31" t="e">
        <f>IF($B120="",NA(),COUNTIFS(Aug[Station],$B120))</f>
        <v>#N/A</v>
      </c>
    </row>
    <row r="121" spans="2:4" ht="15.6" customHeight="1" thickBot="1" x14ac:dyDescent="0.3">
      <c r="B121" s="287" t="s">
        <v>16</v>
      </c>
      <c r="C121" s="288"/>
      <c r="D121" s="37">
        <f>_xlfn.AGGREGATE(9,6,D110:D120)</f>
        <v>0</v>
      </c>
    </row>
    <row r="122" spans="2:4" ht="15.6" customHeight="1" thickBot="1" x14ac:dyDescent="0.3">
      <c r="B122" s="65"/>
      <c r="C122" s="66"/>
      <c r="D122" s="67"/>
    </row>
    <row r="123" spans="2:4" ht="21.95" customHeight="1" thickBot="1" x14ac:dyDescent="0.3">
      <c r="B123" s="282" t="str">
        <f>"Falls by Day of the Week "</f>
        <v xml:space="preserve">Falls by Day of the Week </v>
      </c>
      <c r="C123" s="283"/>
      <c r="D123" s="284"/>
    </row>
    <row r="124" spans="2:4" ht="15.75" x14ac:dyDescent="0.25">
      <c r="B124" s="293" t="s">
        <v>3</v>
      </c>
      <c r="C124" s="293"/>
      <c r="D124" s="28" t="s">
        <v>35</v>
      </c>
    </row>
    <row r="125" spans="2:4" x14ac:dyDescent="0.25">
      <c r="B125" s="294" t="s">
        <v>46</v>
      </c>
      <c r="C125" s="294"/>
      <c r="D125" s="31">
        <f>COUNTIFS(Aug[Day],$B125)</f>
        <v>0</v>
      </c>
    </row>
    <row r="126" spans="2:4" x14ac:dyDescent="0.25">
      <c r="B126" s="294" t="s">
        <v>47</v>
      </c>
      <c r="C126" s="294"/>
      <c r="D126" s="31">
        <f>COUNTIFS(Aug[Day],$B126)</f>
        <v>0</v>
      </c>
    </row>
    <row r="127" spans="2:4" x14ac:dyDescent="0.25">
      <c r="B127" s="294" t="s">
        <v>52</v>
      </c>
      <c r="C127" s="294"/>
      <c r="D127" s="31">
        <f>COUNTIFS(Aug[Day],$B127)</f>
        <v>0</v>
      </c>
    </row>
    <row r="128" spans="2:4" x14ac:dyDescent="0.25">
      <c r="B128" s="294" t="s">
        <v>48</v>
      </c>
      <c r="C128" s="294"/>
      <c r="D128" s="31">
        <f>COUNTIFS(Aug[Day],$B128)</f>
        <v>0</v>
      </c>
    </row>
    <row r="129" spans="2:4" x14ac:dyDescent="0.25">
      <c r="B129" s="294" t="s">
        <v>51</v>
      </c>
      <c r="C129" s="294"/>
      <c r="D129" s="31">
        <f>COUNTIFS(Aug[Day],$B129)</f>
        <v>0</v>
      </c>
    </row>
    <row r="130" spans="2:4" x14ac:dyDescent="0.25">
      <c r="B130" s="294" t="s">
        <v>49</v>
      </c>
      <c r="C130" s="294"/>
      <c r="D130" s="31">
        <f>COUNTIFS(Aug[Day],$B130)</f>
        <v>0</v>
      </c>
    </row>
    <row r="131" spans="2:4" ht="15.75" thickBot="1" x14ac:dyDescent="0.3">
      <c r="B131" s="294" t="s">
        <v>50</v>
      </c>
      <c r="C131" s="294"/>
      <c r="D131" s="34">
        <f>COUNTIFS(Aug[Day],$B131)</f>
        <v>0</v>
      </c>
    </row>
    <row r="132" spans="2:4" ht="15.6" customHeight="1" thickBot="1" x14ac:dyDescent="0.3">
      <c r="B132" s="287" t="s">
        <v>16</v>
      </c>
      <c r="C132" s="288"/>
      <c r="D132" s="35">
        <f>SUM(D125:D131)</f>
        <v>0</v>
      </c>
    </row>
    <row r="133" spans="2:4" ht="15.75" thickBot="1" x14ac:dyDescent="0.3"/>
    <row r="134" spans="2:4" ht="21.4" customHeight="1" thickBot="1" x14ac:dyDescent="0.3">
      <c r="B134" s="282" t="str">
        <f>"Falls by Shift"</f>
        <v>Falls by Shift</v>
      </c>
      <c r="C134" s="283"/>
      <c r="D134" s="284"/>
    </row>
    <row r="135" spans="2:4" ht="15.75" x14ac:dyDescent="0.25">
      <c r="B135" s="293" t="s">
        <v>34</v>
      </c>
      <c r="C135" s="293"/>
      <c r="D135" s="28" t="s">
        <v>35</v>
      </c>
    </row>
    <row r="136" spans="2:4" x14ac:dyDescent="0.25">
      <c r="B136" s="29" t="str" cm="1">
        <f t="array" ref="B136:B140">IF(_xlfn._xlws.SORT('Data Validation'!P3:P7,1,1,TRUE)=0,"",(_xlfn._xlws.SORT('Data Validation'!P3:P7,1,1,TRUE)))</f>
        <v>11-7</v>
      </c>
      <c r="C136" s="58"/>
      <c r="D136" s="31">
        <f>IF($B136="",NA(),COUNTIFS(Aug[Shift],$B136))</f>
        <v>0</v>
      </c>
    </row>
    <row r="137" spans="2:4" x14ac:dyDescent="0.25">
      <c r="B137" s="29" t="str">
        <v>11–7</v>
      </c>
      <c r="C137" s="58"/>
      <c r="D137" s="31">
        <f>IF($B137="",NA(),COUNTIFS(Aug[Shift],$B137))</f>
        <v>0</v>
      </c>
    </row>
    <row r="138" spans="2:4" x14ac:dyDescent="0.25">
      <c r="B138" s="29" t="str">
        <v>7–3</v>
      </c>
      <c r="C138" s="58"/>
      <c r="D138" s="31">
        <f>IF($B138="",NA(),COUNTIFS(Aug[Shift],$B138))</f>
        <v>0</v>
      </c>
    </row>
    <row r="139" spans="2:4" x14ac:dyDescent="0.25">
      <c r="B139" s="29" t="str">
        <v>3–11</v>
      </c>
      <c r="C139" s="58"/>
      <c r="D139" s="31">
        <f>IF($B139="",NA(),COUNTIFS(Aug[Shift],$B139))</f>
        <v>0</v>
      </c>
    </row>
    <row r="140" spans="2:4" ht="15.75" thickBot="1" x14ac:dyDescent="0.3">
      <c r="B140" s="29" t="str">
        <v/>
      </c>
      <c r="C140" s="68"/>
      <c r="D140" s="34" t="e">
        <f>IF($B140="",NA(),COUNTIFS(Aug[Shift],$B140))</f>
        <v>#N/A</v>
      </c>
    </row>
    <row r="141" spans="2:4" ht="15.75" thickBot="1" x14ac:dyDescent="0.3">
      <c r="B141" s="287" t="s">
        <v>16</v>
      </c>
      <c r="C141" s="288"/>
      <c r="D141" s="35">
        <f>_xlfn.AGGREGATE(9,6,D136:D140)</f>
        <v>0</v>
      </c>
    </row>
    <row r="142" spans="2:4" ht="15.75" thickBot="1" x14ac:dyDescent="0.3"/>
    <row r="143" spans="2:4" ht="21.4" customHeight="1" thickBot="1" x14ac:dyDescent="0.3">
      <c r="B143" s="282" t="str">
        <f>"Falls by Hour "</f>
        <v xml:space="preserve">Falls by Hour </v>
      </c>
      <c r="C143" s="283"/>
      <c r="D143" s="284"/>
    </row>
    <row r="144" spans="2:4" ht="15.75" x14ac:dyDescent="0.25">
      <c r="B144" s="293" t="s">
        <v>33</v>
      </c>
      <c r="C144" s="293"/>
      <c r="D144" s="28" t="s">
        <v>35</v>
      </c>
    </row>
    <row r="145" spans="2:4" x14ac:dyDescent="0.25">
      <c r="B145" s="294" t="s">
        <v>115</v>
      </c>
      <c r="C145" s="294"/>
      <c r="D145" s="31">
        <f>COUNTIFS(Aug[Hour],$B145)</f>
        <v>0</v>
      </c>
    </row>
    <row r="146" spans="2:4" x14ac:dyDescent="0.25">
      <c r="B146" s="294" t="s">
        <v>116</v>
      </c>
      <c r="C146" s="294"/>
      <c r="D146" s="31">
        <f>COUNTIFS(Aug[Hour],$B146)</f>
        <v>0</v>
      </c>
    </row>
    <row r="147" spans="2:4" x14ac:dyDescent="0.25">
      <c r="B147" s="294" t="s">
        <v>117</v>
      </c>
      <c r="C147" s="294"/>
      <c r="D147" s="31">
        <f>COUNTIFS(Aug[Hour],$B147)</f>
        <v>0</v>
      </c>
    </row>
    <row r="148" spans="2:4" x14ac:dyDescent="0.25">
      <c r="B148" s="294" t="s">
        <v>118</v>
      </c>
      <c r="C148" s="294"/>
      <c r="D148" s="31">
        <f>COUNTIFS(Aug[Hour],$B148)</f>
        <v>0</v>
      </c>
    </row>
    <row r="149" spans="2:4" x14ac:dyDescent="0.25">
      <c r="B149" s="294" t="s">
        <v>119</v>
      </c>
      <c r="C149" s="294"/>
      <c r="D149" s="31">
        <f>COUNTIFS(Aug[Hour],$B149)</f>
        <v>0</v>
      </c>
    </row>
    <row r="150" spans="2:4" x14ac:dyDescent="0.25">
      <c r="B150" s="294" t="s">
        <v>120</v>
      </c>
      <c r="C150" s="294"/>
      <c r="D150" s="31">
        <f>COUNTIFS(Aug[Hour],$B150)</f>
        <v>0</v>
      </c>
    </row>
    <row r="151" spans="2:4" x14ac:dyDescent="0.25">
      <c r="B151" s="294" t="s">
        <v>121</v>
      </c>
      <c r="C151" s="294"/>
      <c r="D151" s="31">
        <f>COUNTIFS(Aug[Hour],$B151)</f>
        <v>0</v>
      </c>
    </row>
    <row r="152" spans="2:4" x14ac:dyDescent="0.25">
      <c r="B152" s="294" t="s">
        <v>122</v>
      </c>
      <c r="C152" s="294"/>
      <c r="D152" s="31">
        <f>COUNTIFS(Aug[Hour],$B152)</f>
        <v>0</v>
      </c>
    </row>
    <row r="153" spans="2:4" x14ac:dyDescent="0.25">
      <c r="B153" s="294" t="s">
        <v>123</v>
      </c>
      <c r="C153" s="294"/>
      <c r="D153" s="31">
        <f>COUNTIFS(Aug[Hour],$B153)</f>
        <v>0</v>
      </c>
    </row>
    <row r="154" spans="2:4" x14ac:dyDescent="0.25">
      <c r="B154" s="294" t="s">
        <v>124</v>
      </c>
      <c r="C154" s="294"/>
      <c r="D154" s="31">
        <f>COUNTIFS(Aug[Hour],$B154)</f>
        <v>0</v>
      </c>
    </row>
    <row r="155" spans="2:4" x14ac:dyDescent="0.25">
      <c r="B155" s="294" t="s">
        <v>125</v>
      </c>
      <c r="C155" s="294"/>
      <c r="D155" s="31">
        <f>COUNTIFS(Aug[Hour],$B155)</f>
        <v>0</v>
      </c>
    </row>
    <row r="156" spans="2:4" x14ac:dyDescent="0.25">
      <c r="B156" s="294" t="s">
        <v>126</v>
      </c>
      <c r="C156" s="294"/>
      <c r="D156" s="31">
        <f>COUNTIFS(Aug[Hour],$B156)</f>
        <v>0</v>
      </c>
    </row>
    <row r="157" spans="2:4" x14ac:dyDescent="0.25">
      <c r="B157" s="294" t="s">
        <v>127</v>
      </c>
      <c r="C157" s="294"/>
      <c r="D157" s="31">
        <f>COUNTIFS(Aug[Hour],$B157)</f>
        <v>0</v>
      </c>
    </row>
    <row r="158" spans="2:4" x14ac:dyDescent="0.25">
      <c r="B158" s="294" t="s">
        <v>128</v>
      </c>
      <c r="C158" s="294"/>
      <c r="D158" s="31">
        <f>COUNTIFS(Aug[Hour],$B158)</f>
        <v>0</v>
      </c>
    </row>
    <row r="159" spans="2:4" x14ac:dyDescent="0.25">
      <c r="B159" s="294" t="s">
        <v>129</v>
      </c>
      <c r="C159" s="294"/>
      <c r="D159" s="31">
        <f>COUNTIFS(Aug[Hour],$B159)</f>
        <v>0</v>
      </c>
    </row>
    <row r="160" spans="2:4" x14ac:dyDescent="0.25">
      <c r="B160" s="294" t="s">
        <v>130</v>
      </c>
      <c r="C160" s="294"/>
      <c r="D160" s="31">
        <f>COUNTIFS(Aug[Hour],$B160)</f>
        <v>0</v>
      </c>
    </row>
    <row r="161" spans="1:8" x14ac:dyDescent="0.25">
      <c r="B161" s="294" t="s">
        <v>131</v>
      </c>
      <c r="C161" s="294"/>
      <c r="D161" s="31">
        <f>COUNTIFS(Aug[Hour],$B161)</f>
        <v>0</v>
      </c>
    </row>
    <row r="162" spans="1:8" x14ac:dyDescent="0.25">
      <c r="B162" s="294" t="s">
        <v>132</v>
      </c>
      <c r="C162" s="294"/>
      <c r="D162" s="31">
        <f>COUNTIFS(Aug[Hour],$B162)</f>
        <v>0</v>
      </c>
    </row>
    <row r="163" spans="1:8" x14ac:dyDescent="0.25">
      <c r="B163" s="294" t="s">
        <v>133</v>
      </c>
      <c r="C163" s="294"/>
      <c r="D163" s="31">
        <f>COUNTIFS(Aug[Hour],$B163)</f>
        <v>0</v>
      </c>
    </row>
    <row r="164" spans="1:8" x14ac:dyDescent="0.25">
      <c r="B164" s="294" t="s">
        <v>134</v>
      </c>
      <c r="C164" s="294"/>
      <c r="D164" s="31">
        <f>COUNTIFS(Aug[Hour],$B164)</f>
        <v>0</v>
      </c>
    </row>
    <row r="165" spans="1:8" x14ac:dyDescent="0.25">
      <c r="B165" s="294" t="s">
        <v>135</v>
      </c>
      <c r="C165" s="294"/>
      <c r="D165" s="31">
        <f>COUNTIFS(Aug[Hour],$B165)</f>
        <v>0</v>
      </c>
    </row>
    <row r="166" spans="1:8" x14ac:dyDescent="0.25">
      <c r="B166" s="294" t="s">
        <v>136</v>
      </c>
      <c r="C166" s="294"/>
      <c r="D166" s="31">
        <f>COUNTIFS(Aug[Hour],$B166)</f>
        <v>0</v>
      </c>
    </row>
    <row r="167" spans="1:8" x14ac:dyDescent="0.25">
      <c r="B167" s="294" t="s">
        <v>137</v>
      </c>
      <c r="C167" s="294"/>
      <c r="D167" s="31">
        <f>COUNTIFS(Aug[Hour],$B167)</f>
        <v>0</v>
      </c>
    </row>
    <row r="168" spans="1:8" ht="15.75" thickBot="1" x14ac:dyDescent="0.3">
      <c r="B168" s="294" t="s">
        <v>138</v>
      </c>
      <c r="C168" s="294"/>
      <c r="D168" s="34">
        <f>COUNTIFS(Aug[Hour],$B168)</f>
        <v>0</v>
      </c>
    </row>
    <row r="169" spans="1:8" ht="15.75" thickBot="1" x14ac:dyDescent="0.3">
      <c r="B169" s="287" t="s">
        <v>35</v>
      </c>
      <c r="C169" s="288"/>
      <c r="D169" s="35">
        <f>SUM(D145:D168)</f>
        <v>0</v>
      </c>
    </row>
    <row r="170" spans="1:8" ht="15.75" thickBot="1" x14ac:dyDescent="0.3"/>
    <row r="171" spans="1:8" ht="21.4" customHeight="1" thickBot="1" x14ac:dyDescent="0.3">
      <c r="B171" s="282" t="str">
        <f>"Falls by Contributing Factors"</f>
        <v>Falls by Contributing Factors</v>
      </c>
      <c r="C171" s="283"/>
      <c r="D171" s="283"/>
      <c r="E171" s="283"/>
      <c r="F171" s="283"/>
      <c r="G171" s="284"/>
    </row>
    <row r="172" spans="1:8" ht="15.6" customHeight="1" x14ac:dyDescent="0.25">
      <c r="A172" s="38"/>
      <c r="B172" s="290" t="s">
        <v>92</v>
      </c>
      <c r="C172" s="291"/>
      <c r="D172" s="291"/>
      <c r="E172" s="291"/>
      <c r="F172" s="292"/>
      <c r="G172" s="28" t="s">
        <v>35</v>
      </c>
    </row>
    <row r="173" spans="1:8" x14ac:dyDescent="0.25">
      <c r="A173" s="38"/>
      <c r="B173" s="44" t="str" cm="1">
        <f t="array" ref="B173:B196">IF(_xlfn._xlws.SORT(CF[Contributing Factors],1,1,TRUE)=0,"",(_xlfn._xlws.SORT(CF[Contributing Factors],1,1,TRUE)))</f>
        <v>Assisted/caregiver transfer</v>
      </c>
      <c r="C173" s="45"/>
      <c r="D173" s="45"/>
      <c r="E173" s="45"/>
      <c r="F173" s="46"/>
      <c r="G173" s="42">
        <f>IF($B173="",NA(),COUNTIFS(Aug[Contributing Factors],$B173))</f>
        <v>0</v>
      </c>
      <c r="H173" s="43"/>
    </row>
    <row r="174" spans="1:8" x14ac:dyDescent="0.25">
      <c r="A174" s="38"/>
      <c r="B174" s="39" t="str">
        <v>Bowel and bladder (B&amp;B) needs</v>
      </c>
      <c r="C174" s="40"/>
      <c r="D174" s="40"/>
      <c r="E174" s="40"/>
      <c r="F174" s="41"/>
      <c r="G174" s="42">
        <f>IF($B174="",NA(),COUNTIFS(Aug[Contributing Factors],$B174))</f>
        <v>0</v>
      </c>
    </row>
    <row r="175" spans="1:8" x14ac:dyDescent="0.25">
      <c r="A175" s="38"/>
      <c r="B175" s="44" t="str">
        <v>Behavioral or situational</v>
      </c>
      <c r="C175" s="45"/>
      <c r="D175" s="45"/>
      <c r="E175" s="45"/>
      <c r="F175" s="46"/>
      <c r="G175" s="42">
        <f>IF($B175="",NA(),COUNTIFS(Aug[Contributing Factors],$B175))</f>
        <v>0</v>
      </c>
    </row>
    <row r="176" spans="1:8" x14ac:dyDescent="0.25">
      <c r="A176" s="38"/>
      <c r="B176" s="39" t="str">
        <v>Change of condition</v>
      </c>
      <c r="C176" s="40"/>
      <c r="D176" s="40"/>
      <c r="E176" s="40"/>
      <c r="F176" s="41"/>
      <c r="G176" s="42">
        <f>IF($B176="",NA(),COUNTIFS(Aug[Contributing Factors],$B176))</f>
        <v>0</v>
      </c>
    </row>
    <row r="177" spans="1:7" x14ac:dyDescent="0.25">
      <c r="A177" s="38"/>
      <c r="B177" s="44" t="str">
        <v>Environmental factors</v>
      </c>
      <c r="C177" s="45"/>
      <c r="D177" s="45"/>
      <c r="E177" s="45"/>
      <c r="F177" s="46"/>
      <c r="G177" s="42">
        <f>IF($B177="",NA(),COUNTIFS(Aug[Contributing Factors],$B177))</f>
        <v>0</v>
      </c>
    </row>
    <row r="178" spans="1:7" x14ac:dyDescent="0.25">
      <c r="A178" s="38"/>
      <c r="B178" s="39" t="str">
        <v>Equipment malfunction</v>
      </c>
      <c r="C178" s="40"/>
      <c r="D178" s="40"/>
      <c r="E178" s="40"/>
      <c r="F178" s="41"/>
      <c r="G178" s="42">
        <f>IF($B178="",NA(),COUNTIFS(Aug[Contributing Factors],$B178))</f>
        <v>0</v>
      </c>
    </row>
    <row r="179" spans="1:7" x14ac:dyDescent="0.25">
      <c r="A179" s="38"/>
      <c r="B179" s="44" t="str">
        <v>Equipment or assistive device</v>
      </c>
      <c r="C179" s="45"/>
      <c r="D179" s="45"/>
      <c r="E179" s="45"/>
      <c r="F179" s="46"/>
      <c r="G179" s="42">
        <f>IF($B179="",NA(),COUNTIFS(Aug[Contributing Factors],$B179))</f>
        <v>0</v>
      </c>
    </row>
    <row r="180" spans="1:7" x14ac:dyDescent="0.25">
      <c r="A180" s="38"/>
      <c r="B180" s="39" t="str">
        <v>Medication related</v>
      </c>
      <c r="C180" s="40"/>
      <c r="D180" s="40"/>
      <c r="E180" s="40"/>
      <c r="F180" s="41"/>
      <c r="G180" s="42">
        <f>IF($B180="",NA(),COUNTIFS(Aug[Contributing Factors],$B180))</f>
        <v>0</v>
      </c>
    </row>
    <row r="181" spans="1:7" x14ac:dyDescent="0.25">
      <c r="A181" s="38"/>
      <c r="B181" s="44" t="str">
        <v>Process(s) not followed</v>
      </c>
      <c r="C181" s="45"/>
      <c r="D181" s="45"/>
      <c r="E181" s="45"/>
      <c r="F181" s="46"/>
      <c r="G181" s="42">
        <f>IF($B181="",NA(),COUNTIFS(Aug[Contributing Factors],$B181))</f>
        <v>0</v>
      </c>
    </row>
    <row r="182" spans="1:7" x14ac:dyDescent="0.25">
      <c r="A182" s="38"/>
      <c r="B182" s="39" t="str">
        <v>Resident health conditions</v>
      </c>
      <c r="C182" s="40"/>
      <c r="D182" s="40"/>
      <c r="E182" s="40"/>
      <c r="F182" s="41"/>
      <c r="G182" s="42">
        <f>IF($B182="",NA(),COUNTIFS(Aug[Contributing Factors],$B182))</f>
        <v>0</v>
      </c>
    </row>
    <row r="183" spans="1:7" x14ac:dyDescent="0.25">
      <c r="A183" s="38"/>
      <c r="B183" s="44" t="str">
        <v>Staff</v>
      </c>
      <c r="C183" s="45"/>
      <c r="D183" s="45"/>
      <c r="E183" s="45"/>
      <c r="F183" s="46"/>
      <c r="G183" s="42">
        <f>IF($B183="",NA(),COUNTIFS(Aug[Contributing Factors],$B183))</f>
        <v>0</v>
      </c>
    </row>
    <row r="184" spans="1:7" x14ac:dyDescent="0.25">
      <c r="A184" s="38"/>
      <c r="B184" s="39" t="str">
        <v/>
      </c>
      <c r="C184" s="40"/>
      <c r="D184" s="40"/>
      <c r="E184" s="40"/>
      <c r="F184" s="41"/>
      <c r="G184" s="42" t="e">
        <f>IF($B184="",NA(),COUNTIFS(Aug[Contributing Factors],$B184))</f>
        <v>#N/A</v>
      </c>
    </row>
    <row r="185" spans="1:7" x14ac:dyDescent="0.25">
      <c r="A185" s="38"/>
      <c r="B185" s="44" t="str">
        <v/>
      </c>
      <c r="C185" s="45"/>
      <c r="D185" s="45"/>
      <c r="E185" s="45"/>
      <c r="F185" s="46"/>
      <c r="G185" s="42" t="e">
        <f>IF($B185="",NA(),COUNTIFS(Aug[Contributing Factors],$B185))</f>
        <v>#N/A</v>
      </c>
    </row>
    <row r="186" spans="1:7" x14ac:dyDescent="0.25">
      <c r="A186" s="38"/>
      <c r="B186" s="39" t="str">
        <v/>
      </c>
      <c r="C186" s="40"/>
      <c r="D186" s="40"/>
      <c r="E186" s="40"/>
      <c r="F186" s="41"/>
      <c r="G186" s="42" t="e">
        <f>IF($B186="",NA(),COUNTIFS(Aug[Contributing Factors],$B186))</f>
        <v>#N/A</v>
      </c>
    </row>
    <row r="187" spans="1:7" x14ac:dyDescent="0.25">
      <c r="A187" s="38"/>
      <c r="B187" s="44" t="str">
        <v/>
      </c>
      <c r="C187" s="45"/>
      <c r="D187" s="45"/>
      <c r="E187" s="45"/>
      <c r="F187" s="46"/>
      <c r="G187" s="42" t="e">
        <f>IF($B187="",NA(),COUNTIFS(Aug[Contributing Factors],$B187))</f>
        <v>#N/A</v>
      </c>
    </row>
    <row r="188" spans="1:7" x14ac:dyDescent="0.25">
      <c r="A188" s="38"/>
      <c r="B188" s="39" t="str">
        <v/>
      </c>
      <c r="C188" s="40"/>
      <c r="D188" s="40"/>
      <c r="E188" s="40"/>
      <c r="F188" s="41"/>
      <c r="G188" s="42" t="e">
        <f>IF($B188="",NA(),COUNTIFS(Aug[Contributing Factors],$B188))</f>
        <v>#N/A</v>
      </c>
    </row>
    <row r="189" spans="1:7" x14ac:dyDescent="0.25">
      <c r="A189" s="38"/>
      <c r="B189" s="44" t="str">
        <v/>
      </c>
      <c r="C189" s="45"/>
      <c r="D189" s="45"/>
      <c r="E189" s="45"/>
      <c r="F189" s="46"/>
      <c r="G189" s="42" t="e">
        <f>IF($B189="",NA(),COUNTIFS(Aug[Contributing Factors],$B189))</f>
        <v>#N/A</v>
      </c>
    </row>
    <row r="190" spans="1:7" x14ac:dyDescent="0.25">
      <c r="A190" s="38"/>
      <c r="B190" s="39" t="str">
        <v/>
      </c>
      <c r="C190" s="40"/>
      <c r="D190" s="40"/>
      <c r="E190" s="40"/>
      <c r="F190" s="41"/>
      <c r="G190" s="42" t="e">
        <f>IF($B190="",NA(),COUNTIFS(Aug[Contributing Factors],$B190))</f>
        <v>#N/A</v>
      </c>
    </row>
    <row r="191" spans="1:7" x14ac:dyDescent="0.25">
      <c r="A191" s="38"/>
      <c r="B191" s="44" t="str">
        <v/>
      </c>
      <c r="C191" s="45"/>
      <c r="D191" s="45"/>
      <c r="E191" s="45"/>
      <c r="F191" s="46"/>
      <c r="G191" s="42" t="e">
        <f>IF($B191="",NA(),COUNTIFS(Aug[Contributing Factors],$B191))</f>
        <v>#N/A</v>
      </c>
    </row>
    <row r="192" spans="1:7" x14ac:dyDescent="0.25">
      <c r="A192" s="38"/>
      <c r="B192" s="39" t="str">
        <v/>
      </c>
      <c r="C192" s="40"/>
      <c r="D192" s="40"/>
      <c r="E192" s="40"/>
      <c r="F192" s="41"/>
      <c r="G192" s="42" t="e">
        <f>IF($B192="",NA(),COUNTIFS(Aug[Contributing Factors],$B192))</f>
        <v>#N/A</v>
      </c>
    </row>
    <row r="193" spans="1:7" x14ac:dyDescent="0.25">
      <c r="A193" s="38"/>
      <c r="B193" s="44" t="str">
        <v/>
      </c>
      <c r="C193" s="45"/>
      <c r="D193" s="45"/>
      <c r="E193" s="45"/>
      <c r="F193" s="46"/>
      <c r="G193" s="42" t="e">
        <f>IF($B193="",NA(),COUNTIFS(Aug[Contributing Factors],$B193))</f>
        <v>#N/A</v>
      </c>
    </row>
    <row r="194" spans="1:7" x14ac:dyDescent="0.25">
      <c r="A194" s="38"/>
      <c r="B194" s="39" t="str">
        <v/>
      </c>
      <c r="C194" s="40"/>
      <c r="D194" s="40"/>
      <c r="E194" s="40"/>
      <c r="F194" s="41"/>
      <c r="G194" s="42" t="e">
        <f>IF($B194="",NA(),COUNTIFS(Aug[Contributing Factors],$B194))</f>
        <v>#N/A</v>
      </c>
    </row>
    <row r="195" spans="1:7" x14ac:dyDescent="0.25">
      <c r="A195" s="38"/>
      <c r="B195" s="44" t="str">
        <v/>
      </c>
      <c r="C195" s="45"/>
      <c r="D195" s="45"/>
      <c r="E195" s="45"/>
      <c r="F195" s="46"/>
      <c r="G195" s="42" t="e">
        <f>IF($B195="",NA(),COUNTIFS(Aug[Contributing Factors],$B195))</f>
        <v>#N/A</v>
      </c>
    </row>
    <row r="196" spans="1:7" ht="15.75" thickBot="1" x14ac:dyDescent="0.3">
      <c r="A196" s="38"/>
      <c r="B196" s="39" t="str">
        <v/>
      </c>
      <c r="C196" s="40"/>
      <c r="D196" s="40"/>
      <c r="E196" s="40"/>
      <c r="F196" s="41"/>
      <c r="G196" s="42" t="e">
        <f>IF($B196="",NA(),COUNTIFS(Aug[Contributing Factors],$B196))</f>
        <v>#N/A</v>
      </c>
    </row>
    <row r="197" spans="1:7" ht="15.6" customHeight="1" thickBot="1" x14ac:dyDescent="0.3">
      <c r="B197" s="287" t="s">
        <v>35</v>
      </c>
      <c r="C197" s="288"/>
      <c r="D197" s="288"/>
      <c r="E197" s="288"/>
      <c r="F197" s="289"/>
      <c r="G197" s="37">
        <f>_xlfn.AGGREGATE(9,6,G173:G196)</f>
        <v>0</v>
      </c>
    </row>
  </sheetData>
  <sheetProtection algorithmName="SHA-512" hashValue="bnyVMUvsup3zpioOkvWdhJM8tqljCOfhZO41ysPXiZfTsqxqZBFKm0XZfQKoCgRD+WBGLNje4eg92W5T/7k+FA==" saltValue="t5NrbIfJER59ATBXl7QZZw==" spinCount="100000" sheet="1" formatCells="0" formatColumns="0" formatRows="0" sort="0" autoFilter="0"/>
  <mergeCells count="61">
    <mergeCell ref="F56:G56"/>
    <mergeCell ref="B51:D51"/>
    <mergeCell ref="F51:H51"/>
    <mergeCell ref="B52:C52"/>
    <mergeCell ref="F52:G52"/>
    <mergeCell ref="B55:C55"/>
    <mergeCell ref="B121:C121"/>
    <mergeCell ref="F58:H58"/>
    <mergeCell ref="F59:G59"/>
    <mergeCell ref="F63:G63"/>
    <mergeCell ref="B65:G65"/>
    <mergeCell ref="B66:F66"/>
    <mergeCell ref="B91:F91"/>
    <mergeCell ref="B93:D93"/>
    <mergeCell ref="B94:C94"/>
    <mergeCell ref="B106:C106"/>
    <mergeCell ref="B108:D108"/>
    <mergeCell ref="B109:C109"/>
    <mergeCell ref="B135:C135"/>
    <mergeCell ref="B123:D123"/>
    <mergeCell ref="B124:C124"/>
    <mergeCell ref="B125:C125"/>
    <mergeCell ref="B126:C126"/>
    <mergeCell ref="B127:C127"/>
    <mergeCell ref="B128:C128"/>
    <mergeCell ref="B129:C129"/>
    <mergeCell ref="B130:C130"/>
    <mergeCell ref="B131:C131"/>
    <mergeCell ref="B132:C132"/>
    <mergeCell ref="B134:D134"/>
    <mergeCell ref="B153:C153"/>
    <mergeCell ref="B141:C141"/>
    <mergeCell ref="B143:D143"/>
    <mergeCell ref="B144:C144"/>
    <mergeCell ref="B145:C145"/>
    <mergeCell ref="B146:C146"/>
    <mergeCell ref="B147:C147"/>
    <mergeCell ref="B148:C148"/>
    <mergeCell ref="B149:C149"/>
    <mergeCell ref="B150:C150"/>
    <mergeCell ref="B151:C151"/>
    <mergeCell ref="B152:C152"/>
    <mergeCell ref="B165:C165"/>
    <mergeCell ref="B154:C154"/>
    <mergeCell ref="B155:C155"/>
    <mergeCell ref="B156:C156"/>
    <mergeCell ref="B157:C157"/>
    <mergeCell ref="B158:C158"/>
    <mergeCell ref="B159:C159"/>
    <mergeCell ref="B160:C160"/>
    <mergeCell ref="B161:C161"/>
    <mergeCell ref="B162:C162"/>
    <mergeCell ref="B163:C163"/>
    <mergeCell ref="B164:C164"/>
    <mergeCell ref="B197:F197"/>
    <mergeCell ref="B166:C166"/>
    <mergeCell ref="B167:C167"/>
    <mergeCell ref="B168:C168"/>
    <mergeCell ref="B169:C169"/>
    <mergeCell ref="B171:G171"/>
    <mergeCell ref="B172:F172"/>
  </mergeCells>
  <conditionalFormatting sqref="C1">
    <cfRule type="expression" dxfId="157" priority="18">
      <formula>OR($C$1="",$C$1=0)</formula>
    </cfRule>
  </conditionalFormatting>
  <conditionalFormatting sqref="D1">
    <cfRule type="cellIs" dxfId="156" priority="19" operator="equal">
      <formula>"Enter year in Data Validation tab"</formula>
    </cfRule>
  </conditionalFormatting>
  <conditionalFormatting sqref="D4:D40">
    <cfRule type="expression" dxfId="155" priority="22">
      <formula>AND($C4&lt;&gt;"",$D4="")</formula>
    </cfRule>
  </conditionalFormatting>
  <conditionalFormatting sqref="D95:D105">
    <cfRule type="expression" dxfId="154" priority="9">
      <formula>ISERROR($D95)</formula>
    </cfRule>
  </conditionalFormatting>
  <conditionalFormatting sqref="D110:D120">
    <cfRule type="expression" dxfId="153" priority="10">
      <formula>ISERROR($D110)</formula>
    </cfRule>
  </conditionalFormatting>
  <conditionalFormatting sqref="D136:D140">
    <cfRule type="expression" dxfId="152" priority="1">
      <formula>ISERROR(D136)</formula>
    </cfRule>
  </conditionalFormatting>
  <conditionalFormatting sqref="E4:E40">
    <cfRule type="expression" dxfId="151" priority="21">
      <formula>AND($C4&lt;&gt;"",$E4="")</formula>
    </cfRule>
  </conditionalFormatting>
  <conditionalFormatting sqref="F4:F40">
    <cfRule type="expression" dxfId="150" priority="14">
      <formula>AND($C4&lt;&gt;"",$F4="")</formula>
    </cfRule>
  </conditionalFormatting>
  <conditionalFormatting sqref="G4:G40">
    <cfRule type="expression" dxfId="149" priority="13">
      <formula>AND($C4&lt;&gt;"",$G4="")</formula>
    </cfRule>
  </conditionalFormatting>
  <conditionalFormatting sqref="G67:G90">
    <cfRule type="expression" dxfId="148" priority="8">
      <formula>ISERROR($G67)</formula>
    </cfRule>
  </conditionalFormatting>
  <conditionalFormatting sqref="G173:G196">
    <cfRule type="expression" dxfId="147" priority="7">
      <formula>ISERROR($G173)</formula>
    </cfRule>
  </conditionalFormatting>
  <conditionalFormatting sqref="H4:H40">
    <cfRule type="expression" dxfId="146" priority="12">
      <formula>AND($C4&lt;&gt;"",$H4="")</formula>
    </cfRule>
  </conditionalFormatting>
  <conditionalFormatting sqref="I4:I40">
    <cfRule type="expression" dxfId="145" priority="11">
      <formula>AND($C4&lt;&gt;"",$I4="")</formula>
    </cfRule>
  </conditionalFormatting>
  <conditionalFormatting sqref="J4:J40">
    <cfRule type="expression" dxfId="144" priority="23">
      <formula>AND($C4&lt;&gt;"",$J4="")</formula>
    </cfRule>
  </conditionalFormatting>
  <conditionalFormatting sqref="L4:L40">
    <cfRule type="expression" dxfId="143" priority="20">
      <formula>AND($C4&lt;&gt;"",$L4="")</formula>
    </cfRule>
  </conditionalFormatting>
  <conditionalFormatting sqref="N4:N40">
    <cfRule type="expression" dxfId="142" priority="25">
      <formula>AND($C4&lt;&gt;"",$N4="")</formula>
    </cfRule>
  </conditionalFormatting>
  <conditionalFormatting sqref="O4:O40">
    <cfRule type="expression" dxfId="141" priority="4">
      <formula>AND($C4&lt;&gt;"",$O4="")</formula>
    </cfRule>
    <cfRule type="cellIs" dxfId="140" priority="15" operator="equal">
      <formula>"Intact (13-15)"</formula>
    </cfRule>
    <cfRule type="cellIs" dxfId="139" priority="16" operator="equal">
      <formula>"Moderate (8-12)"</formula>
    </cfRule>
    <cfRule type="cellIs" dxfId="138" priority="17" operator="equal">
      <formula>"Severe (1-7)"</formula>
    </cfRule>
  </conditionalFormatting>
  <conditionalFormatting sqref="P4:P40">
    <cfRule type="expression" dxfId="137" priority="5">
      <formula>AND($C4&lt;&gt;"",$P4="")</formula>
    </cfRule>
  </conditionalFormatting>
  <conditionalFormatting sqref="Q4:Q40">
    <cfRule type="expression" dxfId="136" priority="3">
      <formula>AND($C4&lt;&gt;"",$Q4="")</formula>
    </cfRule>
  </conditionalFormatting>
  <conditionalFormatting sqref="R4:R40">
    <cfRule type="expression" dxfId="135" priority="26">
      <formula>AND($C4&lt;&gt;"",$R4="")</formula>
    </cfRule>
  </conditionalFormatting>
  <conditionalFormatting sqref="S4:S40">
    <cfRule type="expression" dxfId="134" priority="6">
      <formula>AND($C4&lt;&gt;"",$S4="")</formula>
    </cfRule>
  </conditionalFormatting>
  <conditionalFormatting sqref="T4:T40">
    <cfRule type="expression" dxfId="133" priority="27">
      <formula>AND($C4&lt;&gt;"",$T4="")</formula>
    </cfRule>
  </conditionalFormatting>
  <conditionalFormatting sqref="U4:U40">
    <cfRule type="expression" dxfId="132" priority="24">
      <formula>AND($C4&lt;&gt;"",$U4="")</formula>
    </cfRule>
  </conditionalFormatting>
  <conditionalFormatting sqref="V4:V40">
    <cfRule type="expression" dxfId="131" priority="2">
      <formula>AND($C4&lt;&gt;"",$V4="")</formula>
    </cfRule>
  </conditionalFormatting>
  <dataValidations count="9">
    <dataValidation type="list" allowBlank="1" showInputMessage="1" showErrorMessage="1" sqref="R4:R40" xr:uid="{00000000-0002-0000-0900-000000000000}">
      <formula1>DV_RCAComp</formula1>
    </dataValidation>
    <dataValidation type="list" allowBlank="1" showInputMessage="1" showErrorMessage="1" sqref="G4:G40" xr:uid="{00000000-0002-0000-0900-000001000000}">
      <formula1>DV_FallCircumstances</formula1>
    </dataValidation>
    <dataValidation type="list" allowBlank="1" showInputMessage="1" showErrorMessage="1" sqref="P4:P40" xr:uid="{00000000-0002-0000-0900-000002000000}">
      <formula1>DV_PriortoFall</formula1>
    </dataValidation>
    <dataValidation type="list" allowBlank="1" showInputMessage="1" showErrorMessage="1" sqref="F4:F40" xr:uid="{00000000-0002-0000-0900-000003000000}">
      <formula1>DV_Witnessed</formula1>
    </dataValidation>
    <dataValidation type="list" allowBlank="1" showInputMessage="1" showErrorMessage="1" sqref="N4:N40" xr:uid="{00000000-0002-0000-0900-000004000000}">
      <formula1>DV_BIMSScore</formula1>
    </dataValidation>
    <dataValidation type="list" allowBlank="1" showInputMessage="1" showErrorMessage="1" sqref="L4:L40" xr:uid="{00000000-0002-0000-0900-000005000000}">
      <formula1>DV_Shifts</formula1>
    </dataValidation>
    <dataValidation type="list" allowBlank="1" showInputMessage="1" showErrorMessage="1" sqref="J4:J40" xr:uid="{00000000-0002-0000-0900-000006000000}">
      <formula1>DV_Station</formula1>
    </dataValidation>
    <dataValidation type="list" allowBlank="1" showInputMessage="1" showErrorMessage="1" sqref="I4:I40" xr:uid="{00000000-0002-0000-0900-000007000000}">
      <formula1>DV_Location</formula1>
    </dataValidation>
    <dataValidation type="list" allowBlank="1" showInputMessage="1" showErrorMessage="1" sqref="H4:H40" xr:uid="{00000000-0002-0000-0900-000008000000}">
      <formula1>DV_FallType</formula1>
    </dataValidation>
  </dataValidations>
  <printOptions horizontalCentered="1"/>
  <pageMargins left="0.15" right="0.15" top="0.5" bottom="0.25" header="0.3" footer="0.3"/>
  <pageSetup scale="59" fitToHeight="0" orientation="landscape" r:id="rId1"/>
  <rowBreaks count="3" manualBreakCount="3">
    <brk id="49" max="16383" man="1"/>
    <brk id="91" max="16383" man="1"/>
    <brk id="141" max="16383" man="1"/>
  </rowBreaks>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9000000}">
          <x14:formula1>
            <xm:f>'Data Validation'!$K$3:$K$26</xm:f>
          </x14:formula1>
          <xm:sqref>S4:S40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V197"/>
  <sheetViews>
    <sheetView showGridLines="0" zoomScaleNormal="100" zoomScaleSheetLayoutView="98" workbookViewId="0">
      <selection activeCell="B4" sqref="B4"/>
    </sheetView>
  </sheetViews>
  <sheetFormatPr defaultRowHeight="15" x14ac:dyDescent="0.25"/>
  <cols>
    <col min="1" max="1" width="1.28515625" customWidth="1"/>
    <col min="2" max="2" width="5.85546875" customWidth="1"/>
    <col min="3" max="3" width="17.140625" customWidth="1"/>
    <col min="4" max="4" width="9.28515625" customWidth="1"/>
    <col min="5" max="5" width="11" customWidth="1"/>
    <col min="6" max="6" width="8" customWidth="1"/>
    <col min="7" max="7" width="12.140625" customWidth="1"/>
    <col min="8" max="8" width="10.5703125" customWidth="1"/>
    <col min="9" max="9" width="7.7109375" customWidth="1"/>
    <col min="10" max="10" width="6" customWidth="1"/>
    <col min="11" max="11" width="4.7109375" customWidth="1"/>
    <col min="12" max="12" width="9.28515625" customWidth="1"/>
    <col min="13" max="14" width="4.7109375" customWidth="1"/>
    <col min="15" max="15" width="12.140625" customWidth="1"/>
    <col min="16" max="17" width="23.7109375" customWidth="1"/>
    <col min="18" max="18" width="8.7109375" customWidth="1"/>
    <col min="19" max="19" width="23.7109375" customWidth="1"/>
    <col min="20" max="22" width="11.7109375" customWidth="1"/>
    <col min="23" max="24" width="10.7109375" customWidth="1"/>
  </cols>
  <sheetData>
    <row r="1" spans="1:22" ht="18.75" customHeight="1" x14ac:dyDescent="0.25">
      <c r="B1" s="13" t="s">
        <v>28</v>
      </c>
      <c r="C1" s="14">
        <f>'Data Validation'!$C$4</f>
        <v>0</v>
      </c>
      <c r="D1" s="15" t="str">
        <f>IF(OR($C$1="",$C$1=0),"Enter Year in Data Validation tab",'Data Validation'!$C$2&amp;" September ")</f>
        <v>Enter Year in Data Validation tab</v>
      </c>
      <c r="E1" s="16"/>
      <c r="F1" s="16"/>
      <c r="G1" s="16"/>
      <c r="H1" s="16"/>
      <c r="I1" s="16"/>
      <c r="J1" s="16"/>
      <c r="K1" s="16"/>
      <c r="L1" s="16"/>
      <c r="M1" s="16"/>
      <c r="N1" s="4"/>
      <c r="O1" s="16"/>
      <c r="P1" s="16"/>
      <c r="Q1" s="16"/>
      <c r="R1" s="17" t="s">
        <v>59</v>
      </c>
      <c r="S1" s="14" t="str">
        <f>IF(COUNTIFS(Sept[Resident Name],"&lt;&gt;")=0,"No Data",COUNTIFS(Sept[Resident Name],"&lt;&gt;"))</f>
        <v>No Data</v>
      </c>
      <c r="T1" s="17" t="s">
        <v>62</v>
      </c>
      <c r="U1" s="14" t="str">
        <f>'Fall Rate and Census'!$Z$35</f>
        <v>No Data</v>
      </c>
    </row>
    <row r="2" spans="1:22" ht="8.1" customHeight="1" x14ac:dyDescent="0.25">
      <c r="B2" s="18"/>
      <c r="C2" s="16"/>
      <c r="D2" s="16"/>
      <c r="E2" s="16"/>
      <c r="F2" s="16"/>
      <c r="G2" s="16"/>
      <c r="H2" s="16"/>
      <c r="I2" s="16"/>
      <c r="J2" s="16"/>
      <c r="K2" s="16"/>
      <c r="L2" s="16"/>
      <c r="M2" s="16"/>
      <c r="N2" s="16"/>
      <c r="O2" s="16"/>
      <c r="P2" s="16"/>
      <c r="Q2" s="16"/>
      <c r="R2" s="16"/>
    </row>
    <row r="3" spans="1:22" ht="22.35" customHeight="1" x14ac:dyDescent="0.25">
      <c r="B3" s="19" t="s">
        <v>104</v>
      </c>
      <c r="C3" s="19" t="s">
        <v>105</v>
      </c>
      <c r="D3" s="20" t="s">
        <v>0</v>
      </c>
      <c r="E3" s="20" t="s">
        <v>89</v>
      </c>
      <c r="F3" s="20" t="s">
        <v>84</v>
      </c>
      <c r="G3" s="20" t="s">
        <v>100</v>
      </c>
      <c r="H3" s="20" t="s">
        <v>90</v>
      </c>
      <c r="I3" s="20" t="s">
        <v>1</v>
      </c>
      <c r="J3" s="20" t="s">
        <v>2</v>
      </c>
      <c r="K3" s="20" t="s">
        <v>3</v>
      </c>
      <c r="L3" s="20" t="s">
        <v>33</v>
      </c>
      <c r="M3" s="20" t="s">
        <v>34</v>
      </c>
      <c r="N3" s="20" t="s">
        <v>26</v>
      </c>
      <c r="O3" s="20" t="s">
        <v>30</v>
      </c>
      <c r="P3" s="19" t="s">
        <v>158</v>
      </c>
      <c r="Q3" s="19" t="s">
        <v>80</v>
      </c>
      <c r="R3" s="20" t="s">
        <v>81</v>
      </c>
      <c r="S3" s="20" t="s">
        <v>92</v>
      </c>
      <c r="T3" s="12" t="s">
        <v>95</v>
      </c>
      <c r="U3" s="12" t="s">
        <v>94</v>
      </c>
      <c r="V3" s="12" t="s">
        <v>96</v>
      </c>
    </row>
    <row r="4" spans="1:22" ht="20.85" customHeight="1" x14ac:dyDescent="0.25">
      <c r="A4" s="21"/>
      <c r="B4" s="266"/>
      <c r="C4" s="5"/>
      <c r="D4" s="263"/>
      <c r="E4" s="263"/>
      <c r="F4" s="266"/>
      <c r="G4" s="267"/>
      <c r="H4" s="2"/>
      <c r="I4" s="2"/>
      <c r="J4" s="2"/>
      <c r="K4" s="24" t="str">
        <f>IF(Sept[[#This Row],[Date of Incident]]="","",TEXT(Sept[[#This Row],[Date of Incident]],"ddd"))</f>
        <v/>
      </c>
      <c r="L4" s="1"/>
      <c r="M4" s="24" t="str">
        <f>IFERROR(VLOOKUP(Sept[[#This Row],[Hour]],Shifts[],2,FALSE),"")</f>
        <v/>
      </c>
      <c r="N4" s="2"/>
      <c r="O4" s="24" t="str">
        <f>IFERROR(VLOOKUP(Sept[[#This Row],[BIMS Score]],BIMS[],2,FALSE),"")</f>
        <v/>
      </c>
      <c r="P4" s="3"/>
      <c r="Q4" s="3"/>
      <c r="R4" s="2"/>
      <c r="S4" s="168"/>
      <c r="T4" s="3"/>
      <c r="U4" s="3"/>
      <c r="V4" s="3"/>
    </row>
    <row r="5" spans="1:22" ht="20.85" customHeight="1" x14ac:dyDescent="0.25">
      <c r="A5" s="21"/>
      <c r="B5" s="266"/>
      <c r="C5" s="5"/>
      <c r="D5" s="263"/>
      <c r="E5" s="263"/>
      <c r="F5" s="266"/>
      <c r="G5" s="267"/>
      <c r="H5" s="2"/>
      <c r="I5" s="2"/>
      <c r="J5" s="2"/>
      <c r="K5" s="24" t="str">
        <f>IF(Sept[[#This Row],[Date of Incident]]="","",TEXT(Sept[[#This Row],[Date of Incident]],"ddd"))</f>
        <v/>
      </c>
      <c r="L5" s="1"/>
      <c r="M5" s="24" t="str">
        <f>IFERROR(VLOOKUP(Sept[[#This Row],[Hour]],Shifts[],2,FALSE),"")</f>
        <v/>
      </c>
      <c r="N5" s="2"/>
      <c r="O5" s="24" t="str">
        <f>IFERROR(VLOOKUP(Sept[[#This Row],[BIMS Score]],BIMS[],2,FALSE),"")</f>
        <v/>
      </c>
      <c r="P5" s="3"/>
      <c r="Q5" s="3"/>
      <c r="R5" s="2"/>
      <c r="S5" s="168"/>
      <c r="T5" s="3"/>
      <c r="U5" s="3"/>
      <c r="V5" s="3"/>
    </row>
    <row r="6" spans="1:22" ht="20.85" customHeight="1" x14ac:dyDescent="0.25">
      <c r="A6" s="21"/>
      <c r="B6" s="266"/>
      <c r="C6" s="5"/>
      <c r="D6" s="263"/>
      <c r="E6" s="263"/>
      <c r="F6" s="266"/>
      <c r="G6" s="267"/>
      <c r="H6" s="2"/>
      <c r="I6" s="2"/>
      <c r="J6" s="2"/>
      <c r="K6" s="24" t="str">
        <f>IF(Sept[[#This Row],[Date of Incident]]="","",TEXT(Sept[[#This Row],[Date of Incident]],"ddd"))</f>
        <v/>
      </c>
      <c r="L6" s="1"/>
      <c r="M6" s="24" t="str">
        <f>IFERROR(VLOOKUP(Sept[[#This Row],[Hour]],Shifts[],2,FALSE),"")</f>
        <v/>
      </c>
      <c r="N6" s="2"/>
      <c r="O6" s="24" t="str">
        <f>IFERROR(VLOOKUP(Sept[[#This Row],[BIMS Score]],BIMS[],2,FALSE),"")</f>
        <v/>
      </c>
      <c r="P6" s="3"/>
      <c r="Q6" s="3"/>
      <c r="R6" s="2"/>
      <c r="S6" s="168"/>
      <c r="T6" s="3"/>
      <c r="U6" s="3"/>
      <c r="V6" s="3"/>
    </row>
    <row r="7" spans="1:22" ht="20.85" customHeight="1" x14ac:dyDescent="0.25">
      <c r="A7" s="21"/>
      <c r="B7" s="266"/>
      <c r="C7" s="5"/>
      <c r="D7" s="263"/>
      <c r="E7" s="263"/>
      <c r="F7" s="266"/>
      <c r="G7" s="267"/>
      <c r="H7" s="2"/>
      <c r="I7" s="2"/>
      <c r="J7" s="2"/>
      <c r="K7" s="24" t="str">
        <f>IF(Sept[[#This Row],[Date of Incident]]="","",TEXT(Sept[[#This Row],[Date of Incident]],"ddd"))</f>
        <v/>
      </c>
      <c r="L7" s="1"/>
      <c r="M7" s="24" t="str">
        <f>IFERROR(VLOOKUP(Sept[[#This Row],[Hour]],Shifts[],2,FALSE),"")</f>
        <v/>
      </c>
      <c r="N7" s="2"/>
      <c r="O7" s="24" t="str">
        <f>IFERROR(VLOOKUP(Sept[[#This Row],[BIMS Score]],BIMS[],2,FALSE),"")</f>
        <v/>
      </c>
      <c r="P7" s="3"/>
      <c r="Q7" s="3"/>
      <c r="R7" s="2"/>
      <c r="S7" s="168"/>
      <c r="T7" s="3"/>
      <c r="U7" s="3"/>
      <c r="V7" s="3"/>
    </row>
    <row r="8" spans="1:22" ht="20.85" customHeight="1" x14ac:dyDescent="0.25">
      <c r="A8" s="21"/>
      <c r="B8" s="266"/>
      <c r="C8" s="5"/>
      <c r="D8" s="263"/>
      <c r="E8" s="263"/>
      <c r="F8" s="266"/>
      <c r="G8" s="267"/>
      <c r="H8" s="2"/>
      <c r="I8" s="2"/>
      <c r="J8" s="2"/>
      <c r="K8" s="24" t="str">
        <f>IF(Sept[[#This Row],[Date of Incident]]="","",TEXT(Sept[[#This Row],[Date of Incident]],"ddd"))</f>
        <v/>
      </c>
      <c r="L8" s="1"/>
      <c r="M8" s="24" t="str">
        <f>IFERROR(VLOOKUP(Sept[[#This Row],[Hour]],Shifts[],2,FALSE),"")</f>
        <v/>
      </c>
      <c r="N8" s="2"/>
      <c r="O8" s="24" t="str">
        <f>IFERROR(VLOOKUP(Sept[[#This Row],[BIMS Score]],BIMS[],2,FALSE),"")</f>
        <v/>
      </c>
      <c r="P8" s="3"/>
      <c r="Q8" s="3"/>
      <c r="R8" s="2"/>
      <c r="S8" s="168"/>
      <c r="T8" s="3"/>
      <c r="U8" s="3"/>
      <c r="V8" s="3"/>
    </row>
    <row r="9" spans="1:22" ht="20.85" customHeight="1" x14ac:dyDescent="0.25">
      <c r="A9" s="21"/>
      <c r="B9" s="266"/>
      <c r="C9" s="5"/>
      <c r="D9" s="263"/>
      <c r="E9" s="263"/>
      <c r="F9" s="266"/>
      <c r="G9" s="267"/>
      <c r="H9" s="2"/>
      <c r="I9" s="2"/>
      <c r="J9" s="2"/>
      <c r="K9" s="24" t="str">
        <f>IF(Sept[[#This Row],[Date of Incident]]="","",TEXT(Sept[[#This Row],[Date of Incident]],"ddd"))</f>
        <v/>
      </c>
      <c r="L9" s="1"/>
      <c r="M9" s="24" t="str">
        <f>IFERROR(VLOOKUP(Sept[[#This Row],[Hour]],Shifts[],2,FALSE),"")</f>
        <v/>
      </c>
      <c r="N9" s="2"/>
      <c r="O9" s="24" t="str">
        <f>IFERROR(VLOOKUP(Sept[[#This Row],[BIMS Score]],BIMS[],2,FALSE),"")</f>
        <v/>
      </c>
      <c r="P9" s="3"/>
      <c r="Q9" s="3"/>
      <c r="R9" s="2"/>
      <c r="S9" s="168"/>
      <c r="T9" s="3"/>
      <c r="U9" s="3"/>
      <c r="V9" s="3"/>
    </row>
    <row r="10" spans="1:22" ht="20.85" customHeight="1" x14ac:dyDescent="0.25">
      <c r="A10" s="21"/>
      <c r="B10" s="266"/>
      <c r="C10" s="5"/>
      <c r="D10" s="263"/>
      <c r="E10" s="263"/>
      <c r="F10" s="266"/>
      <c r="G10" s="267"/>
      <c r="H10" s="2"/>
      <c r="I10" s="2"/>
      <c r="J10" s="2"/>
      <c r="K10" s="24" t="str">
        <f>IF(Sept[[#This Row],[Date of Incident]]="","",TEXT(Sept[[#This Row],[Date of Incident]],"ddd"))</f>
        <v/>
      </c>
      <c r="L10" s="1"/>
      <c r="M10" s="24" t="str">
        <f>IFERROR(VLOOKUP(Sept[[#This Row],[Hour]],Shifts[],2,FALSE),"")</f>
        <v/>
      </c>
      <c r="N10" s="2"/>
      <c r="O10" s="24" t="str">
        <f>IFERROR(VLOOKUP(Sept[[#This Row],[BIMS Score]],BIMS[],2,FALSE),"")</f>
        <v/>
      </c>
      <c r="P10" s="3"/>
      <c r="Q10" s="3"/>
      <c r="R10" s="2"/>
      <c r="S10" s="168"/>
      <c r="T10" s="3"/>
      <c r="U10" s="3"/>
      <c r="V10" s="3"/>
    </row>
    <row r="11" spans="1:22" ht="20.85" customHeight="1" x14ac:dyDescent="0.25">
      <c r="A11" s="21"/>
      <c r="B11" s="266"/>
      <c r="C11" s="5"/>
      <c r="D11" s="263"/>
      <c r="E11" s="263"/>
      <c r="F11" s="266"/>
      <c r="G11" s="267"/>
      <c r="H11" s="2"/>
      <c r="I11" s="2"/>
      <c r="J11" s="2"/>
      <c r="K11" s="24" t="str">
        <f>IF(Sept[[#This Row],[Date of Incident]]="","",TEXT(Sept[[#This Row],[Date of Incident]],"ddd"))</f>
        <v/>
      </c>
      <c r="L11" s="1"/>
      <c r="M11" s="24" t="str">
        <f>IFERROR(VLOOKUP(Sept[[#This Row],[Hour]],Shifts[],2,FALSE),"")</f>
        <v/>
      </c>
      <c r="N11" s="2"/>
      <c r="O11" s="24" t="str">
        <f>IFERROR(VLOOKUP(Sept[[#This Row],[BIMS Score]],BIMS[],2,FALSE),"")</f>
        <v/>
      </c>
      <c r="P11" s="3"/>
      <c r="Q11" s="3"/>
      <c r="R11" s="2"/>
      <c r="S11" s="168"/>
      <c r="T11" s="3"/>
      <c r="U11" s="3"/>
      <c r="V11" s="3"/>
    </row>
    <row r="12" spans="1:22" ht="20.85" customHeight="1" x14ac:dyDescent="0.25">
      <c r="A12" s="21"/>
      <c r="B12" s="267"/>
      <c r="C12" s="5"/>
      <c r="D12" s="264"/>
      <c r="E12" s="263"/>
      <c r="F12" s="267"/>
      <c r="G12" s="267"/>
      <c r="H12" s="2"/>
      <c r="I12" s="2"/>
      <c r="J12" s="2"/>
      <c r="K12" s="24" t="str">
        <f>IF(Sept[[#This Row],[Date of Incident]]="","",TEXT(Sept[[#This Row],[Date of Incident]],"ddd"))</f>
        <v/>
      </c>
      <c r="L12" s="1"/>
      <c r="M12" s="24" t="str">
        <f>IFERROR(VLOOKUP(Sept[[#This Row],[Hour]],Shifts[],2,FALSE),"")</f>
        <v/>
      </c>
      <c r="N12" s="2"/>
      <c r="O12" s="24" t="str">
        <f>IFERROR(VLOOKUP(Sept[[#This Row],[BIMS Score]],BIMS[],2,FALSE),"")</f>
        <v/>
      </c>
      <c r="P12" s="3"/>
      <c r="Q12" s="3"/>
      <c r="R12" s="2"/>
      <c r="S12" s="168"/>
      <c r="T12" s="3"/>
      <c r="U12" s="3"/>
      <c r="V12" s="3"/>
    </row>
    <row r="13" spans="1:22" ht="20.85" customHeight="1" x14ac:dyDescent="0.25">
      <c r="A13" s="21"/>
      <c r="B13" s="267"/>
      <c r="C13" s="5"/>
      <c r="D13" s="264"/>
      <c r="E13" s="263"/>
      <c r="F13" s="267"/>
      <c r="G13" s="267"/>
      <c r="H13" s="2"/>
      <c r="I13" s="2"/>
      <c r="J13" s="2"/>
      <c r="K13" s="24" t="str">
        <f>IF(Sept[[#This Row],[Date of Incident]]="","",TEXT(Sept[[#This Row],[Date of Incident]],"ddd"))</f>
        <v/>
      </c>
      <c r="L13" s="1"/>
      <c r="M13" s="24" t="str">
        <f>IFERROR(VLOOKUP(Sept[[#This Row],[Hour]],Shifts[],2,FALSE),"")</f>
        <v/>
      </c>
      <c r="N13" s="2"/>
      <c r="O13" s="24" t="str">
        <f>IFERROR(VLOOKUP(Sept[[#This Row],[BIMS Score]],BIMS[],2,FALSE),"")</f>
        <v/>
      </c>
      <c r="P13" s="3"/>
      <c r="Q13" s="3"/>
      <c r="R13" s="2"/>
      <c r="S13" s="168"/>
      <c r="T13" s="3"/>
      <c r="U13" s="3"/>
      <c r="V13" s="3"/>
    </row>
    <row r="14" spans="1:22" ht="20.85" customHeight="1" x14ac:dyDescent="0.25">
      <c r="A14" s="21"/>
      <c r="B14" s="267"/>
      <c r="C14" s="5"/>
      <c r="D14" s="264"/>
      <c r="E14" s="263"/>
      <c r="F14" s="267"/>
      <c r="G14" s="267"/>
      <c r="H14" s="2"/>
      <c r="I14" s="2"/>
      <c r="J14" s="2"/>
      <c r="K14" s="24" t="str">
        <f>IF(Sept[[#This Row],[Date of Incident]]="","",TEXT(Sept[[#This Row],[Date of Incident]],"ddd"))</f>
        <v/>
      </c>
      <c r="L14" s="1"/>
      <c r="M14" s="24" t="str">
        <f>IFERROR(VLOOKUP(Sept[[#This Row],[Hour]],Shifts[],2,FALSE),"")</f>
        <v/>
      </c>
      <c r="N14" s="2"/>
      <c r="O14" s="24" t="str">
        <f>IFERROR(VLOOKUP(Sept[[#This Row],[BIMS Score]],BIMS[],2,FALSE),"")</f>
        <v/>
      </c>
      <c r="P14" s="3"/>
      <c r="Q14" s="3"/>
      <c r="R14" s="2"/>
      <c r="S14" s="168"/>
      <c r="T14" s="3"/>
      <c r="U14" s="3"/>
      <c r="V14" s="3"/>
    </row>
    <row r="15" spans="1:22" ht="20.85" customHeight="1" x14ac:dyDescent="0.25">
      <c r="A15" s="21"/>
      <c r="B15" s="267"/>
      <c r="C15" s="5"/>
      <c r="D15" s="264"/>
      <c r="E15" s="263"/>
      <c r="F15" s="267"/>
      <c r="G15" s="267"/>
      <c r="H15" s="2"/>
      <c r="I15" s="2"/>
      <c r="J15" s="2"/>
      <c r="K15" s="24" t="str">
        <f>IF(Sept[[#This Row],[Date of Incident]]="","",TEXT(Sept[[#This Row],[Date of Incident]],"ddd"))</f>
        <v/>
      </c>
      <c r="L15" s="1"/>
      <c r="M15" s="24" t="str">
        <f>IFERROR(VLOOKUP(Sept[[#This Row],[Hour]],Shifts[],2,FALSE),"")</f>
        <v/>
      </c>
      <c r="N15" s="2"/>
      <c r="O15" s="24" t="str">
        <f>IFERROR(VLOOKUP(Sept[[#This Row],[BIMS Score]],BIMS[],2,FALSE),"")</f>
        <v/>
      </c>
      <c r="P15" s="3"/>
      <c r="Q15" s="3"/>
      <c r="R15" s="2"/>
      <c r="S15" s="168"/>
      <c r="T15" s="3"/>
      <c r="U15" s="3"/>
      <c r="V15" s="3"/>
    </row>
    <row r="16" spans="1:22" ht="20.85" customHeight="1" x14ac:dyDescent="0.25">
      <c r="A16" s="21"/>
      <c r="B16" s="267"/>
      <c r="C16" s="3"/>
      <c r="D16" s="264"/>
      <c r="E16" s="264"/>
      <c r="F16" s="267"/>
      <c r="G16" s="267"/>
      <c r="H16" s="2"/>
      <c r="I16" s="2"/>
      <c r="J16" s="2"/>
      <c r="K16" s="24" t="str">
        <f>IF(Sept[[#This Row],[Date of Incident]]="","",TEXT(Sept[[#This Row],[Date of Incident]],"ddd"))</f>
        <v/>
      </c>
      <c r="L16" s="1"/>
      <c r="M16" s="24" t="str">
        <f>IFERROR(VLOOKUP(Sept[[#This Row],[Hour]],Shifts[],2,FALSE),"")</f>
        <v/>
      </c>
      <c r="N16" s="2"/>
      <c r="O16" s="24" t="str">
        <f>IFERROR(VLOOKUP(Sept[[#This Row],[BIMS Score]],BIMS[],2,FALSE),"")</f>
        <v/>
      </c>
      <c r="P16" s="3"/>
      <c r="Q16" s="3"/>
      <c r="R16" s="2"/>
      <c r="S16" s="168"/>
      <c r="T16" s="3"/>
      <c r="U16" s="3"/>
      <c r="V16" s="3"/>
    </row>
    <row r="17" spans="1:22" ht="20.85" customHeight="1" x14ac:dyDescent="0.25">
      <c r="A17" s="21"/>
      <c r="B17" s="267"/>
      <c r="C17" s="3"/>
      <c r="D17" s="264"/>
      <c r="E17" s="264"/>
      <c r="F17" s="267"/>
      <c r="G17" s="267"/>
      <c r="H17" s="2"/>
      <c r="I17" s="2"/>
      <c r="J17" s="2"/>
      <c r="K17" s="24" t="str">
        <f>IF(Sept[[#This Row],[Date of Incident]]="","",TEXT(Sept[[#This Row],[Date of Incident]],"ddd"))</f>
        <v/>
      </c>
      <c r="L17" s="1"/>
      <c r="M17" s="24" t="str">
        <f>IFERROR(VLOOKUP(Sept[[#This Row],[Hour]],Shifts[],2,FALSE),"")</f>
        <v/>
      </c>
      <c r="N17" s="2"/>
      <c r="O17" s="24" t="str">
        <f>IFERROR(VLOOKUP(Sept[[#This Row],[BIMS Score]],BIMS[],2,FALSE),"")</f>
        <v/>
      </c>
      <c r="P17" s="3"/>
      <c r="Q17" s="3"/>
      <c r="R17" s="2"/>
      <c r="S17" s="168"/>
      <c r="T17" s="3"/>
      <c r="U17" s="3"/>
      <c r="V17" s="3"/>
    </row>
    <row r="18" spans="1:22" ht="20.85" customHeight="1" x14ac:dyDescent="0.25">
      <c r="A18" s="21"/>
      <c r="B18" s="267"/>
      <c r="C18" s="3"/>
      <c r="D18" s="264"/>
      <c r="E18" s="264"/>
      <c r="F18" s="267"/>
      <c r="G18" s="267"/>
      <c r="H18" s="2"/>
      <c r="I18" s="2"/>
      <c r="J18" s="2"/>
      <c r="K18" s="24" t="str">
        <f>IF(Sept[[#This Row],[Date of Incident]]="","",TEXT(Sept[[#This Row],[Date of Incident]],"ddd"))</f>
        <v/>
      </c>
      <c r="L18" s="1"/>
      <c r="M18" s="24" t="str">
        <f>IFERROR(VLOOKUP(Sept[[#This Row],[Hour]],Shifts[],2,FALSE),"")</f>
        <v/>
      </c>
      <c r="N18" s="2"/>
      <c r="O18" s="24" t="str">
        <f>IFERROR(VLOOKUP(Sept[[#This Row],[BIMS Score]],BIMS[],2,FALSE),"")</f>
        <v/>
      </c>
      <c r="P18" s="3"/>
      <c r="Q18" s="3"/>
      <c r="R18" s="2"/>
      <c r="S18" s="168"/>
      <c r="T18" s="3"/>
      <c r="U18" s="3"/>
      <c r="V18" s="3"/>
    </row>
    <row r="19" spans="1:22" ht="20.85" customHeight="1" x14ac:dyDescent="0.25">
      <c r="A19" s="21"/>
      <c r="B19" s="267"/>
      <c r="C19" s="3"/>
      <c r="D19" s="264"/>
      <c r="E19" s="264"/>
      <c r="F19" s="267"/>
      <c r="G19" s="267"/>
      <c r="H19" s="2"/>
      <c r="I19" s="2"/>
      <c r="J19" s="2"/>
      <c r="K19" s="24" t="str">
        <f>IF(Sept[[#This Row],[Date of Incident]]="","",TEXT(Sept[[#This Row],[Date of Incident]],"ddd"))</f>
        <v/>
      </c>
      <c r="L19" s="1"/>
      <c r="M19" s="24" t="str">
        <f>IFERROR(VLOOKUP(Sept[[#This Row],[Hour]],Shifts[],2,FALSE),"")</f>
        <v/>
      </c>
      <c r="N19" s="2"/>
      <c r="O19" s="24" t="str">
        <f>IFERROR(VLOOKUP(Sept[[#This Row],[BIMS Score]],BIMS[],2,FALSE),"")</f>
        <v/>
      </c>
      <c r="P19" s="3"/>
      <c r="Q19" s="3"/>
      <c r="R19" s="2"/>
      <c r="S19" s="168"/>
      <c r="T19" s="3"/>
      <c r="U19" s="3"/>
      <c r="V19" s="3"/>
    </row>
    <row r="20" spans="1:22" ht="20.85" customHeight="1" x14ac:dyDescent="0.25">
      <c r="A20" s="21"/>
      <c r="B20" s="267"/>
      <c r="C20" s="3"/>
      <c r="D20" s="264"/>
      <c r="E20" s="264"/>
      <c r="F20" s="267"/>
      <c r="G20" s="267"/>
      <c r="H20" s="2"/>
      <c r="I20" s="2"/>
      <c r="J20" s="2"/>
      <c r="K20" s="24" t="str">
        <f>IF(Sept[[#This Row],[Date of Incident]]="","",TEXT(Sept[[#This Row],[Date of Incident]],"ddd"))</f>
        <v/>
      </c>
      <c r="L20" s="1"/>
      <c r="M20" s="24" t="str">
        <f>IFERROR(VLOOKUP(Sept[[#This Row],[Hour]],Shifts[],2,FALSE),"")</f>
        <v/>
      </c>
      <c r="N20" s="2"/>
      <c r="O20" s="24" t="str">
        <f>IFERROR(VLOOKUP(Sept[[#This Row],[BIMS Score]],BIMS[],2,FALSE),"")</f>
        <v/>
      </c>
      <c r="P20" s="3"/>
      <c r="Q20" s="3"/>
      <c r="R20" s="2"/>
      <c r="S20" s="168"/>
      <c r="T20" s="3"/>
      <c r="U20" s="3"/>
      <c r="V20" s="3"/>
    </row>
    <row r="21" spans="1:22" ht="20.85" customHeight="1" x14ac:dyDescent="0.25">
      <c r="A21" s="21"/>
      <c r="B21" s="267"/>
      <c r="C21" s="3"/>
      <c r="D21" s="264"/>
      <c r="E21" s="264"/>
      <c r="F21" s="267"/>
      <c r="G21" s="267"/>
      <c r="H21" s="2"/>
      <c r="I21" s="2"/>
      <c r="J21" s="2"/>
      <c r="K21" s="24" t="str">
        <f>IF(Sept[[#This Row],[Date of Incident]]="","",TEXT(Sept[[#This Row],[Date of Incident]],"ddd"))</f>
        <v/>
      </c>
      <c r="L21" s="1"/>
      <c r="M21" s="24" t="str">
        <f>IFERROR(VLOOKUP(Sept[[#This Row],[Hour]],Shifts[],2,FALSE),"")</f>
        <v/>
      </c>
      <c r="N21" s="2"/>
      <c r="O21" s="24" t="str">
        <f>IFERROR(VLOOKUP(Sept[[#This Row],[BIMS Score]],BIMS[],2,FALSE),"")</f>
        <v/>
      </c>
      <c r="P21" s="3"/>
      <c r="Q21" s="3"/>
      <c r="R21" s="2"/>
      <c r="S21" s="168"/>
      <c r="T21" s="3"/>
      <c r="U21" s="3"/>
      <c r="V21" s="3"/>
    </row>
    <row r="22" spans="1:22" ht="20.85" customHeight="1" x14ac:dyDescent="0.25">
      <c r="A22" s="21"/>
      <c r="B22" s="267"/>
      <c r="C22" s="3"/>
      <c r="D22" s="264"/>
      <c r="E22" s="264"/>
      <c r="F22" s="267"/>
      <c r="G22" s="267"/>
      <c r="H22" s="2"/>
      <c r="I22" s="2"/>
      <c r="J22" s="2"/>
      <c r="K22" s="24" t="str">
        <f>IF(Sept[[#This Row],[Date of Incident]]="","",TEXT(Sept[[#This Row],[Date of Incident]],"ddd"))</f>
        <v/>
      </c>
      <c r="L22" s="1"/>
      <c r="M22" s="24" t="str">
        <f>IFERROR(VLOOKUP(Sept[[#This Row],[Hour]],Shifts[],2,FALSE),"")</f>
        <v/>
      </c>
      <c r="N22" s="1"/>
      <c r="O22" s="24" t="str">
        <f>IFERROR(VLOOKUP(Sept[[#This Row],[BIMS Score]],BIMS[],2,FALSE),"")</f>
        <v/>
      </c>
      <c r="P22" s="3"/>
      <c r="Q22" s="3"/>
      <c r="R22" s="2"/>
      <c r="S22" s="168"/>
      <c r="T22" s="3"/>
      <c r="U22" s="3"/>
      <c r="V22" s="3"/>
    </row>
    <row r="23" spans="1:22" ht="20.85" customHeight="1" x14ac:dyDescent="0.25">
      <c r="A23" s="21"/>
      <c r="B23" s="267"/>
      <c r="C23" s="3"/>
      <c r="D23" s="264"/>
      <c r="E23" s="264"/>
      <c r="F23" s="267"/>
      <c r="G23" s="267"/>
      <c r="H23" s="2"/>
      <c r="I23" s="2"/>
      <c r="J23" s="2"/>
      <c r="K23" s="24" t="str">
        <f>IF(Sept[[#This Row],[Date of Incident]]="","",TEXT(Sept[[#This Row],[Date of Incident]],"ddd"))</f>
        <v/>
      </c>
      <c r="L23" s="1"/>
      <c r="M23" s="24" t="str">
        <f>IFERROR(VLOOKUP(Sept[[#This Row],[Hour]],Shifts[],2,FALSE),"")</f>
        <v/>
      </c>
      <c r="N23" s="1"/>
      <c r="O23" s="24" t="str">
        <f>IFERROR(VLOOKUP(Sept[[#This Row],[BIMS Score]],BIMS[],2,FALSE),"")</f>
        <v/>
      </c>
      <c r="P23" s="3"/>
      <c r="Q23" s="3"/>
      <c r="R23" s="2"/>
      <c r="S23" s="168"/>
      <c r="T23" s="3"/>
      <c r="U23" s="3"/>
      <c r="V23" s="3"/>
    </row>
    <row r="24" spans="1:22" s="10" customFormat="1" ht="20.85" customHeight="1" x14ac:dyDescent="0.25">
      <c r="A24" s="26"/>
      <c r="B24" s="266"/>
      <c r="C24" s="5"/>
      <c r="D24" s="263"/>
      <c r="E24" s="263"/>
      <c r="F24" s="267"/>
      <c r="G24" s="267"/>
      <c r="H24" s="1"/>
      <c r="I24" s="1"/>
      <c r="J24" s="1"/>
      <c r="K24" s="24" t="str">
        <f>IF(Sept[[#This Row],[Date of Incident]]="","",TEXT(Sept[[#This Row],[Date of Incident]],"ddd"))</f>
        <v/>
      </c>
      <c r="L24" s="1"/>
      <c r="M24" s="24" t="str">
        <f>IFERROR(VLOOKUP(Sept[[#This Row],[Hour]],Shifts[],2,FALSE),"")</f>
        <v/>
      </c>
      <c r="N24" s="1"/>
      <c r="O24" s="24" t="str">
        <f>IFERROR(VLOOKUP(Sept[[#This Row],[BIMS Score]],BIMS[],2,FALSE),"")</f>
        <v/>
      </c>
      <c r="P24" s="3"/>
      <c r="Q24" s="3"/>
      <c r="R24" s="2"/>
      <c r="S24" s="168"/>
      <c r="T24" s="5"/>
      <c r="U24" s="5"/>
      <c r="V24" s="3"/>
    </row>
    <row r="25" spans="1:22" ht="20.85" customHeight="1" x14ac:dyDescent="0.25">
      <c r="A25" s="21"/>
      <c r="B25" s="266"/>
      <c r="C25" s="5"/>
      <c r="D25" s="263"/>
      <c r="E25" s="263"/>
      <c r="F25" s="267"/>
      <c r="G25" s="267"/>
      <c r="H25" s="1"/>
      <c r="I25" s="1"/>
      <c r="J25" s="1"/>
      <c r="K25" s="24" t="str">
        <f>IF(Sept[[#This Row],[Date of Incident]]="","",TEXT(Sept[[#This Row],[Date of Incident]],"ddd"))</f>
        <v/>
      </c>
      <c r="L25" s="1"/>
      <c r="M25" s="24" t="str">
        <f>IFERROR(VLOOKUP(Sept[[#This Row],[Hour]],Shifts[],2,FALSE),"")</f>
        <v/>
      </c>
      <c r="N25" s="1"/>
      <c r="O25" s="24" t="str">
        <f>IFERROR(VLOOKUP(Sept[[#This Row],[BIMS Score]],BIMS[],2,FALSE),"")</f>
        <v/>
      </c>
      <c r="P25" s="3"/>
      <c r="Q25" s="3"/>
      <c r="R25" s="2"/>
      <c r="S25" s="168"/>
      <c r="T25" s="5"/>
      <c r="U25" s="5"/>
      <c r="V25" s="3"/>
    </row>
    <row r="26" spans="1:22" ht="20.85" customHeight="1" x14ac:dyDescent="0.25">
      <c r="A26" s="21"/>
      <c r="B26" s="266"/>
      <c r="C26" s="5"/>
      <c r="D26" s="263"/>
      <c r="E26" s="263"/>
      <c r="F26" s="267"/>
      <c r="G26" s="267"/>
      <c r="H26" s="1"/>
      <c r="I26" s="1"/>
      <c r="J26" s="1"/>
      <c r="K26" s="24" t="str">
        <f>IF(Sept[[#This Row],[Date of Incident]]="","",TEXT(Sept[[#This Row],[Date of Incident]],"ddd"))</f>
        <v/>
      </c>
      <c r="L26" s="1"/>
      <c r="M26" s="24" t="str">
        <f>IFERROR(VLOOKUP(Sept[[#This Row],[Hour]],Shifts[],2,FALSE),"")</f>
        <v/>
      </c>
      <c r="N26" s="1"/>
      <c r="O26" s="24" t="str">
        <f>IFERROR(VLOOKUP(Sept[[#This Row],[BIMS Score]],BIMS[],2,FALSE),"")</f>
        <v/>
      </c>
      <c r="P26" s="3"/>
      <c r="Q26" s="3"/>
      <c r="R26" s="2"/>
      <c r="S26" s="168"/>
      <c r="T26" s="5"/>
      <c r="U26" s="5"/>
      <c r="V26" s="3"/>
    </row>
    <row r="27" spans="1:22" ht="20.85" customHeight="1" x14ac:dyDescent="0.25">
      <c r="A27" s="21"/>
      <c r="B27" s="266"/>
      <c r="C27" s="5"/>
      <c r="D27" s="263"/>
      <c r="E27" s="263"/>
      <c r="F27" s="267"/>
      <c r="G27" s="267"/>
      <c r="H27" s="1"/>
      <c r="I27" s="1"/>
      <c r="J27" s="1"/>
      <c r="K27" s="24" t="str">
        <f>IF(Sept[[#This Row],[Date of Incident]]="","",TEXT(Sept[[#This Row],[Date of Incident]],"ddd"))</f>
        <v/>
      </c>
      <c r="L27" s="1"/>
      <c r="M27" s="24" t="str">
        <f>IFERROR(VLOOKUP(Sept[[#This Row],[Hour]],Shifts[],2,FALSE),"")</f>
        <v/>
      </c>
      <c r="N27" s="1"/>
      <c r="O27" s="24" t="str">
        <f>IFERROR(VLOOKUP(Sept[[#This Row],[BIMS Score]],BIMS[],2,FALSE),"")</f>
        <v/>
      </c>
      <c r="P27" s="3"/>
      <c r="Q27" s="3"/>
      <c r="R27" s="2"/>
      <c r="S27" s="168"/>
      <c r="T27" s="5"/>
      <c r="U27" s="5"/>
      <c r="V27" s="3"/>
    </row>
    <row r="28" spans="1:22" ht="20.85" customHeight="1" x14ac:dyDescent="0.25">
      <c r="A28" s="21"/>
      <c r="B28" s="266"/>
      <c r="C28" s="5"/>
      <c r="D28" s="263"/>
      <c r="E28" s="263"/>
      <c r="F28" s="267"/>
      <c r="G28" s="267"/>
      <c r="H28" s="1"/>
      <c r="I28" s="1"/>
      <c r="J28" s="1"/>
      <c r="K28" s="24" t="str">
        <f>IF(Sept[[#This Row],[Date of Incident]]="","",TEXT(Sept[[#This Row],[Date of Incident]],"ddd"))</f>
        <v/>
      </c>
      <c r="L28" s="1"/>
      <c r="M28" s="24" t="str">
        <f>IFERROR(VLOOKUP(Sept[[#This Row],[Hour]],Shifts[],2,FALSE),"")</f>
        <v/>
      </c>
      <c r="N28" s="1"/>
      <c r="O28" s="24" t="str">
        <f>IFERROR(VLOOKUP(Sept[[#This Row],[BIMS Score]],BIMS[],2,FALSE),"")</f>
        <v/>
      </c>
      <c r="P28" s="3"/>
      <c r="Q28" s="3"/>
      <c r="R28" s="2"/>
      <c r="S28" s="168"/>
      <c r="T28" s="5"/>
      <c r="U28" s="5"/>
      <c r="V28" s="3"/>
    </row>
    <row r="29" spans="1:22" ht="20.85" customHeight="1" x14ac:dyDescent="0.25">
      <c r="B29" s="266"/>
      <c r="C29" s="5"/>
      <c r="D29" s="263"/>
      <c r="E29" s="263"/>
      <c r="F29" s="267"/>
      <c r="G29" s="267"/>
      <c r="H29" s="1"/>
      <c r="I29" s="1"/>
      <c r="J29" s="1"/>
      <c r="K29" s="27" t="str">
        <f>IF(Sept[[#This Row],[Date of Incident]]="","",TEXT(Sept[[#This Row],[Date of Incident]],"ddd"))</f>
        <v/>
      </c>
      <c r="L29" s="1"/>
      <c r="M29" s="27" t="str">
        <f>IFERROR(VLOOKUP(Sept[[#This Row],[Hour]],Shifts[],2,FALSE),"")</f>
        <v/>
      </c>
      <c r="N29" s="2"/>
      <c r="O29" s="24" t="str">
        <f>IFERROR(VLOOKUP(Sept[[#This Row],[BIMS Score]],BIMS[],2,FALSE),"")</f>
        <v/>
      </c>
      <c r="P29" s="3"/>
      <c r="Q29" s="3"/>
      <c r="R29" s="2"/>
      <c r="S29" s="168"/>
      <c r="T29" s="5"/>
      <c r="U29" s="5"/>
      <c r="V29" s="5"/>
    </row>
    <row r="30" spans="1:22" ht="20.85" customHeight="1" x14ac:dyDescent="0.25">
      <c r="B30" s="266"/>
      <c r="C30" s="5"/>
      <c r="D30" s="263"/>
      <c r="E30" s="263"/>
      <c r="F30" s="267"/>
      <c r="G30" s="267"/>
      <c r="H30" s="1"/>
      <c r="I30" s="1"/>
      <c r="J30" s="1"/>
      <c r="K30" s="27" t="str">
        <f>IF(Sept[[#This Row],[Date of Incident]]="","",TEXT(Sept[[#This Row],[Date of Incident]],"ddd"))</f>
        <v/>
      </c>
      <c r="L30" s="1"/>
      <c r="M30" s="27" t="str">
        <f>IFERROR(VLOOKUP(Sept[[#This Row],[Hour]],Shifts[],2,FALSE),"")</f>
        <v/>
      </c>
      <c r="N30" s="2"/>
      <c r="O30" s="24" t="str">
        <f>IFERROR(VLOOKUP(Sept[[#This Row],[BIMS Score]],BIMS[],2,FALSE),"")</f>
        <v/>
      </c>
      <c r="P30" s="3"/>
      <c r="Q30" s="3"/>
      <c r="R30" s="2"/>
      <c r="S30" s="168"/>
      <c r="T30" s="5"/>
      <c r="U30" s="5"/>
      <c r="V30" s="5"/>
    </row>
    <row r="31" spans="1:22" ht="20.85" customHeight="1" x14ac:dyDescent="0.25">
      <c r="B31" s="266"/>
      <c r="C31" s="5"/>
      <c r="D31" s="263"/>
      <c r="E31" s="263"/>
      <c r="F31" s="267"/>
      <c r="G31" s="267"/>
      <c r="H31" s="1"/>
      <c r="I31" s="1"/>
      <c r="J31" s="1"/>
      <c r="K31" s="27" t="str">
        <f>IF(Sept[[#This Row],[Date of Incident]]="","",TEXT(Sept[[#This Row],[Date of Incident]],"ddd"))</f>
        <v/>
      </c>
      <c r="L31" s="1"/>
      <c r="M31" s="27" t="str">
        <f>IFERROR(VLOOKUP(Sept[[#This Row],[Hour]],Shifts[],2,FALSE),"")</f>
        <v/>
      </c>
      <c r="N31" s="2"/>
      <c r="O31" s="24" t="str">
        <f>IFERROR(VLOOKUP(Sept[[#This Row],[BIMS Score]],BIMS[],2,FALSE),"")</f>
        <v/>
      </c>
      <c r="P31" s="3"/>
      <c r="Q31" s="3"/>
      <c r="R31" s="2"/>
      <c r="S31" s="168"/>
      <c r="T31" s="5"/>
      <c r="U31" s="5"/>
      <c r="V31" s="5"/>
    </row>
    <row r="32" spans="1:22" ht="20.85" customHeight="1" x14ac:dyDescent="0.25">
      <c r="B32" s="266"/>
      <c r="C32" s="5"/>
      <c r="D32" s="263"/>
      <c r="E32" s="263"/>
      <c r="F32" s="267"/>
      <c r="G32" s="267"/>
      <c r="H32" s="1"/>
      <c r="I32" s="1"/>
      <c r="J32" s="1"/>
      <c r="K32" s="27" t="str">
        <f>IF(Sept[[#This Row],[Date of Incident]]="","",TEXT(Sept[[#This Row],[Date of Incident]],"ddd"))</f>
        <v/>
      </c>
      <c r="L32" s="1"/>
      <c r="M32" s="27" t="str">
        <f>IFERROR(VLOOKUP(Sept[[#This Row],[Hour]],Shifts[],2,FALSE),"")</f>
        <v/>
      </c>
      <c r="N32" s="2"/>
      <c r="O32" s="24" t="str">
        <f>IFERROR(VLOOKUP(Sept[[#This Row],[BIMS Score]],BIMS[],2,FALSE),"")</f>
        <v/>
      </c>
      <c r="P32" s="3"/>
      <c r="Q32" s="3"/>
      <c r="R32" s="2"/>
      <c r="S32" s="168"/>
      <c r="T32" s="5"/>
      <c r="U32" s="5"/>
      <c r="V32" s="5"/>
    </row>
    <row r="33" spans="2:22" ht="20.85" customHeight="1" x14ac:dyDescent="0.25">
      <c r="B33" s="266"/>
      <c r="C33" s="5"/>
      <c r="D33" s="263"/>
      <c r="E33" s="263"/>
      <c r="F33" s="267"/>
      <c r="G33" s="267"/>
      <c r="H33" s="1"/>
      <c r="I33" s="1"/>
      <c r="J33" s="1"/>
      <c r="K33" s="27" t="str">
        <f>IF(Sept[[#This Row],[Date of Incident]]="","",TEXT(Sept[[#This Row],[Date of Incident]],"ddd"))</f>
        <v/>
      </c>
      <c r="L33" s="1"/>
      <c r="M33" s="27" t="str">
        <f>IFERROR(VLOOKUP(Sept[[#This Row],[Hour]],Shifts[],2,FALSE),"")</f>
        <v/>
      </c>
      <c r="N33" s="2"/>
      <c r="O33" s="24" t="str">
        <f>IFERROR(VLOOKUP(Sept[[#This Row],[BIMS Score]],BIMS[],2,FALSE),"")</f>
        <v/>
      </c>
      <c r="P33" s="3"/>
      <c r="Q33" s="3"/>
      <c r="R33" s="2"/>
      <c r="S33" s="168"/>
      <c r="T33" s="5"/>
      <c r="U33" s="5"/>
      <c r="V33" s="5"/>
    </row>
    <row r="34" spans="2:22" ht="20.85" customHeight="1" x14ac:dyDescent="0.25">
      <c r="B34" s="266"/>
      <c r="C34" s="5"/>
      <c r="D34" s="263"/>
      <c r="E34" s="263"/>
      <c r="F34" s="267"/>
      <c r="G34" s="267"/>
      <c r="H34" s="1"/>
      <c r="I34" s="1"/>
      <c r="J34" s="1"/>
      <c r="K34" s="27" t="str">
        <f>IF(Sept[[#This Row],[Date of Incident]]="","",TEXT(Sept[[#This Row],[Date of Incident]],"ddd"))</f>
        <v/>
      </c>
      <c r="L34" s="1"/>
      <c r="M34" s="27" t="str">
        <f>IFERROR(VLOOKUP(Sept[[#This Row],[Hour]],Shifts[],2,FALSE),"")</f>
        <v/>
      </c>
      <c r="N34" s="2"/>
      <c r="O34" s="24" t="str">
        <f>IFERROR(VLOOKUP(Sept[[#This Row],[BIMS Score]],BIMS[],2,FALSE),"")</f>
        <v/>
      </c>
      <c r="P34" s="3"/>
      <c r="Q34" s="3"/>
      <c r="R34" s="2"/>
      <c r="S34" s="168"/>
      <c r="T34" s="5"/>
      <c r="U34" s="5"/>
      <c r="V34" s="5"/>
    </row>
    <row r="35" spans="2:22" ht="20.85" customHeight="1" x14ac:dyDescent="0.25">
      <c r="B35" s="266"/>
      <c r="C35" s="5"/>
      <c r="D35" s="263"/>
      <c r="E35" s="263"/>
      <c r="F35" s="267"/>
      <c r="G35" s="267"/>
      <c r="H35" s="1"/>
      <c r="I35" s="1"/>
      <c r="J35" s="1"/>
      <c r="K35" s="27" t="str">
        <f>IF(Sept[[#This Row],[Date of Incident]]="","",TEXT(Sept[[#This Row],[Date of Incident]],"ddd"))</f>
        <v/>
      </c>
      <c r="L35" s="1"/>
      <c r="M35" s="27" t="str">
        <f>IFERROR(VLOOKUP(Sept[[#This Row],[Hour]],Shifts[],2,FALSE),"")</f>
        <v/>
      </c>
      <c r="N35" s="2"/>
      <c r="O35" s="24" t="str">
        <f>IFERROR(VLOOKUP(Sept[[#This Row],[BIMS Score]],BIMS[],2,FALSE),"")</f>
        <v/>
      </c>
      <c r="P35" s="3"/>
      <c r="Q35" s="3"/>
      <c r="R35" s="2"/>
      <c r="S35" s="168"/>
      <c r="T35" s="5"/>
      <c r="U35" s="5"/>
      <c r="V35" s="5"/>
    </row>
    <row r="36" spans="2:22" ht="20.85" customHeight="1" x14ac:dyDescent="0.25">
      <c r="B36" s="266"/>
      <c r="C36" s="5"/>
      <c r="D36" s="263"/>
      <c r="E36" s="263"/>
      <c r="F36" s="267"/>
      <c r="G36" s="267"/>
      <c r="H36" s="1"/>
      <c r="I36" s="1"/>
      <c r="J36" s="1"/>
      <c r="K36" s="27" t="str">
        <f>IF(Sept[[#This Row],[Date of Incident]]="","",TEXT(Sept[[#This Row],[Date of Incident]],"ddd"))</f>
        <v/>
      </c>
      <c r="L36" s="1"/>
      <c r="M36" s="27" t="str">
        <f>IFERROR(VLOOKUP(Sept[[#This Row],[Hour]],Shifts[],2,FALSE),"")</f>
        <v/>
      </c>
      <c r="N36" s="2"/>
      <c r="O36" s="24" t="str">
        <f>IFERROR(VLOOKUP(Sept[[#This Row],[BIMS Score]],BIMS[],2,FALSE),"")</f>
        <v/>
      </c>
      <c r="P36" s="3"/>
      <c r="Q36" s="3"/>
      <c r="R36" s="2"/>
      <c r="S36" s="168"/>
      <c r="T36" s="5"/>
      <c r="U36" s="5"/>
      <c r="V36" s="5"/>
    </row>
    <row r="37" spans="2:22" ht="20.85" customHeight="1" x14ac:dyDescent="0.25">
      <c r="B37" s="266"/>
      <c r="C37" s="5"/>
      <c r="D37" s="263"/>
      <c r="E37" s="263"/>
      <c r="F37" s="267"/>
      <c r="G37" s="267"/>
      <c r="H37" s="1"/>
      <c r="I37" s="1"/>
      <c r="J37" s="1"/>
      <c r="K37" s="27" t="str">
        <f>IF(Sept[[#This Row],[Date of Incident]]="","",TEXT(Sept[[#This Row],[Date of Incident]],"ddd"))</f>
        <v/>
      </c>
      <c r="L37" s="1"/>
      <c r="M37" s="27" t="str">
        <f>IFERROR(VLOOKUP(Sept[[#This Row],[Hour]],Shifts[],2,FALSE),"")</f>
        <v/>
      </c>
      <c r="N37" s="2"/>
      <c r="O37" s="24" t="str">
        <f>IFERROR(VLOOKUP(Sept[[#This Row],[BIMS Score]],BIMS[],2,FALSE),"")</f>
        <v/>
      </c>
      <c r="P37" s="3"/>
      <c r="Q37" s="3"/>
      <c r="R37" s="2"/>
      <c r="S37" s="168"/>
      <c r="T37" s="5"/>
      <c r="U37" s="5"/>
      <c r="V37" s="5"/>
    </row>
    <row r="38" spans="2:22" ht="20.85" customHeight="1" x14ac:dyDescent="0.25">
      <c r="B38" s="266"/>
      <c r="C38" s="5"/>
      <c r="D38" s="263"/>
      <c r="E38" s="263"/>
      <c r="F38" s="267"/>
      <c r="G38" s="267"/>
      <c r="H38" s="1"/>
      <c r="I38" s="1"/>
      <c r="J38" s="1"/>
      <c r="K38" s="27" t="str">
        <f>IF(Sept[[#This Row],[Date of Incident]]="","",TEXT(Sept[[#This Row],[Date of Incident]],"ddd"))</f>
        <v/>
      </c>
      <c r="L38" s="1"/>
      <c r="M38" s="27" t="str">
        <f>IFERROR(VLOOKUP(Sept[[#This Row],[Hour]],Shifts[],2,FALSE),"")</f>
        <v/>
      </c>
      <c r="N38" s="2"/>
      <c r="O38" s="24" t="str">
        <f>IFERROR(VLOOKUP(Sept[[#This Row],[BIMS Score]],BIMS[],2,FALSE),"")</f>
        <v/>
      </c>
      <c r="P38" s="3"/>
      <c r="Q38" s="3"/>
      <c r="R38" s="2"/>
      <c r="S38" s="168"/>
      <c r="T38" s="5"/>
      <c r="U38" s="5"/>
      <c r="V38" s="5"/>
    </row>
    <row r="39" spans="2:22" ht="20.85" customHeight="1" x14ac:dyDescent="0.25">
      <c r="B39" s="266"/>
      <c r="C39" s="5"/>
      <c r="D39" s="263"/>
      <c r="E39" s="263"/>
      <c r="F39" s="267"/>
      <c r="G39" s="267"/>
      <c r="H39" s="1"/>
      <c r="I39" s="1"/>
      <c r="J39" s="1"/>
      <c r="K39" s="27" t="str">
        <f>IF(Sept[[#This Row],[Date of Incident]]="","",TEXT(Sept[[#This Row],[Date of Incident]],"ddd"))</f>
        <v/>
      </c>
      <c r="L39" s="1"/>
      <c r="M39" s="27" t="str">
        <f>IFERROR(VLOOKUP(Sept[[#This Row],[Hour]],Shifts[],2,FALSE),"")</f>
        <v/>
      </c>
      <c r="N39" s="2"/>
      <c r="O39" s="24" t="str">
        <f>IFERROR(VLOOKUP(Sept[[#This Row],[BIMS Score]],BIMS[],2,FALSE),"")</f>
        <v/>
      </c>
      <c r="P39" s="3"/>
      <c r="Q39" s="3"/>
      <c r="R39" s="2"/>
      <c r="S39" s="168"/>
      <c r="T39" s="5"/>
      <c r="U39" s="5"/>
      <c r="V39" s="5"/>
    </row>
    <row r="40" spans="2:22" ht="20.85" customHeight="1" x14ac:dyDescent="0.25">
      <c r="B40" s="266"/>
      <c r="C40" s="5"/>
      <c r="D40" s="263"/>
      <c r="E40" s="263"/>
      <c r="F40" s="267"/>
      <c r="G40" s="267"/>
      <c r="H40" s="1"/>
      <c r="I40" s="1"/>
      <c r="J40" s="1"/>
      <c r="K40" s="27" t="str">
        <f>IF(Sept[[#This Row],[Date of Incident]]="","",TEXT(Sept[[#This Row],[Date of Incident]],"ddd"))</f>
        <v/>
      </c>
      <c r="L40" s="1"/>
      <c r="M40" s="27" t="str">
        <f>IFERROR(VLOOKUP(Sept[[#This Row],[Hour]],Shifts[],2,FALSE),"")</f>
        <v/>
      </c>
      <c r="N40" s="2"/>
      <c r="O40" s="24" t="str">
        <f>IFERROR(VLOOKUP(Sept[[#This Row],[BIMS Score]],BIMS[],2,FALSE),"")</f>
        <v/>
      </c>
      <c r="P40" s="3"/>
      <c r="Q40" s="3"/>
      <c r="R40" s="2"/>
      <c r="S40" s="168"/>
      <c r="T40" s="5"/>
      <c r="U40" s="5"/>
      <c r="V40" s="5"/>
    </row>
    <row r="41" spans="2:22" x14ac:dyDescent="0.25">
      <c r="B41" s="26"/>
      <c r="C41" s="21"/>
      <c r="D41" s="22"/>
      <c r="E41" s="23"/>
      <c r="F41" s="26"/>
      <c r="G41" s="26"/>
      <c r="H41" s="26"/>
      <c r="I41" s="26"/>
      <c r="J41" s="26"/>
      <c r="K41" s="26"/>
      <c r="L41" s="26"/>
      <c r="M41" s="26"/>
      <c r="N41" s="20"/>
      <c r="O41" s="25"/>
      <c r="P41" s="21"/>
      <c r="Q41" s="21"/>
      <c r="R41" s="25"/>
    </row>
    <row r="42" spans="2:22" x14ac:dyDescent="0.25">
      <c r="B42" s="26"/>
      <c r="C42" s="21"/>
      <c r="D42" s="22"/>
      <c r="E42" s="23"/>
      <c r="F42" s="26"/>
      <c r="G42" s="26"/>
      <c r="H42" s="26"/>
      <c r="I42" s="26"/>
      <c r="J42" s="26"/>
      <c r="K42" s="26"/>
      <c r="L42" s="26"/>
      <c r="M42" s="26"/>
      <c r="N42" s="20"/>
      <c r="O42" s="25"/>
      <c r="P42" s="21"/>
      <c r="Q42" s="21"/>
      <c r="R42" s="25"/>
    </row>
    <row r="43" spans="2:22" x14ac:dyDescent="0.25">
      <c r="B43" s="26"/>
      <c r="C43" s="21"/>
      <c r="D43" s="22"/>
      <c r="E43" s="23"/>
      <c r="F43" s="26"/>
      <c r="G43" s="26"/>
      <c r="H43" s="26"/>
      <c r="I43" s="26"/>
      <c r="J43" s="26"/>
      <c r="K43" s="26"/>
      <c r="L43" s="26"/>
      <c r="M43" s="26"/>
      <c r="N43" s="20"/>
      <c r="O43" s="25"/>
      <c r="P43" s="21"/>
      <c r="Q43" s="21"/>
      <c r="R43" s="25"/>
    </row>
    <row r="44" spans="2:22" x14ac:dyDescent="0.25">
      <c r="B44" s="26"/>
      <c r="C44" s="21"/>
      <c r="D44" s="22"/>
      <c r="E44" s="23"/>
      <c r="F44" s="26"/>
      <c r="G44" s="26"/>
      <c r="H44" s="26"/>
      <c r="I44" s="26"/>
      <c r="J44" s="26"/>
      <c r="K44" s="26"/>
      <c r="L44" s="26"/>
      <c r="M44" s="26"/>
      <c r="N44" s="20"/>
      <c r="O44" s="25"/>
      <c r="P44" s="21"/>
      <c r="Q44" s="21"/>
      <c r="R44" s="25"/>
    </row>
    <row r="45" spans="2:22" x14ac:dyDescent="0.25">
      <c r="B45" s="26"/>
      <c r="C45" s="21"/>
      <c r="D45" s="22"/>
      <c r="E45" s="23"/>
      <c r="F45" s="26"/>
      <c r="G45" s="26"/>
      <c r="H45" s="26"/>
      <c r="I45" s="26"/>
      <c r="J45" s="26"/>
      <c r="K45" s="26"/>
      <c r="L45" s="26"/>
      <c r="M45" s="26"/>
      <c r="N45" s="20"/>
      <c r="O45" s="25"/>
      <c r="P45" s="21"/>
      <c r="Q45" s="21"/>
      <c r="R45" s="25"/>
    </row>
    <row r="46" spans="2:22" x14ac:dyDescent="0.25">
      <c r="B46" s="26"/>
      <c r="C46" s="21"/>
      <c r="D46" s="22"/>
      <c r="E46" s="23"/>
      <c r="F46" s="26"/>
      <c r="G46" s="26"/>
      <c r="H46" s="26"/>
      <c r="I46" s="26"/>
      <c r="J46" s="26"/>
      <c r="K46" s="26"/>
      <c r="L46" s="26"/>
      <c r="M46" s="26"/>
      <c r="N46" s="20"/>
      <c r="O46" s="25"/>
      <c r="P46" s="21"/>
      <c r="Q46" s="21"/>
      <c r="R46" s="25"/>
    </row>
    <row r="47" spans="2:22" x14ac:dyDescent="0.25">
      <c r="B47" s="26"/>
      <c r="C47" s="21"/>
      <c r="D47" s="22"/>
      <c r="E47" s="23"/>
      <c r="F47" s="26"/>
      <c r="G47" s="26"/>
      <c r="H47" s="26"/>
      <c r="I47" s="26"/>
      <c r="J47" s="26"/>
      <c r="K47" s="26"/>
      <c r="L47" s="26"/>
      <c r="M47" s="26"/>
      <c r="N47" s="20"/>
      <c r="O47" s="25"/>
      <c r="P47" s="21"/>
      <c r="Q47" s="21"/>
      <c r="R47" s="25"/>
    </row>
    <row r="48" spans="2:22" x14ac:dyDescent="0.25">
      <c r="B48" s="26"/>
      <c r="C48" s="21"/>
      <c r="D48" s="22"/>
      <c r="E48" s="23"/>
      <c r="F48" s="26"/>
      <c r="G48" s="26"/>
      <c r="H48" s="26"/>
      <c r="I48" s="26"/>
      <c r="J48" s="26"/>
      <c r="K48" s="26"/>
      <c r="L48" s="26"/>
      <c r="M48" s="26"/>
      <c r="N48" s="20"/>
      <c r="O48" s="25"/>
      <c r="P48" s="21"/>
      <c r="Q48" s="21"/>
      <c r="R48" s="25"/>
    </row>
    <row r="49" spans="1:18" x14ac:dyDescent="0.25">
      <c r="B49" s="26"/>
      <c r="C49" s="21"/>
      <c r="D49" s="22"/>
      <c r="E49" s="23"/>
      <c r="F49" s="26"/>
      <c r="G49" s="26"/>
      <c r="H49" s="26"/>
      <c r="I49" s="26"/>
      <c r="J49" s="26"/>
      <c r="K49" s="26"/>
      <c r="L49" s="26"/>
      <c r="M49" s="26"/>
      <c r="N49" s="20"/>
      <c r="O49" s="25"/>
      <c r="P49" s="21"/>
      <c r="Q49" s="21"/>
      <c r="R49" s="25"/>
    </row>
    <row r="50" spans="1:18" ht="15.75" thickBot="1" x14ac:dyDescent="0.3">
      <c r="B50" s="26"/>
      <c r="C50" s="21"/>
      <c r="D50" s="22"/>
      <c r="E50" s="23"/>
      <c r="F50" s="26"/>
      <c r="G50" s="26"/>
      <c r="H50" s="26"/>
      <c r="I50" s="26"/>
      <c r="Q50" s="21"/>
    </row>
    <row r="51" spans="1:18" ht="22.35" customHeight="1" thickBot="1" x14ac:dyDescent="0.3">
      <c r="B51" s="282" t="s">
        <v>85</v>
      </c>
      <c r="C51" s="283"/>
      <c r="D51" s="284"/>
      <c r="F51" s="282" t="s">
        <v>100</v>
      </c>
      <c r="G51" s="283"/>
      <c r="H51" s="284"/>
    </row>
    <row r="52" spans="1:18" ht="15.6" customHeight="1" x14ac:dyDescent="0.25">
      <c r="B52" s="285" t="s">
        <v>83</v>
      </c>
      <c r="C52" s="286"/>
      <c r="D52" s="28" t="s">
        <v>35</v>
      </c>
      <c r="F52" s="285" t="s">
        <v>83</v>
      </c>
      <c r="G52" s="286"/>
      <c r="H52" s="28" t="s">
        <v>35</v>
      </c>
    </row>
    <row r="53" spans="1:18" x14ac:dyDescent="0.25">
      <c r="B53" s="29" t="s">
        <v>41</v>
      </c>
      <c r="C53" s="30"/>
      <c r="D53" s="31">
        <f>COUNTIFS(Sept[Witnessed
Fall?],$B53)</f>
        <v>0</v>
      </c>
      <c r="F53" s="29" t="s">
        <v>79</v>
      </c>
      <c r="G53" s="30"/>
      <c r="H53" s="31">
        <f>COUNTIFS(Sept[Fall Circumstances],$F53)</f>
        <v>0</v>
      </c>
    </row>
    <row r="54" spans="1:18" ht="15.75" thickBot="1" x14ac:dyDescent="0.3">
      <c r="B54" s="32" t="s">
        <v>42</v>
      </c>
      <c r="C54" s="33"/>
      <c r="D54" s="34">
        <f>COUNTIFS(Sept[Witnessed
Fall?],$B54)</f>
        <v>0</v>
      </c>
      <c r="F54" s="29" t="s">
        <v>101</v>
      </c>
      <c r="G54" s="30"/>
      <c r="H54" s="31">
        <f>COUNTIFS(Sept[Fall Circumstances],$F54)</f>
        <v>0</v>
      </c>
    </row>
    <row r="55" spans="1:18" ht="15.6" customHeight="1" thickBot="1" x14ac:dyDescent="0.3">
      <c r="B55" s="287" t="s">
        <v>16</v>
      </c>
      <c r="C55" s="288"/>
      <c r="D55" s="35">
        <f>SUM(D53:D54)</f>
        <v>0</v>
      </c>
      <c r="F55" s="32" t="s">
        <v>102</v>
      </c>
      <c r="G55" s="33"/>
      <c r="H55" s="36">
        <f>COUNTIFS(Sept[Fall Circumstances],$F55)</f>
        <v>0</v>
      </c>
    </row>
    <row r="56" spans="1:18" ht="15.6" customHeight="1" thickBot="1" x14ac:dyDescent="0.3">
      <c r="A56" s="26"/>
      <c r="B56" s="21"/>
      <c r="C56" s="22"/>
      <c r="D56" s="26"/>
      <c r="F56" s="287" t="s">
        <v>16</v>
      </c>
      <c r="G56" s="288"/>
      <c r="H56" s="37">
        <f>SUM(H53:H55)</f>
        <v>0</v>
      </c>
    </row>
    <row r="57" spans="1:18" ht="15.75" thickBot="1" x14ac:dyDescent="0.3">
      <c r="A57" s="26"/>
      <c r="B57" s="21"/>
      <c r="C57" s="22"/>
      <c r="D57" s="26"/>
      <c r="F57" s="26"/>
      <c r="G57" s="21"/>
      <c r="H57" s="22"/>
      <c r="L57" s="21"/>
      <c r="O57" s="22"/>
    </row>
    <row r="58" spans="1:18" ht="15.75" thickBot="1" x14ac:dyDescent="0.3">
      <c r="A58" s="26"/>
      <c r="B58" s="21"/>
      <c r="C58" s="22"/>
      <c r="D58" s="26"/>
      <c r="F58" s="282" t="s">
        <v>103</v>
      </c>
      <c r="G58" s="283"/>
      <c r="H58" s="284"/>
      <c r="L58" s="21"/>
      <c r="O58" s="22"/>
    </row>
    <row r="59" spans="1:18" x14ac:dyDescent="0.25">
      <c r="A59" s="26"/>
      <c r="B59" s="21"/>
      <c r="C59" s="22"/>
      <c r="D59" s="26"/>
      <c r="F59" s="285" t="s">
        <v>26</v>
      </c>
      <c r="G59" s="286"/>
      <c r="H59" s="28" t="s">
        <v>35</v>
      </c>
      <c r="L59" s="21"/>
      <c r="O59" s="22"/>
    </row>
    <row r="60" spans="1:18" ht="15.6" customHeight="1" x14ac:dyDescent="0.25">
      <c r="F60" s="29" t="s">
        <v>142</v>
      </c>
      <c r="G60" s="30"/>
      <c r="H60" s="31">
        <f>COUNTIFS(Sept[Cognitive Impairment],$F60)</f>
        <v>0</v>
      </c>
    </row>
    <row r="61" spans="1:18" x14ac:dyDescent="0.25">
      <c r="F61" s="29" t="s">
        <v>143</v>
      </c>
      <c r="G61" s="30"/>
      <c r="H61" s="31">
        <f>COUNTIFS(Sept[Cognitive Impairment],$F61)</f>
        <v>0</v>
      </c>
    </row>
    <row r="62" spans="1:18" ht="15.75" thickBot="1" x14ac:dyDescent="0.3">
      <c r="F62" s="32" t="s">
        <v>144</v>
      </c>
      <c r="G62" s="33"/>
      <c r="H62" s="31">
        <f>COUNTIFS(Sept[Cognitive Impairment],$F62)</f>
        <v>0</v>
      </c>
    </row>
    <row r="63" spans="1:18" ht="15.75" thickBot="1" x14ac:dyDescent="0.3">
      <c r="F63" s="287" t="s">
        <v>16</v>
      </c>
      <c r="G63" s="288"/>
      <c r="H63" s="37">
        <f>SUM(H60:H62)</f>
        <v>0</v>
      </c>
    </row>
    <row r="64" spans="1:18" ht="15.75" thickBot="1" x14ac:dyDescent="0.3"/>
    <row r="65" spans="1:8" ht="21.4" customHeight="1" thickBot="1" x14ac:dyDescent="0.3">
      <c r="B65" s="282" t="s">
        <v>78</v>
      </c>
      <c r="C65" s="283"/>
      <c r="D65" s="283"/>
      <c r="E65" s="283"/>
      <c r="F65" s="283"/>
      <c r="G65" s="284"/>
    </row>
    <row r="66" spans="1:8" ht="15.6" customHeight="1" x14ac:dyDescent="0.25">
      <c r="A66" s="38"/>
      <c r="B66" s="290" t="s">
        <v>86</v>
      </c>
      <c r="C66" s="291"/>
      <c r="D66" s="291"/>
      <c r="E66" s="291"/>
      <c r="F66" s="292"/>
      <c r="G66" s="28" t="s">
        <v>35</v>
      </c>
    </row>
    <row r="67" spans="1:8" x14ac:dyDescent="0.25">
      <c r="A67" s="38"/>
      <c r="B67" s="39" t="str" cm="1">
        <f t="array" ref="B67:B90">IF(_xlfn._xlws.SORT(PriortoFall[What was the resident doing prior to fall?],1,1,TRUE)=0,"",(_xlfn._xlws.SORT(PriortoFall[What was the resident doing prior to fall?],1,1,TRUE)))</f>
        <v>Ambulating with assistive device (walker, cane, wheelchair)</v>
      </c>
      <c r="C67" s="40"/>
      <c r="D67" s="40"/>
      <c r="E67" s="40"/>
      <c r="F67" s="41"/>
      <c r="G67" s="42">
        <f>IF($B67="",NA(),COUNTIFS(Sept[What was resident doing prior to fall?],$B67))</f>
        <v>0</v>
      </c>
      <c r="H67" s="43"/>
    </row>
    <row r="68" spans="1:8" x14ac:dyDescent="0.25">
      <c r="A68" s="38"/>
      <c r="B68" s="44" t="str">
        <v>Ambulating with staff assistance</v>
      </c>
      <c r="C68" s="45"/>
      <c r="D68" s="45"/>
      <c r="E68" s="45"/>
      <c r="F68" s="46"/>
      <c r="G68" s="42">
        <f>IF($B68="",NA(),COUNTIFS(Sept[What was resident doing prior to fall?],$B68))</f>
        <v>0</v>
      </c>
    </row>
    <row r="69" spans="1:8" x14ac:dyDescent="0.25">
      <c r="A69" s="38"/>
      <c r="B69" s="39" t="str">
        <v>Ambulating without assistance or assistive device</v>
      </c>
      <c r="C69" s="40"/>
      <c r="D69" s="40"/>
      <c r="E69" s="40"/>
      <c r="F69" s="41"/>
      <c r="G69" s="42">
        <f>IF($B69="",NA(),COUNTIFS(Sept[What was resident doing prior to fall?],$B69))</f>
        <v>0</v>
      </c>
    </row>
    <row r="70" spans="1:8" x14ac:dyDescent="0.25">
      <c r="A70" s="38"/>
      <c r="B70" s="44" t="str">
        <v>Changing position (e.g., in bed, chair)</v>
      </c>
      <c r="C70" s="45"/>
      <c r="D70" s="45"/>
      <c r="E70" s="45"/>
      <c r="F70" s="46"/>
      <c r="G70" s="42">
        <f>IF($B70="",NA(),COUNTIFS(Sept[What was resident doing prior to fall?],$B70))</f>
        <v>0</v>
      </c>
    </row>
    <row r="71" spans="1:8" x14ac:dyDescent="0.25">
      <c r="A71" s="38"/>
      <c r="B71" s="44" t="str">
        <v>Dressing or undressing</v>
      </c>
      <c r="C71" s="45"/>
      <c r="D71" s="45"/>
      <c r="E71" s="45"/>
      <c r="F71" s="46"/>
      <c r="G71" s="42">
        <f>IF($B71="",NA(),COUNTIFS(Sept[What was resident doing prior to fall?],$B71))</f>
        <v>0</v>
      </c>
    </row>
    <row r="72" spans="1:8" x14ac:dyDescent="0.25">
      <c r="A72" s="38"/>
      <c r="B72" s="44" t="str">
        <v>Other activity</v>
      </c>
      <c r="C72" s="45"/>
      <c r="D72" s="45"/>
      <c r="E72" s="45"/>
      <c r="F72" s="46"/>
      <c r="G72" s="42">
        <f>IF($B72="",NA(),COUNTIFS(Sept[What was resident doing prior to fall?],$B72))</f>
        <v>0</v>
      </c>
    </row>
    <row r="73" spans="1:8" x14ac:dyDescent="0.25">
      <c r="A73" s="38"/>
      <c r="B73" s="44" t="str">
        <v>Reaching for an item</v>
      </c>
      <c r="C73" s="45"/>
      <c r="D73" s="45"/>
      <c r="E73" s="45"/>
      <c r="F73" s="46"/>
      <c r="G73" s="42">
        <f>IF($B73="",NA(),COUNTIFS(Sept[What was resident doing prior to fall?],$B73))</f>
        <v>0</v>
      </c>
    </row>
    <row r="74" spans="1:8" x14ac:dyDescent="0.25">
      <c r="A74" s="38"/>
      <c r="B74" s="44" t="str">
        <v>Showering or bathing</v>
      </c>
      <c r="C74" s="45"/>
      <c r="D74" s="45"/>
      <c r="E74" s="45"/>
      <c r="F74" s="46"/>
      <c r="G74" s="42">
        <f>IF($B74="",NA(),COUNTIFS(Sept[What was resident doing prior to fall?],$B74))</f>
        <v>0</v>
      </c>
    </row>
    <row r="75" spans="1:8" x14ac:dyDescent="0.25">
      <c r="A75" s="38"/>
      <c r="B75" s="44" t="str">
        <v>Toileting</v>
      </c>
      <c r="C75" s="45"/>
      <c r="D75" s="45"/>
      <c r="E75" s="45"/>
      <c r="F75" s="46"/>
      <c r="G75" s="42">
        <f>IF($B75="",NA(),COUNTIFS(Sept[What was resident doing prior to fall?],$B75))</f>
        <v>0</v>
      </c>
    </row>
    <row r="76" spans="1:8" x14ac:dyDescent="0.25">
      <c r="A76" s="38"/>
      <c r="B76" s="44" t="str">
        <v>Transferring to or from bed, chair, wheelchair, etc.</v>
      </c>
      <c r="C76" s="45"/>
      <c r="D76" s="45"/>
      <c r="E76" s="45"/>
      <c r="F76" s="46"/>
      <c r="G76" s="42">
        <f>IF($B76="",NA(),COUNTIFS(Sept[What was resident doing prior to fall?],$B76))</f>
        <v>0</v>
      </c>
    </row>
    <row r="77" spans="1:8" x14ac:dyDescent="0.25">
      <c r="A77" s="38"/>
      <c r="B77" s="39" t="str">
        <v>Unknown</v>
      </c>
      <c r="C77" s="40"/>
      <c r="D77" s="40"/>
      <c r="E77" s="40"/>
      <c r="F77" s="41"/>
      <c r="G77" s="42">
        <f>IF($B77="",NA(),COUNTIFS(Sept[What was resident doing prior to fall?],$B77))</f>
        <v>0</v>
      </c>
    </row>
    <row r="78" spans="1:8" x14ac:dyDescent="0.25">
      <c r="A78" s="38"/>
      <c r="B78" s="44" t="str">
        <v/>
      </c>
      <c r="C78" s="45"/>
      <c r="D78" s="45"/>
      <c r="E78" s="45"/>
      <c r="F78" s="46"/>
      <c r="G78" s="42" t="e">
        <f>IF($B78="",NA(),COUNTIFS(Sept[What was resident doing prior to fall?],$B78))</f>
        <v>#N/A</v>
      </c>
    </row>
    <row r="79" spans="1:8" x14ac:dyDescent="0.25">
      <c r="A79" s="38"/>
      <c r="B79" s="39" t="str">
        <v/>
      </c>
      <c r="C79" s="40"/>
      <c r="D79" s="40"/>
      <c r="E79" s="40"/>
      <c r="F79" s="41"/>
      <c r="G79" s="42" t="e">
        <f>IF($B79="",NA(),COUNTIFS(Sept[What was resident doing prior to fall?],$B79))</f>
        <v>#N/A</v>
      </c>
    </row>
    <row r="80" spans="1:8" x14ac:dyDescent="0.25">
      <c r="A80" s="38"/>
      <c r="B80" s="44" t="str">
        <v/>
      </c>
      <c r="C80" s="45"/>
      <c r="D80" s="45"/>
      <c r="E80" s="45"/>
      <c r="F80" s="46"/>
      <c r="G80" s="42" t="e">
        <f>IF($B80="",NA(),COUNTIFS(Sept[What was resident doing prior to fall?],$B80))</f>
        <v>#N/A</v>
      </c>
    </row>
    <row r="81" spans="1:7" x14ac:dyDescent="0.25">
      <c r="A81" s="38"/>
      <c r="B81" s="39" t="str">
        <v/>
      </c>
      <c r="C81" s="40"/>
      <c r="D81" s="40"/>
      <c r="E81" s="40"/>
      <c r="F81" s="41"/>
      <c r="G81" s="42" t="e">
        <f>IF($B81="",NA(),COUNTIFS(Sept[What was resident doing prior to fall?],$B81))</f>
        <v>#N/A</v>
      </c>
    </row>
    <row r="82" spans="1:7" x14ac:dyDescent="0.25">
      <c r="A82" s="38"/>
      <c r="B82" s="44" t="str">
        <v/>
      </c>
      <c r="C82" s="45"/>
      <c r="D82" s="45"/>
      <c r="E82" s="45"/>
      <c r="F82" s="46"/>
      <c r="G82" s="42" t="e">
        <f>IF($B82="",NA(),COUNTIFS(Sept[What was resident doing prior to fall?],$B82))</f>
        <v>#N/A</v>
      </c>
    </row>
    <row r="83" spans="1:7" x14ac:dyDescent="0.25">
      <c r="A83" s="38"/>
      <c r="B83" s="39" t="str">
        <v/>
      </c>
      <c r="C83" s="40"/>
      <c r="D83" s="40"/>
      <c r="E83" s="40"/>
      <c r="F83" s="41"/>
      <c r="G83" s="42" t="e">
        <f>IF($B83="",NA(),COUNTIFS(Sept[What was resident doing prior to fall?],$B83))</f>
        <v>#N/A</v>
      </c>
    </row>
    <row r="84" spans="1:7" x14ac:dyDescent="0.25">
      <c r="A84" s="38"/>
      <c r="B84" s="44" t="str">
        <v/>
      </c>
      <c r="C84" s="45"/>
      <c r="D84" s="45"/>
      <c r="E84" s="45"/>
      <c r="F84" s="46"/>
      <c r="G84" s="42" t="e">
        <f>IF($B84="",NA(),COUNTIFS(Sept[What was resident doing prior to fall?],$B84))</f>
        <v>#N/A</v>
      </c>
    </row>
    <row r="85" spans="1:7" x14ac:dyDescent="0.25">
      <c r="A85" s="38"/>
      <c r="B85" s="44" t="str">
        <v/>
      </c>
      <c r="C85" s="45"/>
      <c r="D85" s="45"/>
      <c r="E85" s="45"/>
      <c r="F85" s="46"/>
      <c r="G85" s="42" t="e">
        <f>IF($B85="",NA(),COUNTIFS(Sept[What was resident doing prior to fall?],$B85))</f>
        <v>#N/A</v>
      </c>
    </row>
    <row r="86" spans="1:7" x14ac:dyDescent="0.25">
      <c r="A86" s="38"/>
      <c r="B86" s="39" t="str">
        <v/>
      </c>
      <c r="C86" s="40"/>
      <c r="D86" s="40"/>
      <c r="E86" s="40"/>
      <c r="F86" s="41"/>
      <c r="G86" s="42" t="e">
        <f>IF($B86="",NA(),COUNTIFS(Sept[What was resident doing prior to fall?],$B86))</f>
        <v>#N/A</v>
      </c>
    </row>
    <row r="87" spans="1:7" x14ac:dyDescent="0.25">
      <c r="A87" s="38"/>
      <c r="B87" s="44" t="str">
        <v/>
      </c>
      <c r="C87" s="45"/>
      <c r="D87" s="45"/>
      <c r="E87" s="45"/>
      <c r="F87" s="46"/>
      <c r="G87" s="42" t="e">
        <f>IF($B87="",NA(),COUNTIFS(Sept[What was resident doing prior to fall?],$B87))</f>
        <v>#N/A</v>
      </c>
    </row>
    <row r="88" spans="1:7" x14ac:dyDescent="0.25">
      <c r="A88" s="38"/>
      <c r="B88" s="39" t="str">
        <v/>
      </c>
      <c r="C88" s="40"/>
      <c r="D88" s="40"/>
      <c r="E88" s="40"/>
      <c r="F88" s="41"/>
      <c r="G88" s="42" t="e">
        <f>IF($B88="",NA(),COUNTIFS(Sept[What was resident doing prior to fall?],$B88))</f>
        <v>#N/A</v>
      </c>
    </row>
    <row r="89" spans="1:7" x14ac:dyDescent="0.25">
      <c r="A89" s="38"/>
      <c r="B89" s="44" t="str">
        <v/>
      </c>
      <c r="C89" s="45"/>
      <c r="D89" s="45"/>
      <c r="E89" s="45"/>
      <c r="F89" s="46"/>
      <c r="G89" s="42" t="e">
        <f>IF($B89="",NA(),COUNTIFS(Sept[What was resident doing prior to fall?],$B89))</f>
        <v>#N/A</v>
      </c>
    </row>
    <row r="90" spans="1:7" ht="15.75" thickBot="1" x14ac:dyDescent="0.3">
      <c r="A90" s="38"/>
      <c r="B90" s="47" t="str">
        <v/>
      </c>
      <c r="C90" s="47"/>
      <c r="D90" s="47"/>
      <c r="E90" s="47"/>
      <c r="F90" s="48"/>
      <c r="G90" s="42" t="e">
        <f>IF($B90="",NA(),COUNTIFS(Sept[What was resident doing prior to fall?],$B90))</f>
        <v>#N/A</v>
      </c>
    </row>
    <row r="91" spans="1:7" ht="15.6" customHeight="1" thickBot="1" x14ac:dyDescent="0.3">
      <c r="B91" s="287" t="s">
        <v>35</v>
      </c>
      <c r="C91" s="288"/>
      <c r="D91" s="288"/>
      <c r="E91" s="288"/>
      <c r="F91" s="289"/>
      <c r="G91" s="37">
        <f>_xlfn.AGGREGATE(9,6,G67:G90)</f>
        <v>0</v>
      </c>
    </row>
    <row r="92" spans="1:7" ht="15.75" thickBot="1" x14ac:dyDescent="0.3"/>
    <row r="93" spans="1:7" ht="22.35" customHeight="1" thickBot="1" x14ac:dyDescent="0.3">
      <c r="B93" s="295" t="s">
        <v>173</v>
      </c>
      <c r="C93" s="296"/>
      <c r="D93" s="297"/>
    </row>
    <row r="94" spans="1:7" x14ac:dyDescent="0.25">
      <c r="A94" s="38"/>
      <c r="B94" s="300" t="s">
        <v>1</v>
      </c>
      <c r="C94" s="301"/>
      <c r="D94" s="49" t="s">
        <v>35</v>
      </c>
    </row>
    <row r="95" spans="1:7" x14ac:dyDescent="0.25">
      <c r="A95" s="38"/>
      <c r="B95" s="50" t="str" cm="1">
        <f t="array" ref="B95:B105">IF(_xlfn._xlws.SORT(Location[Location],1,1,TRUE)=0,"",(_xlfn._xlws.SORT(Location[Location],1,1,TRUE)))</f>
        <v>Activity Room</v>
      </c>
      <c r="C95" s="51"/>
      <c r="D95" s="52">
        <f>IF($B95="",NA(),COUNTIFS(Sept[Location],$B95))</f>
        <v>0</v>
      </c>
    </row>
    <row r="96" spans="1:7" x14ac:dyDescent="0.25">
      <c r="A96" s="38"/>
      <c r="B96" s="50" t="str">
        <v>Bedroom</v>
      </c>
      <c r="C96" s="51"/>
      <c r="D96" s="52">
        <f>IF($B96="",NA(),COUNTIFS(Sept[Location],$B96))</f>
        <v>0</v>
      </c>
    </row>
    <row r="97" spans="1:4" x14ac:dyDescent="0.25">
      <c r="A97" s="38"/>
      <c r="B97" s="50" t="str">
        <v>Bathroom</v>
      </c>
      <c r="C97" s="51"/>
      <c r="D97" s="52">
        <f>IF($B97="",NA(),COUNTIFS(Sept[Location],$B97))</f>
        <v>0</v>
      </c>
    </row>
    <row r="98" spans="1:4" x14ac:dyDescent="0.25">
      <c r="A98" s="38"/>
      <c r="B98" s="50" t="str">
        <v>Hallway</v>
      </c>
      <c r="C98" s="51"/>
      <c r="D98" s="52">
        <f>IF($B98="",NA(),COUNTIFS(Sept[Location],$B98))</f>
        <v>0</v>
      </c>
    </row>
    <row r="99" spans="1:4" x14ac:dyDescent="0.25">
      <c r="A99" s="38"/>
      <c r="B99" s="50" t="str">
        <v>Offsite</v>
      </c>
      <c r="C99" s="51"/>
      <c r="D99" s="52">
        <f>IF($B99="",NA(),COUNTIFS(Sept[Location],$B99))</f>
        <v>0</v>
      </c>
    </row>
    <row r="100" spans="1:4" x14ac:dyDescent="0.25">
      <c r="A100" s="38"/>
      <c r="B100" s="53" t="str">
        <v>Shower Room</v>
      </c>
      <c r="C100" s="54"/>
      <c r="D100" s="52">
        <f>IF($B100="",NA(),COUNTIFS(Sept[Location],$B100))</f>
        <v>0</v>
      </c>
    </row>
    <row r="101" spans="1:4" x14ac:dyDescent="0.25">
      <c r="A101" s="38"/>
      <c r="B101" s="55" t="str">
        <v>Dining Room</v>
      </c>
      <c r="C101" s="56"/>
      <c r="D101" s="52">
        <f>IF($B101="",NA(),COUNTIFS(Sept[Location],$B101))</f>
        <v>0</v>
      </c>
    </row>
    <row r="102" spans="1:4" x14ac:dyDescent="0.25">
      <c r="A102" s="38"/>
      <c r="B102" s="57" t="str">
        <v/>
      </c>
      <c r="C102" s="58"/>
      <c r="D102" s="52" t="e">
        <f>IF($B102="",NA(),COUNTIFS(Sept[Location],$B102))</f>
        <v>#N/A</v>
      </c>
    </row>
    <row r="103" spans="1:4" x14ac:dyDescent="0.25">
      <c r="A103" s="38"/>
      <c r="B103" s="59" t="str">
        <v/>
      </c>
      <c r="C103" s="51"/>
      <c r="D103" s="52" t="e">
        <f>IF($B103="",NA(),COUNTIFS(Sept[Location],$B103))</f>
        <v>#N/A</v>
      </c>
    </row>
    <row r="104" spans="1:4" x14ac:dyDescent="0.25">
      <c r="A104" s="38"/>
      <c r="B104" s="53" t="str">
        <v/>
      </c>
      <c r="C104" s="60"/>
      <c r="D104" s="52" t="e">
        <f>IF($B104="",NA(),COUNTIFS(Sept[Location],$B104))</f>
        <v>#N/A</v>
      </c>
    </row>
    <row r="105" spans="1:4" ht="15.75" thickBot="1" x14ac:dyDescent="0.3">
      <c r="A105" s="38"/>
      <c r="B105" s="59" t="str">
        <v/>
      </c>
      <c r="C105" s="61"/>
      <c r="D105" s="52" t="e">
        <f>IF($B105="",NA(),COUNTIFS(Sept[Location],$B105))</f>
        <v>#N/A</v>
      </c>
    </row>
    <row r="106" spans="1:4" ht="15.75" thickBot="1" x14ac:dyDescent="0.3">
      <c r="B106" s="298" t="s">
        <v>16</v>
      </c>
      <c r="C106" s="299"/>
      <c r="D106" s="37">
        <f>_xlfn.AGGREGATE(9,6,D95:D105)</f>
        <v>0</v>
      </c>
    </row>
    <row r="107" spans="1:4" ht="15.75" thickBot="1" x14ac:dyDescent="0.3"/>
    <row r="108" spans="1:4" ht="21.4" customHeight="1" thickBot="1" x14ac:dyDescent="0.3">
      <c r="B108" s="282" t="str">
        <f>"Falls by Nursing Station "</f>
        <v xml:space="preserve">Falls by Nursing Station </v>
      </c>
      <c r="C108" s="283"/>
      <c r="D108" s="284"/>
    </row>
    <row r="109" spans="1:4" ht="15.75" x14ac:dyDescent="0.25">
      <c r="B109" s="293" t="s">
        <v>2</v>
      </c>
      <c r="C109" s="293"/>
      <c r="D109" s="28" t="s">
        <v>35</v>
      </c>
    </row>
    <row r="110" spans="1:4" x14ac:dyDescent="0.25">
      <c r="B110" s="62" cm="1">
        <f t="array" ref="B110:B120">IF(_xlfn._xlws.SORT(NS[Nurses Stations],1,1,TRUE)=0,"",(_xlfn._xlws.SORT(NS[Nurses Stations],1,1,TRUE)))</f>
        <v>1</v>
      </c>
      <c r="C110" s="63"/>
      <c r="D110" s="31">
        <f>IF($B110="",NA(),COUNTIFS(Sept[Station],$B110))</f>
        <v>0</v>
      </c>
    </row>
    <row r="111" spans="1:4" x14ac:dyDescent="0.25">
      <c r="B111" s="62">
        <v>2</v>
      </c>
      <c r="C111" s="63"/>
      <c r="D111" s="31">
        <f>IF($B111="",NA(),COUNTIFS(Sept[Station],$B111))</f>
        <v>0</v>
      </c>
    </row>
    <row r="112" spans="1:4" x14ac:dyDescent="0.25">
      <c r="B112" s="62">
        <v>3</v>
      </c>
      <c r="C112" s="63"/>
      <c r="D112" s="31">
        <f>IF($B112="",NA(),COUNTIFS(Sept[Station],$B112))</f>
        <v>0</v>
      </c>
    </row>
    <row r="113" spans="2:4" x14ac:dyDescent="0.25">
      <c r="B113" s="62">
        <v>4</v>
      </c>
      <c r="C113" s="63"/>
      <c r="D113" s="31">
        <f>IF($B113="",NA(),COUNTIFS(Sept[Station],$B113))</f>
        <v>0</v>
      </c>
    </row>
    <row r="114" spans="2:4" x14ac:dyDescent="0.25">
      <c r="B114" s="62">
        <v>5</v>
      </c>
      <c r="C114" s="63"/>
      <c r="D114" s="31">
        <f>IF($B114="",NA(),COUNTIFS(Sept[Station],$B114))</f>
        <v>0</v>
      </c>
    </row>
    <row r="115" spans="2:4" x14ac:dyDescent="0.25">
      <c r="B115" s="62" t="str">
        <v/>
      </c>
      <c r="C115" s="63"/>
      <c r="D115" s="31" t="e">
        <f>IF($B115="",NA(),COUNTIFS(Sept[Station],$B115))</f>
        <v>#N/A</v>
      </c>
    </row>
    <row r="116" spans="2:4" x14ac:dyDescent="0.25">
      <c r="B116" s="62" t="str">
        <v/>
      </c>
      <c r="C116" s="63"/>
      <c r="D116" s="31" t="e">
        <f>IF($B116="",NA(),COUNTIFS(Sept[Station],$B116))</f>
        <v>#N/A</v>
      </c>
    </row>
    <row r="117" spans="2:4" x14ac:dyDescent="0.25">
      <c r="B117" s="62" t="str">
        <v/>
      </c>
      <c r="C117" s="63"/>
      <c r="D117" s="31" t="e">
        <f>IF($B117="",NA(),COUNTIFS(Sept[Station],$B117))</f>
        <v>#N/A</v>
      </c>
    </row>
    <row r="118" spans="2:4" x14ac:dyDescent="0.25">
      <c r="B118" s="62" t="str">
        <v/>
      </c>
      <c r="C118" s="63"/>
      <c r="D118" s="31" t="e">
        <f>IF($B118="",NA(),COUNTIFS(Sept[Station],$B118))</f>
        <v>#N/A</v>
      </c>
    </row>
    <row r="119" spans="2:4" x14ac:dyDescent="0.25">
      <c r="B119" s="62" t="str">
        <v/>
      </c>
      <c r="C119" s="63"/>
      <c r="D119" s="31" t="e">
        <f>IF($B119="",NA(),COUNTIFS(Sept[Station],$B119))</f>
        <v>#N/A</v>
      </c>
    </row>
    <row r="120" spans="2:4" ht="15.75" thickBot="1" x14ac:dyDescent="0.3">
      <c r="B120" s="64" t="str">
        <v/>
      </c>
      <c r="C120" s="63"/>
      <c r="D120" s="31" t="e">
        <f>IF($B120="",NA(),COUNTIFS(Sept[Station],$B120))</f>
        <v>#N/A</v>
      </c>
    </row>
    <row r="121" spans="2:4" ht="15.6" customHeight="1" thickBot="1" x14ac:dyDescent="0.3">
      <c r="B121" s="287" t="s">
        <v>16</v>
      </c>
      <c r="C121" s="288"/>
      <c r="D121" s="37">
        <f>_xlfn.AGGREGATE(9,6,D110:D120)</f>
        <v>0</v>
      </c>
    </row>
    <row r="122" spans="2:4" ht="15.6" customHeight="1" thickBot="1" x14ac:dyDescent="0.3">
      <c r="B122" s="65"/>
      <c r="C122" s="66"/>
      <c r="D122" s="67"/>
    </row>
    <row r="123" spans="2:4" ht="21.95" customHeight="1" thickBot="1" x14ac:dyDescent="0.3">
      <c r="B123" s="282" t="str">
        <f>"Falls by Day of the Week "</f>
        <v xml:space="preserve">Falls by Day of the Week </v>
      </c>
      <c r="C123" s="283"/>
      <c r="D123" s="284"/>
    </row>
    <row r="124" spans="2:4" ht="15.75" x14ac:dyDescent="0.25">
      <c r="B124" s="293" t="s">
        <v>3</v>
      </c>
      <c r="C124" s="293"/>
      <c r="D124" s="28" t="s">
        <v>35</v>
      </c>
    </row>
    <row r="125" spans="2:4" x14ac:dyDescent="0.25">
      <c r="B125" s="294" t="s">
        <v>46</v>
      </c>
      <c r="C125" s="294"/>
      <c r="D125" s="31">
        <f>COUNTIFS(Sept[Day],$B125)</f>
        <v>0</v>
      </c>
    </row>
    <row r="126" spans="2:4" x14ac:dyDescent="0.25">
      <c r="B126" s="294" t="s">
        <v>47</v>
      </c>
      <c r="C126" s="294"/>
      <c r="D126" s="31">
        <f>COUNTIFS(Sept[Day],$B126)</f>
        <v>0</v>
      </c>
    </row>
    <row r="127" spans="2:4" x14ac:dyDescent="0.25">
      <c r="B127" s="294" t="s">
        <v>52</v>
      </c>
      <c r="C127" s="294"/>
      <c r="D127" s="31">
        <f>COUNTIFS(Sept[Day],$B127)</f>
        <v>0</v>
      </c>
    </row>
    <row r="128" spans="2:4" x14ac:dyDescent="0.25">
      <c r="B128" s="294" t="s">
        <v>48</v>
      </c>
      <c r="C128" s="294"/>
      <c r="D128" s="31">
        <f>COUNTIFS(Sept[Day],$B128)</f>
        <v>0</v>
      </c>
    </row>
    <row r="129" spans="2:4" x14ac:dyDescent="0.25">
      <c r="B129" s="294" t="s">
        <v>51</v>
      </c>
      <c r="C129" s="294"/>
      <c r="D129" s="31">
        <f>COUNTIFS(Sept[Day],$B129)</f>
        <v>0</v>
      </c>
    </row>
    <row r="130" spans="2:4" x14ac:dyDescent="0.25">
      <c r="B130" s="294" t="s">
        <v>49</v>
      </c>
      <c r="C130" s="294"/>
      <c r="D130" s="31">
        <f>COUNTIFS(Sept[Day],$B130)</f>
        <v>0</v>
      </c>
    </row>
    <row r="131" spans="2:4" ht="15.75" thickBot="1" x14ac:dyDescent="0.3">
      <c r="B131" s="294" t="s">
        <v>50</v>
      </c>
      <c r="C131" s="294"/>
      <c r="D131" s="34">
        <f>COUNTIFS(Sept[Day],$B131)</f>
        <v>0</v>
      </c>
    </row>
    <row r="132" spans="2:4" ht="15.6" customHeight="1" thickBot="1" x14ac:dyDescent="0.3">
      <c r="B132" s="287" t="s">
        <v>16</v>
      </c>
      <c r="C132" s="288"/>
      <c r="D132" s="35">
        <f>SUM(D125:D131)</f>
        <v>0</v>
      </c>
    </row>
    <row r="133" spans="2:4" ht="15.75" thickBot="1" x14ac:dyDescent="0.3"/>
    <row r="134" spans="2:4" ht="21.4" customHeight="1" thickBot="1" x14ac:dyDescent="0.3">
      <c r="B134" s="282" t="str">
        <f>"Falls by Shift"</f>
        <v>Falls by Shift</v>
      </c>
      <c r="C134" s="283"/>
      <c r="D134" s="284"/>
    </row>
    <row r="135" spans="2:4" ht="15.75" x14ac:dyDescent="0.25">
      <c r="B135" s="293" t="s">
        <v>34</v>
      </c>
      <c r="C135" s="293"/>
      <c r="D135" s="28" t="s">
        <v>35</v>
      </c>
    </row>
    <row r="136" spans="2:4" x14ac:dyDescent="0.25">
      <c r="B136" s="29" t="str" cm="1">
        <f t="array" ref="B136:B140">IF(_xlfn._xlws.SORT('Data Validation'!P3:P7,1,1,TRUE)=0,"",(_xlfn._xlws.SORT('Data Validation'!P3:P7,1,1,TRUE)))</f>
        <v>11-7</v>
      </c>
      <c r="C136" s="58"/>
      <c r="D136" s="31">
        <f>IF($B136="",NA(),COUNTIFS(Sept[Shift],$B136))</f>
        <v>0</v>
      </c>
    </row>
    <row r="137" spans="2:4" x14ac:dyDescent="0.25">
      <c r="B137" s="29" t="str">
        <v>11–7</v>
      </c>
      <c r="C137" s="58"/>
      <c r="D137" s="31">
        <f>IF($B137="",NA(),COUNTIFS(Sept[Shift],$B137))</f>
        <v>0</v>
      </c>
    </row>
    <row r="138" spans="2:4" x14ac:dyDescent="0.25">
      <c r="B138" s="29" t="str">
        <v>7–3</v>
      </c>
      <c r="C138" s="58"/>
      <c r="D138" s="31">
        <f>IF($B138="",NA(),COUNTIFS(Sept[Shift],$B138))</f>
        <v>0</v>
      </c>
    </row>
    <row r="139" spans="2:4" x14ac:dyDescent="0.25">
      <c r="B139" s="29" t="str">
        <v>3–11</v>
      </c>
      <c r="C139" s="58"/>
      <c r="D139" s="31">
        <f>IF($B139="",NA(),COUNTIFS(Sept[Shift],$B139))</f>
        <v>0</v>
      </c>
    </row>
    <row r="140" spans="2:4" ht="15.75" thickBot="1" x14ac:dyDescent="0.3">
      <c r="B140" s="29" t="str">
        <v/>
      </c>
      <c r="C140" s="68"/>
      <c r="D140" s="34" t="e">
        <f>IF($B140="",NA(),COUNTIFS(Sept[Shift],$B140))</f>
        <v>#N/A</v>
      </c>
    </row>
    <row r="141" spans="2:4" ht="15.75" thickBot="1" x14ac:dyDescent="0.3">
      <c r="B141" s="287" t="s">
        <v>16</v>
      </c>
      <c r="C141" s="288"/>
      <c r="D141" s="35">
        <f>_xlfn.AGGREGATE(9,6,D136:D140)</f>
        <v>0</v>
      </c>
    </row>
    <row r="142" spans="2:4" ht="15.75" thickBot="1" x14ac:dyDescent="0.3"/>
    <row r="143" spans="2:4" ht="21.4" customHeight="1" thickBot="1" x14ac:dyDescent="0.3">
      <c r="B143" s="282" t="str">
        <f>"Falls by Hour "</f>
        <v xml:space="preserve">Falls by Hour </v>
      </c>
      <c r="C143" s="283"/>
      <c r="D143" s="284"/>
    </row>
    <row r="144" spans="2:4" ht="15.75" x14ac:dyDescent="0.25">
      <c r="B144" s="293" t="s">
        <v>33</v>
      </c>
      <c r="C144" s="293"/>
      <c r="D144" s="28" t="s">
        <v>35</v>
      </c>
    </row>
    <row r="145" spans="2:4" x14ac:dyDescent="0.25">
      <c r="B145" s="294" t="s">
        <v>115</v>
      </c>
      <c r="C145" s="294"/>
      <c r="D145" s="31">
        <f>COUNTIFS(Sept[Hour],$B145)</f>
        <v>0</v>
      </c>
    </row>
    <row r="146" spans="2:4" x14ac:dyDescent="0.25">
      <c r="B146" s="294" t="s">
        <v>116</v>
      </c>
      <c r="C146" s="294"/>
      <c r="D146" s="31">
        <f>COUNTIFS(Sept[Hour],$B146)</f>
        <v>0</v>
      </c>
    </row>
    <row r="147" spans="2:4" x14ac:dyDescent="0.25">
      <c r="B147" s="294" t="s">
        <v>117</v>
      </c>
      <c r="C147" s="294"/>
      <c r="D147" s="31">
        <f>COUNTIFS(Sept[Hour],$B147)</f>
        <v>0</v>
      </c>
    </row>
    <row r="148" spans="2:4" x14ac:dyDescent="0.25">
      <c r="B148" s="294" t="s">
        <v>118</v>
      </c>
      <c r="C148" s="294"/>
      <c r="D148" s="31">
        <f>COUNTIFS(Sept[Hour],$B148)</f>
        <v>0</v>
      </c>
    </row>
    <row r="149" spans="2:4" x14ac:dyDescent="0.25">
      <c r="B149" s="294" t="s">
        <v>119</v>
      </c>
      <c r="C149" s="294"/>
      <c r="D149" s="31">
        <f>COUNTIFS(Sept[Hour],$B149)</f>
        <v>0</v>
      </c>
    </row>
    <row r="150" spans="2:4" x14ac:dyDescent="0.25">
      <c r="B150" s="294" t="s">
        <v>120</v>
      </c>
      <c r="C150" s="294"/>
      <c r="D150" s="31">
        <f>COUNTIFS(Sept[Hour],$B150)</f>
        <v>0</v>
      </c>
    </row>
    <row r="151" spans="2:4" x14ac:dyDescent="0.25">
      <c r="B151" s="294" t="s">
        <v>121</v>
      </c>
      <c r="C151" s="294"/>
      <c r="D151" s="31">
        <f>COUNTIFS(Sept[Hour],$B151)</f>
        <v>0</v>
      </c>
    </row>
    <row r="152" spans="2:4" x14ac:dyDescent="0.25">
      <c r="B152" s="294" t="s">
        <v>122</v>
      </c>
      <c r="C152" s="294"/>
      <c r="D152" s="31">
        <f>COUNTIFS(Sept[Hour],$B152)</f>
        <v>0</v>
      </c>
    </row>
    <row r="153" spans="2:4" x14ac:dyDescent="0.25">
      <c r="B153" s="294" t="s">
        <v>123</v>
      </c>
      <c r="C153" s="294"/>
      <c r="D153" s="31">
        <f>COUNTIFS(Sept[Hour],$B153)</f>
        <v>0</v>
      </c>
    </row>
    <row r="154" spans="2:4" x14ac:dyDescent="0.25">
      <c r="B154" s="294" t="s">
        <v>124</v>
      </c>
      <c r="C154" s="294"/>
      <c r="D154" s="31">
        <f>COUNTIFS(Sept[Hour],$B154)</f>
        <v>0</v>
      </c>
    </row>
    <row r="155" spans="2:4" x14ac:dyDescent="0.25">
      <c r="B155" s="294" t="s">
        <v>125</v>
      </c>
      <c r="C155" s="294"/>
      <c r="D155" s="31">
        <f>COUNTIFS(Sept[Hour],$B155)</f>
        <v>0</v>
      </c>
    </row>
    <row r="156" spans="2:4" x14ac:dyDescent="0.25">
      <c r="B156" s="294" t="s">
        <v>126</v>
      </c>
      <c r="C156" s="294"/>
      <c r="D156" s="31">
        <f>COUNTIFS(Sept[Hour],$B156)</f>
        <v>0</v>
      </c>
    </row>
    <row r="157" spans="2:4" x14ac:dyDescent="0.25">
      <c r="B157" s="294" t="s">
        <v>127</v>
      </c>
      <c r="C157" s="294"/>
      <c r="D157" s="31">
        <f>COUNTIFS(Sept[Hour],$B157)</f>
        <v>0</v>
      </c>
    </row>
    <row r="158" spans="2:4" x14ac:dyDescent="0.25">
      <c r="B158" s="294" t="s">
        <v>128</v>
      </c>
      <c r="C158" s="294"/>
      <c r="D158" s="31">
        <f>COUNTIFS(Sept[Hour],$B158)</f>
        <v>0</v>
      </c>
    </row>
    <row r="159" spans="2:4" x14ac:dyDescent="0.25">
      <c r="B159" s="294" t="s">
        <v>129</v>
      </c>
      <c r="C159" s="294"/>
      <c r="D159" s="31">
        <f>COUNTIFS(Sept[Hour],$B159)</f>
        <v>0</v>
      </c>
    </row>
    <row r="160" spans="2:4" x14ac:dyDescent="0.25">
      <c r="B160" s="294" t="s">
        <v>130</v>
      </c>
      <c r="C160" s="294"/>
      <c r="D160" s="31">
        <f>COUNTIFS(Sept[Hour],$B160)</f>
        <v>0</v>
      </c>
    </row>
    <row r="161" spans="1:8" x14ac:dyDescent="0.25">
      <c r="B161" s="294" t="s">
        <v>131</v>
      </c>
      <c r="C161" s="294"/>
      <c r="D161" s="31">
        <f>COUNTIFS(Sept[Hour],$B161)</f>
        <v>0</v>
      </c>
    </row>
    <row r="162" spans="1:8" x14ac:dyDescent="0.25">
      <c r="B162" s="294" t="s">
        <v>132</v>
      </c>
      <c r="C162" s="294"/>
      <c r="D162" s="31">
        <f>COUNTIFS(Sept[Hour],$B162)</f>
        <v>0</v>
      </c>
    </row>
    <row r="163" spans="1:8" x14ac:dyDescent="0.25">
      <c r="B163" s="294" t="s">
        <v>133</v>
      </c>
      <c r="C163" s="294"/>
      <c r="D163" s="31">
        <f>COUNTIFS(Sept[Hour],$B163)</f>
        <v>0</v>
      </c>
    </row>
    <row r="164" spans="1:8" x14ac:dyDescent="0.25">
      <c r="B164" s="294" t="s">
        <v>134</v>
      </c>
      <c r="C164" s="294"/>
      <c r="D164" s="31">
        <f>COUNTIFS(Sept[Hour],$B164)</f>
        <v>0</v>
      </c>
    </row>
    <row r="165" spans="1:8" x14ac:dyDescent="0.25">
      <c r="B165" s="294" t="s">
        <v>135</v>
      </c>
      <c r="C165" s="294"/>
      <c r="D165" s="31">
        <f>COUNTIFS(Sept[Hour],$B165)</f>
        <v>0</v>
      </c>
    </row>
    <row r="166" spans="1:8" x14ac:dyDescent="0.25">
      <c r="B166" s="294" t="s">
        <v>136</v>
      </c>
      <c r="C166" s="294"/>
      <c r="D166" s="31">
        <f>COUNTIFS(Sept[Hour],$B166)</f>
        <v>0</v>
      </c>
    </row>
    <row r="167" spans="1:8" x14ac:dyDescent="0.25">
      <c r="B167" s="294" t="s">
        <v>137</v>
      </c>
      <c r="C167" s="294"/>
      <c r="D167" s="31">
        <f>COUNTIFS(Sept[Hour],$B167)</f>
        <v>0</v>
      </c>
    </row>
    <row r="168" spans="1:8" ht="15.75" thickBot="1" x14ac:dyDescent="0.3">
      <c r="B168" s="294" t="s">
        <v>138</v>
      </c>
      <c r="C168" s="294"/>
      <c r="D168" s="34">
        <f>COUNTIFS(Sept[Hour],$B168)</f>
        <v>0</v>
      </c>
    </row>
    <row r="169" spans="1:8" ht="15.75" thickBot="1" x14ac:dyDescent="0.3">
      <c r="B169" s="287" t="s">
        <v>35</v>
      </c>
      <c r="C169" s="288"/>
      <c r="D169" s="35">
        <f>SUM(D145:D168)</f>
        <v>0</v>
      </c>
    </row>
    <row r="170" spans="1:8" ht="15.75" thickBot="1" x14ac:dyDescent="0.3"/>
    <row r="171" spans="1:8" ht="21.4" customHeight="1" thickBot="1" x14ac:dyDescent="0.3">
      <c r="B171" s="282" t="str">
        <f>"Falls by Contributing Factors"</f>
        <v>Falls by Contributing Factors</v>
      </c>
      <c r="C171" s="283"/>
      <c r="D171" s="283"/>
      <c r="E171" s="283"/>
      <c r="F171" s="283"/>
      <c r="G171" s="284"/>
    </row>
    <row r="172" spans="1:8" ht="15.6" customHeight="1" x14ac:dyDescent="0.25">
      <c r="A172" s="38"/>
      <c r="B172" s="290" t="s">
        <v>92</v>
      </c>
      <c r="C172" s="291"/>
      <c r="D172" s="291"/>
      <c r="E172" s="291"/>
      <c r="F172" s="292"/>
      <c r="G172" s="28" t="s">
        <v>35</v>
      </c>
    </row>
    <row r="173" spans="1:8" x14ac:dyDescent="0.25">
      <c r="A173" s="38"/>
      <c r="B173" s="44" t="str" cm="1">
        <f t="array" ref="B173:B196">IF(_xlfn._xlws.SORT(CF[Contributing Factors],1,1,TRUE)=0,"",(_xlfn._xlws.SORT(CF[Contributing Factors],1,1,TRUE)))</f>
        <v>Assisted/caregiver transfer</v>
      </c>
      <c r="C173" s="45"/>
      <c r="D173" s="45"/>
      <c r="E173" s="45"/>
      <c r="F173" s="46"/>
      <c r="G173" s="42">
        <f>IF($B173="",NA(),COUNTIFS(Sept[Contributing Factors],$B173))</f>
        <v>0</v>
      </c>
      <c r="H173" s="43"/>
    </row>
    <row r="174" spans="1:8" x14ac:dyDescent="0.25">
      <c r="A174" s="38"/>
      <c r="B174" s="39" t="str">
        <v>Bowel and bladder (B&amp;B) needs</v>
      </c>
      <c r="C174" s="40"/>
      <c r="D174" s="40"/>
      <c r="E174" s="40"/>
      <c r="F174" s="41"/>
      <c r="G174" s="42">
        <f>IF($B174="",NA(),COUNTIFS(Sept[Contributing Factors],$B174))</f>
        <v>0</v>
      </c>
    </row>
    <row r="175" spans="1:8" x14ac:dyDescent="0.25">
      <c r="A175" s="38"/>
      <c r="B175" s="44" t="str">
        <v>Behavioral or situational</v>
      </c>
      <c r="C175" s="45"/>
      <c r="D175" s="45"/>
      <c r="E175" s="45"/>
      <c r="F175" s="46"/>
      <c r="G175" s="42">
        <f>IF($B175="",NA(),COUNTIFS(Sept[Contributing Factors],$B175))</f>
        <v>0</v>
      </c>
    </row>
    <row r="176" spans="1:8" x14ac:dyDescent="0.25">
      <c r="A176" s="38"/>
      <c r="B176" s="39" t="str">
        <v>Change of condition</v>
      </c>
      <c r="C176" s="40"/>
      <c r="D176" s="40"/>
      <c r="E176" s="40"/>
      <c r="F176" s="41"/>
      <c r="G176" s="42">
        <f>IF($B176="",NA(),COUNTIFS(Sept[Contributing Factors],$B176))</f>
        <v>0</v>
      </c>
    </row>
    <row r="177" spans="1:7" x14ac:dyDescent="0.25">
      <c r="A177" s="38"/>
      <c r="B177" s="44" t="str">
        <v>Environmental factors</v>
      </c>
      <c r="C177" s="45"/>
      <c r="D177" s="45"/>
      <c r="E177" s="45"/>
      <c r="F177" s="46"/>
      <c r="G177" s="42">
        <f>IF($B177="",NA(),COUNTIFS(Sept[Contributing Factors],$B177))</f>
        <v>0</v>
      </c>
    </row>
    <row r="178" spans="1:7" x14ac:dyDescent="0.25">
      <c r="A178" s="38"/>
      <c r="B178" s="39" t="str">
        <v>Equipment malfunction</v>
      </c>
      <c r="C178" s="40"/>
      <c r="D178" s="40"/>
      <c r="E178" s="40"/>
      <c r="F178" s="41"/>
      <c r="G178" s="42">
        <f>IF($B178="",NA(),COUNTIFS(Sept[Contributing Factors],$B178))</f>
        <v>0</v>
      </c>
    </row>
    <row r="179" spans="1:7" x14ac:dyDescent="0.25">
      <c r="A179" s="38"/>
      <c r="B179" s="44" t="str">
        <v>Equipment or assistive device</v>
      </c>
      <c r="C179" s="45"/>
      <c r="D179" s="45"/>
      <c r="E179" s="45"/>
      <c r="F179" s="46"/>
      <c r="G179" s="42">
        <f>IF($B179="",NA(),COUNTIFS(Sept[Contributing Factors],$B179))</f>
        <v>0</v>
      </c>
    </row>
    <row r="180" spans="1:7" x14ac:dyDescent="0.25">
      <c r="A180" s="38"/>
      <c r="B180" s="39" t="str">
        <v>Medication related</v>
      </c>
      <c r="C180" s="40"/>
      <c r="D180" s="40"/>
      <c r="E180" s="40"/>
      <c r="F180" s="41"/>
      <c r="G180" s="42">
        <f>IF($B180="",NA(),COUNTIFS(Sept[Contributing Factors],$B180))</f>
        <v>0</v>
      </c>
    </row>
    <row r="181" spans="1:7" x14ac:dyDescent="0.25">
      <c r="A181" s="38"/>
      <c r="B181" s="44" t="str">
        <v>Process(s) not followed</v>
      </c>
      <c r="C181" s="45"/>
      <c r="D181" s="45"/>
      <c r="E181" s="45"/>
      <c r="F181" s="46"/>
      <c r="G181" s="42">
        <f>IF($B181="",NA(),COUNTIFS(Sept[Contributing Factors],$B181))</f>
        <v>0</v>
      </c>
    </row>
    <row r="182" spans="1:7" x14ac:dyDescent="0.25">
      <c r="A182" s="38"/>
      <c r="B182" s="39" t="str">
        <v>Resident health conditions</v>
      </c>
      <c r="C182" s="40"/>
      <c r="D182" s="40"/>
      <c r="E182" s="40"/>
      <c r="F182" s="41"/>
      <c r="G182" s="42">
        <f>IF($B182="",NA(),COUNTIFS(Sept[Contributing Factors],$B182))</f>
        <v>0</v>
      </c>
    </row>
    <row r="183" spans="1:7" x14ac:dyDescent="0.25">
      <c r="A183" s="38"/>
      <c r="B183" s="44" t="str">
        <v>Staff</v>
      </c>
      <c r="C183" s="45"/>
      <c r="D183" s="45"/>
      <c r="E183" s="45"/>
      <c r="F183" s="46"/>
      <c r="G183" s="42">
        <f>IF($B183="",NA(),COUNTIFS(Sept[Contributing Factors],$B183))</f>
        <v>0</v>
      </c>
    </row>
    <row r="184" spans="1:7" x14ac:dyDescent="0.25">
      <c r="A184" s="38"/>
      <c r="B184" s="39" t="str">
        <v/>
      </c>
      <c r="C184" s="40"/>
      <c r="D184" s="40"/>
      <c r="E184" s="40"/>
      <c r="F184" s="41"/>
      <c r="G184" s="42" t="e">
        <f>IF($B184="",NA(),COUNTIFS(Sept[Contributing Factors],$B184))</f>
        <v>#N/A</v>
      </c>
    </row>
    <row r="185" spans="1:7" x14ac:dyDescent="0.25">
      <c r="A185" s="38"/>
      <c r="B185" s="44" t="str">
        <v/>
      </c>
      <c r="C185" s="45"/>
      <c r="D185" s="45"/>
      <c r="E185" s="45"/>
      <c r="F185" s="46"/>
      <c r="G185" s="42" t="e">
        <f>IF($B185="",NA(),COUNTIFS(Sept[Contributing Factors],$B185))</f>
        <v>#N/A</v>
      </c>
    </row>
    <row r="186" spans="1:7" x14ac:dyDescent="0.25">
      <c r="A186" s="38"/>
      <c r="B186" s="39" t="str">
        <v/>
      </c>
      <c r="C186" s="40"/>
      <c r="D186" s="40"/>
      <c r="E186" s="40"/>
      <c r="F186" s="41"/>
      <c r="G186" s="42" t="e">
        <f>IF($B186="",NA(),COUNTIFS(Sept[Contributing Factors],$B186))</f>
        <v>#N/A</v>
      </c>
    </row>
    <row r="187" spans="1:7" x14ac:dyDescent="0.25">
      <c r="A187" s="38"/>
      <c r="B187" s="44" t="str">
        <v/>
      </c>
      <c r="C187" s="45"/>
      <c r="D187" s="45"/>
      <c r="E187" s="45"/>
      <c r="F187" s="46"/>
      <c r="G187" s="42" t="e">
        <f>IF($B187="",NA(),COUNTIFS(Sept[Contributing Factors],$B187))</f>
        <v>#N/A</v>
      </c>
    </row>
    <row r="188" spans="1:7" x14ac:dyDescent="0.25">
      <c r="A188" s="38"/>
      <c r="B188" s="39" t="str">
        <v/>
      </c>
      <c r="C188" s="40"/>
      <c r="D188" s="40"/>
      <c r="E188" s="40"/>
      <c r="F188" s="41"/>
      <c r="G188" s="42" t="e">
        <f>IF($B188="",NA(),COUNTIFS(Sept[Contributing Factors],$B188))</f>
        <v>#N/A</v>
      </c>
    </row>
    <row r="189" spans="1:7" x14ac:dyDescent="0.25">
      <c r="A189" s="38"/>
      <c r="B189" s="44" t="str">
        <v/>
      </c>
      <c r="C189" s="45"/>
      <c r="D189" s="45"/>
      <c r="E189" s="45"/>
      <c r="F189" s="46"/>
      <c r="G189" s="42" t="e">
        <f>IF($B189="",NA(),COUNTIFS(Sept[Contributing Factors],$B189))</f>
        <v>#N/A</v>
      </c>
    </row>
    <row r="190" spans="1:7" x14ac:dyDescent="0.25">
      <c r="A190" s="38"/>
      <c r="B190" s="39" t="str">
        <v/>
      </c>
      <c r="C190" s="40"/>
      <c r="D190" s="40"/>
      <c r="E190" s="40"/>
      <c r="F190" s="41"/>
      <c r="G190" s="42" t="e">
        <f>IF($B190="",NA(),COUNTIFS(Sept[Contributing Factors],$B190))</f>
        <v>#N/A</v>
      </c>
    </row>
    <row r="191" spans="1:7" x14ac:dyDescent="0.25">
      <c r="A191" s="38"/>
      <c r="B191" s="44" t="str">
        <v/>
      </c>
      <c r="C191" s="45"/>
      <c r="D191" s="45"/>
      <c r="E191" s="45"/>
      <c r="F191" s="46"/>
      <c r="G191" s="42" t="e">
        <f>IF($B191="",NA(),COUNTIFS(Sept[Contributing Factors],$B191))</f>
        <v>#N/A</v>
      </c>
    </row>
    <row r="192" spans="1:7" x14ac:dyDescent="0.25">
      <c r="A192" s="38"/>
      <c r="B192" s="39" t="str">
        <v/>
      </c>
      <c r="C192" s="40"/>
      <c r="D192" s="40"/>
      <c r="E192" s="40"/>
      <c r="F192" s="41"/>
      <c r="G192" s="42" t="e">
        <f>IF($B192="",NA(),COUNTIFS(Sept[Contributing Factors],$B192))</f>
        <v>#N/A</v>
      </c>
    </row>
    <row r="193" spans="1:7" x14ac:dyDescent="0.25">
      <c r="A193" s="38"/>
      <c r="B193" s="44" t="str">
        <v/>
      </c>
      <c r="C193" s="45"/>
      <c r="D193" s="45"/>
      <c r="E193" s="45"/>
      <c r="F193" s="46"/>
      <c r="G193" s="42" t="e">
        <f>IF($B193="",NA(),COUNTIFS(Sept[Contributing Factors],$B193))</f>
        <v>#N/A</v>
      </c>
    </row>
    <row r="194" spans="1:7" x14ac:dyDescent="0.25">
      <c r="A194" s="38"/>
      <c r="B194" s="39" t="str">
        <v/>
      </c>
      <c r="C194" s="40"/>
      <c r="D194" s="40"/>
      <c r="E194" s="40"/>
      <c r="F194" s="41"/>
      <c r="G194" s="42" t="e">
        <f>IF($B194="",NA(),COUNTIFS(Sept[Contributing Factors],$B194))</f>
        <v>#N/A</v>
      </c>
    </row>
    <row r="195" spans="1:7" x14ac:dyDescent="0.25">
      <c r="A195" s="38"/>
      <c r="B195" s="44" t="str">
        <v/>
      </c>
      <c r="C195" s="45"/>
      <c r="D195" s="45"/>
      <c r="E195" s="45"/>
      <c r="F195" s="46"/>
      <c r="G195" s="42" t="e">
        <f>IF($B195="",NA(),COUNTIFS(Sept[Contributing Factors],$B195))</f>
        <v>#N/A</v>
      </c>
    </row>
    <row r="196" spans="1:7" ht="15.75" thickBot="1" x14ac:dyDescent="0.3">
      <c r="A196" s="38"/>
      <c r="B196" s="39" t="str">
        <v/>
      </c>
      <c r="C196" s="40"/>
      <c r="D196" s="40"/>
      <c r="E196" s="40"/>
      <c r="F196" s="41"/>
      <c r="G196" s="42" t="e">
        <f>IF($B196="",NA(),COUNTIFS(Sept[Contributing Factors],$B196))</f>
        <v>#N/A</v>
      </c>
    </row>
    <row r="197" spans="1:7" ht="15.6" customHeight="1" thickBot="1" x14ac:dyDescent="0.3">
      <c r="B197" s="287" t="s">
        <v>35</v>
      </c>
      <c r="C197" s="288"/>
      <c r="D197" s="288"/>
      <c r="E197" s="288"/>
      <c r="F197" s="289"/>
      <c r="G197" s="37">
        <f>_xlfn.AGGREGATE(9,6,G173:G196)</f>
        <v>0</v>
      </c>
    </row>
  </sheetData>
  <sheetProtection algorithmName="SHA-512" hashValue="2ylJljJOjpM1ZLfWLoNEMcrKXzM6xxzDzsBeVXmPgylsKqDJ2DRnBZi+jAbyNA52qjboYuIcmRXYMD2O2rC+cQ==" saltValue="DL9OderI7aFYHi1TDgkA6Q==" spinCount="100000" sheet="1" formatCells="0" formatColumns="0" formatRows="0" sort="0" autoFilter="0"/>
  <mergeCells count="61">
    <mergeCell ref="F56:G56"/>
    <mergeCell ref="B51:D51"/>
    <mergeCell ref="F51:H51"/>
    <mergeCell ref="B52:C52"/>
    <mergeCell ref="F52:G52"/>
    <mergeCell ref="B55:C55"/>
    <mergeCell ref="B121:C121"/>
    <mergeCell ref="F58:H58"/>
    <mergeCell ref="F59:G59"/>
    <mergeCell ref="F63:G63"/>
    <mergeCell ref="B65:G65"/>
    <mergeCell ref="B66:F66"/>
    <mergeCell ref="B91:F91"/>
    <mergeCell ref="B93:D93"/>
    <mergeCell ref="B94:C94"/>
    <mergeCell ref="B106:C106"/>
    <mergeCell ref="B108:D108"/>
    <mergeCell ref="B109:C109"/>
    <mergeCell ref="B135:C135"/>
    <mergeCell ref="B123:D123"/>
    <mergeCell ref="B124:C124"/>
    <mergeCell ref="B125:C125"/>
    <mergeCell ref="B126:C126"/>
    <mergeCell ref="B127:C127"/>
    <mergeCell ref="B128:C128"/>
    <mergeCell ref="B129:C129"/>
    <mergeCell ref="B130:C130"/>
    <mergeCell ref="B131:C131"/>
    <mergeCell ref="B132:C132"/>
    <mergeCell ref="B134:D134"/>
    <mergeCell ref="B153:C153"/>
    <mergeCell ref="B141:C141"/>
    <mergeCell ref="B143:D143"/>
    <mergeCell ref="B144:C144"/>
    <mergeCell ref="B145:C145"/>
    <mergeCell ref="B146:C146"/>
    <mergeCell ref="B147:C147"/>
    <mergeCell ref="B148:C148"/>
    <mergeCell ref="B149:C149"/>
    <mergeCell ref="B150:C150"/>
    <mergeCell ref="B151:C151"/>
    <mergeCell ref="B152:C152"/>
    <mergeCell ref="B165:C165"/>
    <mergeCell ref="B154:C154"/>
    <mergeCell ref="B155:C155"/>
    <mergeCell ref="B156:C156"/>
    <mergeCell ref="B157:C157"/>
    <mergeCell ref="B158:C158"/>
    <mergeCell ref="B159:C159"/>
    <mergeCell ref="B160:C160"/>
    <mergeCell ref="B161:C161"/>
    <mergeCell ref="B162:C162"/>
    <mergeCell ref="B163:C163"/>
    <mergeCell ref="B164:C164"/>
    <mergeCell ref="B197:F197"/>
    <mergeCell ref="B166:C166"/>
    <mergeCell ref="B167:C167"/>
    <mergeCell ref="B168:C168"/>
    <mergeCell ref="B169:C169"/>
    <mergeCell ref="B171:G171"/>
    <mergeCell ref="B172:F172"/>
  </mergeCells>
  <conditionalFormatting sqref="C1">
    <cfRule type="expression" dxfId="130" priority="18">
      <formula>OR($C$1="",$C$1=0)</formula>
    </cfRule>
  </conditionalFormatting>
  <conditionalFormatting sqref="D1">
    <cfRule type="cellIs" dxfId="129" priority="19" operator="equal">
      <formula>"Enter year in Data Validation tab"</formula>
    </cfRule>
  </conditionalFormatting>
  <conditionalFormatting sqref="D4:D40">
    <cfRule type="expression" dxfId="128" priority="22">
      <formula>AND($C4&lt;&gt;"",$D4="")</formula>
    </cfRule>
  </conditionalFormatting>
  <conditionalFormatting sqref="D95:D105">
    <cfRule type="expression" dxfId="127" priority="9">
      <formula>ISERROR($D95)</formula>
    </cfRule>
  </conditionalFormatting>
  <conditionalFormatting sqref="D110:D120">
    <cfRule type="expression" dxfId="126" priority="10">
      <formula>ISERROR($D110)</formula>
    </cfRule>
  </conditionalFormatting>
  <conditionalFormatting sqref="D136:D140">
    <cfRule type="expression" dxfId="125" priority="1">
      <formula>ISERROR(D136)</formula>
    </cfRule>
  </conditionalFormatting>
  <conditionalFormatting sqref="E4:E40">
    <cfRule type="expression" dxfId="124" priority="21">
      <formula>AND($C4&lt;&gt;"",$E4="")</formula>
    </cfRule>
  </conditionalFormatting>
  <conditionalFormatting sqref="F4:F40">
    <cfRule type="expression" dxfId="123" priority="14">
      <formula>AND($C4&lt;&gt;"",$F4="")</formula>
    </cfRule>
  </conditionalFormatting>
  <conditionalFormatting sqref="G4:G40">
    <cfRule type="expression" dxfId="122" priority="13">
      <formula>AND($C4&lt;&gt;"",$G4="")</formula>
    </cfRule>
  </conditionalFormatting>
  <conditionalFormatting sqref="G67:G90">
    <cfRule type="expression" dxfId="121" priority="8">
      <formula>ISERROR($G67)</formula>
    </cfRule>
  </conditionalFormatting>
  <conditionalFormatting sqref="G173:G196">
    <cfRule type="expression" dxfId="120" priority="7">
      <formula>ISERROR($G173)</formula>
    </cfRule>
  </conditionalFormatting>
  <conditionalFormatting sqref="H4:H40">
    <cfRule type="expression" dxfId="119" priority="12">
      <formula>AND($C4&lt;&gt;"",$H4="")</formula>
    </cfRule>
  </conditionalFormatting>
  <conditionalFormatting sqref="I4:I40">
    <cfRule type="expression" dxfId="118" priority="11">
      <formula>AND($C4&lt;&gt;"",$I4="")</formula>
    </cfRule>
  </conditionalFormatting>
  <conditionalFormatting sqref="J4:J40">
    <cfRule type="expression" dxfId="117" priority="23">
      <formula>AND($C4&lt;&gt;"",$J4="")</formula>
    </cfRule>
  </conditionalFormatting>
  <conditionalFormatting sqref="L4:L40">
    <cfRule type="expression" dxfId="116" priority="20">
      <formula>AND($C4&lt;&gt;"",$L4="")</formula>
    </cfRule>
  </conditionalFormatting>
  <conditionalFormatting sqref="N4:N40">
    <cfRule type="expression" dxfId="115" priority="25">
      <formula>AND($C4&lt;&gt;"",$N4="")</formula>
    </cfRule>
  </conditionalFormatting>
  <conditionalFormatting sqref="O4:O40">
    <cfRule type="expression" dxfId="114" priority="4">
      <formula>AND($C4&lt;&gt;"",$O4="")</formula>
    </cfRule>
    <cfRule type="cellIs" dxfId="113" priority="15" operator="equal">
      <formula>"Intact (13-15)"</formula>
    </cfRule>
    <cfRule type="cellIs" dxfId="112" priority="16" operator="equal">
      <formula>"Moderate (8-12)"</formula>
    </cfRule>
    <cfRule type="cellIs" dxfId="111" priority="17" operator="equal">
      <formula>"Severe (1-7)"</formula>
    </cfRule>
  </conditionalFormatting>
  <conditionalFormatting sqref="P4:P40">
    <cfRule type="expression" dxfId="110" priority="5">
      <formula>AND($C4&lt;&gt;"",$P4="")</formula>
    </cfRule>
  </conditionalFormatting>
  <conditionalFormatting sqref="Q4:Q40">
    <cfRule type="expression" dxfId="109" priority="3">
      <formula>AND($C4&lt;&gt;"",$Q4="")</formula>
    </cfRule>
  </conditionalFormatting>
  <conditionalFormatting sqref="R4:R40">
    <cfRule type="expression" dxfId="108" priority="26">
      <formula>AND($C4&lt;&gt;"",$R4="")</formula>
    </cfRule>
  </conditionalFormatting>
  <conditionalFormatting sqref="S4:S40">
    <cfRule type="expression" dxfId="107" priority="6">
      <formula>AND($C4&lt;&gt;"",$S4="")</formula>
    </cfRule>
  </conditionalFormatting>
  <conditionalFormatting sqref="T4:T40">
    <cfRule type="expression" dxfId="106" priority="27">
      <formula>AND($C4&lt;&gt;"",$T4="")</formula>
    </cfRule>
  </conditionalFormatting>
  <conditionalFormatting sqref="U4:U40">
    <cfRule type="expression" dxfId="105" priority="24">
      <formula>AND($C4&lt;&gt;"",$U4="")</formula>
    </cfRule>
  </conditionalFormatting>
  <conditionalFormatting sqref="V4:V40">
    <cfRule type="expression" dxfId="104" priority="2">
      <formula>AND($C4&lt;&gt;"",$V4="")</formula>
    </cfRule>
  </conditionalFormatting>
  <dataValidations count="9">
    <dataValidation type="list" allowBlank="1" showInputMessage="1" showErrorMessage="1" sqref="R4:R40" xr:uid="{00000000-0002-0000-0A00-000000000000}">
      <formula1>DV_RCAComp</formula1>
    </dataValidation>
    <dataValidation type="list" allowBlank="1" showInputMessage="1" showErrorMessage="1" sqref="G4:G40" xr:uid="{00000000-0002-0000-0A00-000001000000}">
      <formula1>DV_FallCircumstances</formula1>
    </dataValidation>
    <dataValidation type="list" allowBlank="1" showInputMessage="1" showErrorMessage="1" sqref="P4:P40" xr:uid="{00000000-0002-0000-0A00-000002000000}">
      <formula1>DV_PriortoFall</formula1>
    </dataValidation>
    <dataValidation type="list" allowBlank="1" showInputMessage="1" showErrorMessage="1" sqref="F4:F40" xr:uid="{00000000-0002-0000-0A00-000003000000}">
      <formula1>DV_Witnessed</formula1>
    </dataValidation>
    <dataValidation type="list" allowBlank="1" showInputMessage="1" showErrorMessage="1" sqref="N4:N40" xr:uid="{00000000-0002-0000-0A00-000004000000}">
      <formula1>DV_BIMSScore</formula1>
    </dataValidation>
    <dataValidation type="list" allowBlank="1" showInputMessage="1" showErrorMessage="1" sqref="L4:L40" xr:uid="{00000000-0002-0000-0A00-000005000000}">
      <formula1>DV_Shifts</formula1>
    </dataValidation>
    <dataValidation type="list" allowBlank="1" showInputMessage="1" showErrorMessage="1" sqref="J4:J40" xr:uid="{00000000-0002-0000-0A00-000006000000}">
      <formula1>DV_Station</formula1>
    </dataValidation>
    <dataValidation type="list" allowBlank="1" showInputMessage="1" showErrorMessage="1" sqref="I4:I40" xr:uid="{00000000-0002-0000-0A00-000007000000}">
      <formula1>DV_Location</formula1>
    </dataValidation>
    <dataValidation type="list" allowBlank="1" showInputMessage="1" showErrorMessage="1" sqref="H4:H40" xr:uid="{00000000-0002-0000-0A00-000008000000}">
      <formula1>DV_FallType</formula1>
    </dataValidation>
  </dataValidations>
  <printOptions horizontalCentered="1"/>
  <pageMargins left="0.15" right="0.15" top="0.5" bottom="0.25" header="0.3" footer="0.3"/>
  <pageSetup scale="59" fitToHeight="0" orientation="landscape" r:id="rId1"/>
  <rowBreaks count="3" manualBreakCount="3">
    <brk id="49" max="16383" man="1"/>
    <brk id="91" max="16383" man="1"/>
    <brk id="141" max="16383" man="1"/>
  </rowBreaks>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9000000}">
          <x14:formula1>
            <xm:f>'Data Validation'!$K$3:$K$26</xm:f>
          </x14:formula1>
          <xm:sqref>S4:S40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V197"/>
  <sheetViews>
    <sheetView showGridLines="0" zoomScaleNormal="100" zoomScaleSheetLayoutView="98" workbookViewId="0">
      <selection activeCell="B4" sqref="B4"/>
    </sheetView>
  </sheetViews>
  <sheetFormatPr defaultRowHeight="15" x14ac:dyDescent="0.25"/>
  <cols>
    <col min="1" max="1" width="1.28515625" customWidth="1"/>
    <col min="2" max="2" width="5.85546875" customWidth="1"/>
    <col min="3" max="3" width="17.140625" customWidth="1"/>
    <col min="4" max="4" width="9.28515625" customWidth="1"/>
    <col min="5" max="5" width="11" customWidth="1"/>
    <col min="6" max="6" width="8" customWidth="1"/>
    <col min="7" max="7" width="12.140625" customWidth="1"/>
    <col min="8" max="8" width="10.5703125" customWidth="1"/>
    <col min="9" max="9" width="7.7109375" customWidth="1"/>
    <col min="10" max="10" width="6" customWidth="1"/>
    <col min="11" max="11" width="4.7109375" customWidth="1"/>
    <col min="12" max="12" width="9.28515625" customWidth="1"/>
    <col min="13" max="14" width="4.7109375" customWidth="1"/>
    <col min="15" max="15" width="12.140625" customWidth="1"/>
    <col min="16" max="17" width="23.7109375" customWidth="1"/>
    <col min="18" max="18" width="8.7109375" customWidth="1"/>
    <col min="19" max="19" width="23.7109375" customWidth="1"/>
    <col min="20" max="22" width="11.7109375" customWidth="1"/>
    <col min="23" max="24" width="10.7109375" customWidth="1"/>
  </cols>
  <sheetData>
    <row r="1" spans="1:22" ht="18.75" customHeight="1" x14ac:dyDescent="0.25">
      <c r="B1" s="13" t="s">
        <v>28</v>
      </c>
      <c r="C1" s="14">
        <f>'Data Validation'!$C$4</f>
        <v>0</v>
      </c>
      <c r="D1" s="15" t="str">
        <f>IF(OR($C$1="",$C$1=0),"Enter Year in Data Validation tab",'Data Validation'!$C$2&amp;" October ")</f>
        <v>Enter Year in Data Validation tab</v>
      </c>
      <c r="E1" s="16"/>
      <c r="F1" s="16"/>
      <c r="G1" s="16"/>
      <c r="H1" s="16"/>
      <c r="I1" s="16"/>
      <c r="J1" s="16"/>
      <c r="K1" s="16"/>
      <c r="L1" s="16"/>
      <c r="M1" s="16"/>
      <c r="N1" s="4"/>
      <c r="O1" s="16"/>
      <c r="P1" s="16"/>
      <c r="Q1" s="16"/>
      <c r="R1" s="17" t="s">
        <v>59</v>
      </c>
      <c r="S1" s="14" t="str">
        <f>IF(COUNTIFS(Oct[Resident Name],"&lt;&gt;")=0,"No Data",COUNTIFS(Oct[Resident Name],"&lt;&gt;"))</f>
        <v>No Data</v>
      </c>
      <c r="T1" s="17" t="s">
        <v>62</v>
      </c>
      <c r="U1" s="14" t="str">
        <f>'Fall Rate and Census'!$AC$36</f>
        <v>No Data</v>
      </c>
    </row>
    <row r="2" spans="1:22" ht="8.1" customHeight="1" x14ac:dyDescent="0.25">
      <c r="B2" s="18"/>
      <c r="C2" s="16"/>
      <c r="D2" s="16"/>
      <c r="E2" s="16"/>
      <c r="F2" s="16"/>
      <c r="G2" s="16"/>
      <c r="H2" s="16"/>
      <c r="I2" s="16"/>
      <c r="J2" s="16"/>
      <c r="K2" s="16"/>
      <c r="L2" s="16"/>
      <c r="M2" s="16"/>
      <c r="N2" s="16"/>
      <c r="O2" s="16"/>
      <c r="P2" s="16"/>
      <c r="Q2" s="16"/>
      <c r="R2" s="16"/>
    </row>
    <row r="3" spans="1:22" ht="22.35" customHeight="1" x14ac:dyDescent="0.25">
      <c r="B3" s="19" t="s">
        <v>104</v>
      </c>
      <c r="C3" s="19" t="s">
        <v>105</v>
      </c>
      <c r="D3" s="20" t="s">
        <v>0</v>
      </c>
      <c r="E3" s="20" t="s">
        <v>89</v>
      </c>
      <c r="F3" s="20" t="s">
        <v>84</v>
      </c>
      <c r="G3" s="20" t="s">
        <v>100</v>
      </c>
      <c r="H3" s="20" t="s">
        <v>90</v>
      </c>
      <c r="I3" s="20" t="s">
        <v>1</v>
      </c>
      <c r="J3" s="20" t="s">
        <v>2</v>
      </c>
      <c r="K3" s="20" t="s">
        <v>3</v>
      </c>
      <c r="L3" s="20" t="s">
        <v>33</v>
      </c>
      <c r="M3" s="20" t="s">
        <v>34</v>
      </c>
      <c r="N3" s="20" t="s">
        <v>26</v>
      </c>
      <c r="O3" s="20" t="s">
        <v>30</v>
      </c>
      <c r="P3" s="19" t="s">
        <v>158</v>
      </c>
      <c r="Q3" s="19" t="s">
        <v>80</v>
      </c>
      <c r="R3" s="20" t="s">
        <v>81</v>
      </c>
      <c r="S3" s="20" t="s">
        <v>92</v>
      </c>
      <c r="T3" s="12" t="s">
        <v>95</v>
      </c>
      <c r="U3" s="12" t="s">
        <v>94</v>
      </c>
      <c r="V3" s="12" t="s">
        <v>96</v>
      </c>
    </row>
    <row r="4" spans="1:22" ht="20.85" customHeight="1" x14ac:dyDescent="0.25">
      <c r="A4" s="21"/>
      <c r="B4" s="266"/>
      <c r="C4" s="5"/>
      <c r="D4" s="263"/>
      <c r="E4" s="263"/>
      <c r="F4" s="266"/>
      <c r="G4" s="267"/>
      <c r="H4" s="2"/>
      <c r="I4" s="2"/>
      <c r="J4" s="2"/>
      <c r="K4" s="24" t="str">
        <f>IF(Oct[[#This Row],[Date of Incident]]="","",TEXT(Oct[[#This Row],[Date of Incident]],"ddd"))</f>
        <v/>
      </c>
      <c r="L4" s="1"/>
      <c r="M4" s="24" t="str">
        <f>IFERROR(VLOOKUP(Oct[[#This Row],[Hour]],Shifts[],2,FALSE),"")</f>
        <v/>
      </c>
      <c r="N4" s="2"/>
      <c r="O4" s="24" t="str">
        <f>IFERROR(VLOOKUP(Oct[[#This Row],[BIMS Score]],BIMS[],2,FALSE),"")</f>
        <v/>
      </c>
      <c r="P4" s="3"/>
      <c r="Q4" s="3"/>
      <c r="R4" s="2"/>
      <c r="S4" s="168"/>
      <c r="T4" s="3"/>
      <c r="U4" s="3"/>
      <c r="V4" s="3"/>
    </row>
    <row r="5" spans="1:22" ht="20.85" customHeight="1" x14ac:dyDescent="0.25">
      <c r="A5" s="21"/>
      <c r="B5" s="266"/>
      <c r="C5" s="5"/>
      <c r="D5" s="263"/>
      <c r="E5" s="263"/>
      <c r="F5" s="266"/>
      <c r="G5" s="267"/>
      <c r="H5" s="2"/>
      <c r="I5" s="2"/>
      <c r="J5" s="2"/>
      <c r="K5" s="24" t="str">
        <f>IF(Oct[[#This Row],[Date of Incident]]="","",TEXT(Oct[[#This Row],[Date of Incident]],"ddd"))</f>
        <v/>
      </c>
      <c r="L5" s="1"/>
      <c r="M5" s="24" t="str">
        <f>IFERROR(VLOOKUP(Oct[[#This Row],[Hour]],Shifts[],2,FALSE),"")</f>
        <v/>
      </c>
      <c r="N5" s="2"/>
      <c r="O5" s="24" t="str">
        <f>IFERROR(VLOOKUP(Oct[[#This Row],[BIMS Score]],BIMS[],2,FALSE),"")</f>
        <v/>
      </c>
      <c r="P5" s="3"/>
      <c r="Q5" s="3"/>
      <c r="R5" s="2"/>
      <c r="S5" s="168"/>
      <c r="T5" s="3"/>
      <c r="U5" s="3"/>
      <c r="V5" s="3"/>
    </row>
    <row r="6" spans="1:22" ht="20.85" customHeight="1" x14ac:dyDescent="0.25">
      <c r="A6" s="21"/>
      <c r="B6" s="266"/>
      <c r="C6" s="5"/>
      <c r="D6" s="263"/>
      <c r="E6" s="263"/>
      <c r="F6" s="266"/>
      <c r="G6" s="267"/>
      <c r="H6" s="2"/>
      <c r="I6" s="2"/>
      <c r="J6" s="2"/>
      <c r="K6" s="24" t="str">
        <f>IF(Oct[[#This Row],[Date of Incident]]="","",TEXT(Oct[[#This Row],[Date of Incident]],"ddd"))</f>
        <v/>
      </c>
      <c r="L6" s="1"/>
      <c r="M6" s="24" t="str">
        <f>IFERROR(VLOOKUP(Oct[[#This Row],[Hour]],Shifts[],2,FALSE),"")</f>
        <v/>
      </c>
      <c r="N6" s="2"/>
      <c r="O6" s="24" t="str">
        <f>IFERROR(VLOOKUP(Oct[[#This Row],[BIMS Score]],BIMS[],2,FALSE),"")</f>
        <v/>
      </c>
      <c r="P6" s="3"/>
      <c r="Q6" s="3"/>
      <c r="R6" s="2"/>
      <c r="S6" s="168"/>
      <c r="T6" s="3"/>
      <c r="U6" s="3"/>
      <c r="V6" s="3"/>
    </row>
    <row r="7" spans="1:22" ht="20.85" customHeight="1" x14ac:dyDescent="0.25">
      <c r="A7" s="21"/>
      <c r="B7" s="266"/>
      <c r="C7" s="5"/>
      <c r="D7" s="263"/>
      <c r="E7" s="263"/>
      <c r="F7" s="266"/>
      <c r="G7" s="267"/>
      <c r="H7" s="2"/>
      <c r="I7" s="2"/>
      <c r="J7" s="2"/>
      <c r="K7" s="24" t="str">
        <f>IF(Oct[[#This Row],[Date of Incident]]="","",TEXT(Oct[[#This Row],[Date of Incident]],"ddd"))</f>
        <v/>
      </c>
      <c r="L7" s="1"/>
      <c r="M7" s="24" t="str">
        <f>IFERROR(VLOOKUP(Oct[[#This Row],[Hour]],Shifts[],2,FALSE),"")</f>
        <v/>
      </c>
      <c r="N7" s="2"/>
      <c r="O7" s="24" t="str">
        <f>IFERROR(VLOOKUP(Oct[[#This Row],[BIMS Score]],BIMS[],2,FALSE),"")</f>
        <v/>
      </c>
      <c r="P7" s="3"/>
      <c r="Q7" s="3"/>
      <c r="R7" s="2"/>
      <c r="S7" s="168"/>
      <c r="T7" s="3"/>
      <c r="U7" s="3"/>
      <c r="V7" s="3"/>
    </row>
    <row r="8" spans="1:22" ht="20.85" customHeight="1" x14ac:dyDescent="0.25">
      <c r="A8" s="21"/>
      <c r="B8" s="266"/>
      <c r="C8" s="5"/>
      <c r="D8" s="263"/>
      <c r="E8" s="263"/>
      <c r="F8" s="266"/>
      <c r="G8" s="267"/>
      <c r="H8" s="2"/>
      <c r="I8" s="2"/>
      <c r="J8" s="2"/>
      <c r="K8" s="24" t="str">
        <f>IF(Oct[[#This Row],[Date of Incident]]="","",TEXT(Oct[[#This Row],[Date of Incident]],"ddd"))</f>
        <v/>
      </c>
      <c r="L8" s="1"/>
      <c r="M8" s="24" t="str">
        <f>IFERROR(VLOOKUP(Oct[[#This Row],[Hour]],Shifts[],2,FALSE),"")</f>
        <v/>
      </c>
      <c r="N8" s="2"/>
      <c r="O8" s="24" t="str">
        <f>IFERROR(VLOOKUP(Oct[[#This Row],[BIMS Score]],BIMS[],2,FALSE),"")</f>
        <v/>
      </c>
      <c r="P8" s="3"/>
      <c r="Q8" s="3"/>
      <c r="R8" s="2"/>
      <c r="S8" s="168"/>
      <c r="T8" s="3"/>
      <c r="U8" s="3"/>
      <c r="V8" s="3"/>
    </row>
    <row r="9" spans="1:22" ht="20.85" customHeight="1" x14ac:dyDescent="0.25">
      <c r="A9" s="21"/>
      <c r="B9" s="266"/>
      <c r="C9" s="5"/>
      <c r="D9" s="263"/>
      <c r="E9" s="263"/>
      <c r="F9" s="266"/>
      <c r="G9" s="267"/>
      <c r="H9" s="2"/>
      <c r="I9" s="2"/>
      <c r="J9" s="2"/>
      <c r="K9" s="24" t="str">
        <f>IF(Oct[[#This Row],[Date of Incident]]="","",TEXT(Oct[[#This Row],[Date of Incident]],"ddd"))</f>
        <v/>
      </c>
      <c r="L9" s="1"/>
      <c r="M9" s="24" t="str">
        <f>IFERROR(VLOOKUP(Oct[[#This Row],[Hour]],Shifts[],2,FALSE),"")</f>
        <v/>
      </c>
      <c r="N9" s="2"/>
      <c r="O9" s="24" t="str">
        <f>IFERROR(VLOOKUP(Oct[[#This Row],[BIMS Score]],BIMS[],2,FALSE),"")</f>
        <v/>
      </c>
      <c r="P9" s="3"/>
      <c r="Q9" s="3"/>
      <c r="R9" s="2"/>
      <c r="S9" s="168"/>
      <c r="T9" s="3"/>
      <c r="U9" s="3"/>
      <c r="V9" s="3"/>
    </row>
    <row r="10" spans="1:22" ht="20.85" customHeight="1" x14ac:dyDescent="0.25">
      <c r="A10" s="21"/>
      <c r="B10" s="266"/>
      <c r="C10" s="5"/>
      <c r="D10" s="263"/>
      <c r="E10" s="263"/>
      <c r="F10" s="266"/>
      <c r="G10" s="267"/>
      <c r="H10" s="2"/>
      <c r="I10" s="2"/>
      <c r="J10" s="2"/>
      <c r="K10" s="24" t="str">
        <f>IF(Oct[[#This Row],[Date of Incident]]="","",TEXT(Oct[[#This Row],[Date of Incident]],"ddd"))</f>
        <v/>
      </c>
      <c r="L10" s="1"/>
      <c r="M10" s="24" t="str">
        <f>IFERROR(VLOOKUP(Oct[[#This Row],[Hour]],Shifts[],2,FALSE),"")</f>
        <v/>
      </c>
      <c r="N10" s="2"/>
      <c r="O10" s="24" t="str">
        <f>IFERROR(VLOOKUP(Oct[[#This Row],[BIMS Score]],BIMS[],2,FALSE),"")</f>
        <v/>
      </c>
      <c r="P10" s="3"/>
      <c r="Q10" s="3"/>
      <c r="R10" s="2"/>
      <c r="S10" s="168"/>
      <c r="T10" s="3"/>
      <c r="U10" s="3"/>
      <c r="V10" s="3"/>
    </row>
    <row r="11" spans="1:22" ht="20.85" customHeight="1" x14ac:dyDescent="0.25">
      <c r="A11" s="21"/>
      <c r="B11" s="266"/>
      <c r="C11" s="5"/>
      <c r="D11" s="263"/>
      <c r="E11" s="263"/>
      <c r="F11" s="266"/>
      <c r="G11" s="267"/>
      <c r="H11" s="2"/>
      <c r="I11" s="2"/>
      <c r="J11" s="2"/>
      <c r="K11" s="24" t="str">
        <f>IF(Oct[[#This Row],[Date of Incident]]="","",TEXT(Oct[[#This Row],[Date of Incident]],"ddd"))</f>
        <v/>
      </c>
      <c r="L11" s="1"/>
      <c r="M11" s="24" t="str">
        <f>IFERROR(VLOOKUP(Oct[[#This Row],[Hour]],Shifts[],2,FALSE),"")</f>
        <v/>
      </c>
      <c r="N11" s="2"/>
      <c r="O11" s="24" t="str">
        <f>IFERROR(VLOOKUP(Oct[[#This Row],[BIMS Score]],BIMS[],2,FALSE),"")</f>
        <v/>
      </c>
      <c r="P11" s="3"/>
      <c r="Q11" s="3"/>
      <c r="R11" s="2"/>
      <c r="S11" s="168"/>
      <c r="T11" s="3"/>
      <c r="U11" s="3"/>
      <c r="V11" s="3"/>
    </row>
    <row r="12" spans="1:22" ht="20.85" customHeight="1" x14ac:dyDescent="0.25">
      <c r="A12" s="21"/>
      <c r="B12" s="267"/>
      <c r="C12" s="5"/>
      <c r="D12" s="264"/>
      <c r="E12" s="263"/>
      <c r="F12" s="267"/>
      <c r="G12" s="267"/>
      <c r="H12" s="2"/>
      <c r="I12" s="2"/>
      <c r="J12" s="2"/>
      <c r="K12" s="24" t="str">
        <f>IF(Oct[[#This Row],[Date of Incident]]="","",TEXT(Oct[[#This Row],[Date of Incident]],"ddd"))</f>
        <v/>
      </c>
      <c r="L12" s="1"/>
      <c r="M12" s="24" t="str">
        <f>IFERROR(VLOOKUP(Oct[[#This Row],[Hour]],Shifts[],2,FALSE),"")</f>
        <v/>
      </c>
      <c r="N12" s="2"/>
      <c r="O12" s="24" t="str">
        <f>IFERROR(VLOOKUP(Oct[[#This Row],[BIMS Score]],BIMS[],2,FALSE),"")</f>
        <v/>
      </c>
      <c r="P12" s="3"/>
      <c r="Q12" s="3"/>
      <c r="R12" s="2"/>
      <c r="S12" s="168"/>
      <c r="T12" s="3"/>
      <c r="U12" s="3"/>
      <c r="V12" s="3"/>
    </row>
    <row r="13" spans="1:22" ht="20.85" customHeight="1" x14ac:dyDescent="0.25">
      <c r="A13" s="21"/>
      <c r="B13" s="267"/>
      <c r="C13" s="5"/>
      <c r="D13" s="264"/>
      <c r="E13" s="263"/>
      <c r="F13" s="267"/>
      <c r="G13" s="267"/>
      <c r="H13" s="2"/>
      <c r="I13" s="2"/>
      <c r="J13" s="2"/>
      <c r="K13" s="24" t="str">
        <f>IF(Oct[[#This Row],[Date of Incident]]="","",TEXT(Oct[[#This Row],[Date of Incident]],"ddd"))</f>
        <v/>
      </c>
      <c r="L13" s="1"/>
      <c r="M13" s="24" t="str">
        <f>IFERROR(VLOOKUP(Oct[[#This Row],[Hour]],Shifts[],2,FALSE),"")</f>
        <v/>
      </c>
      <c r="N13" s="2"/>
      <c r="O13" s="24" t="str">
        <f>IFERROR(VLOOKUP(Oct[[#This Row],[BIMS Score]],BIMS[],2,FALSE),"")</f>
        <v/>
      </c>
      <c r="P13" s="3"/>
      <c r="Q13" s="3"/>
      <c r="R13" s="2"/>
      <c r="S13" s="168"/>
      <c r="T13" s="3"/>
      <c r="U13" s="3"/>
      <c r="V13" s="3"/>
    </row>
    <row r="14" spans="1:22" ht="20.85" customHeight="1" x14ac:dyDescent="0.25">
      <c r="A14" s="21"/>
      <c r="B14" s="267"/>
      <c r="C14" s="5"/>
      <c r="D14" s="264"/>
      <c r="E14" s="263"/>
      <c r="F14" s="267"/>
      <c r="G14" s="267"/>
      <c r="H14" s="2"/>
      <c r="I14" s="2"/>
      <c r="J14" s="2"/>
      <c r="K14" s="24" t="str">
        <f>IF(Oct[[#This Row],[Date of Incident]]="","",TEXT(Oct[[#This Row],[Date of Incident]],"ddd"))</f>
        <v/>
      </c>
      <c r="L14" s="1"/>
      <c r="M14" s="24" t="str">
        <f>IFERROR(VLOOKUP(Oct[[#This Row],[Hour]],Shifts[],2,FALSE),"")</f>
        <v/>
      </c>
      <c r="N14" s="2"/>
      <c r="O14" s="24" t="str">
        <f>IFERROR(VLOOKUP(Oct[[#This Row],[BIMS Score]],BIMS[],2,FALSE),"")</f>
        <v/>
      </c>
      <c r="P14" s="3"/>
      <c r="Q14" s="3"/>
      <c r="R14" s="2"/>
      <c r="S14" s="168"/>
      <c r="T14" s="3"/>
      <c r="U14" s="3"/>
      <c r="V14" s="3"/>
    </row>
    <row r="15" spans="1:22" ht="20.85" customHeight="1" x14ac:dyDescent="0.25">
      <c r="A15" s="21"/>
      <c r="B15" s="267"/>
      <c r="C15" s="5"/>
      <c r="D15" s="264"/>
      <c r="E15" s="263"/>
      <c r="F15" s="267"/>
      <c r="G15" s="267"/>
      <c r="H15" s="2"/>
      <c r="I15" s="2"/>
      <c r="J15" s="2"/>
      <c r="K15" s="24" t="str">
        <f>IF(Oct[[#This Row],[Date of Incident]]="","",TEXT(Oct[[#This Row],[Date of Incident]],"ddd"))</f>
        <v/>
      </c>
      <c r="L15" s="1"/>
      <c r="M15" s="24" t="str">
        <f>IFERROR(VLOOKUP(Oct[[#This Row],[Hour]],Shifts[],2,FALSE),"")</f>
        <v/>
      </c>
      <c r="N15" s="2"/>
      <c r="O15" s="24" t="str">
        <f>IFERROR(VLOOKUP(Oct[[#This Row],[BIMS Score]],BIMS[],2,FALSE),"")</f>
        <v/>
      </c>
      <c r="P15" s="3"/>
      <c r="Q15" s="3"/>
      <c r="R15" s="2"/>
      <c r="S15" s="168"/>
      <c r="T15" s="3"/>
      <c r="U15" s="3"/>
      <c r="V15" s="3"/>
    </row>
    <row r="16" spans="1:22" ht="20.85" customHeight="1" x14ac:dyDescent="0.25">
      <c r="A16" s="21"/>
      <c r="B16" s="267"/>
      <c r="C16" s="3"/>
      <c r="D16" s="264"/>
      <c r="E16" s="264"/>
      <c r="F16" s="267"/>
      <c r="G16" s="267"/>
      <c r="H16" s="2"/>
      <c r="I16" s="2"/>
      <c r="J16" s="2"/>
      <c r="K16" s="24" t="str">
        <f>IF(Oct[[#This Row],[Date of Incident]]="","",TEXT(Oct[[#This Row],[Date of Incident]],"ddd"))</f>
        <v/>
      </c>
      <c r="L16" s="1"/>
      <c r="M16" s="24" t="str">
        <f>IFERROR(VLOOKUP(Oct[[#This Row],[Hour]],Shifts[],2,FALSE),"")</f>
        <v/>
      </c>
      <c r="N16" s="2"/>
      <c r="O16" s="24" t="str">
        <f>IFERROR(VLOOKUP(Oct[[#This Row],[BIMS Score]],BIMS[],2,FALSE),"")</f>
        <v/>
      </c>
      <c r="P16" s="3"/>
      <c r="Q16" s="3"/>
      <c r="R16" s="2"/>
      <c r="S16" s="168"/>
      <c r="T16" s="3"/>
      <c r="U16" s="3"/>
      <c r="V16" s="3"/>
    </row>
    <row r="17" spans="1:22" ht="20.85" customHeight="1" x14ac:dyDescent="0.25">
      <c r="A17" s="21"/>
      <c r="B17" s="267"/>
      <c r="C17" s="3"/>
      <c r="D17" s="264"/>
      <c r="E17" s="264"/>
      <c r="F17" s="267"/>
      <c r="G17" s="267"/>
      <c r="H17" s="2"/>
      <c r="I17" s="2"/>
      <c r="J17" s="2"/>
      <c r="K17" s="24" t="str">
        <f>IF(Oct[[#This Row],[Date of Incident]]="","",TEXT(Oct[[#This Row],[Date of Incident]],"ddd"))</f>
        <v/>
      </c>
      <c r="L17" s="1"/>
      <c r="M17" s="24" t="str">
        <f>IFERROR(VLOOKUP(Oct[[#This Row],[Hour]],Shifts[],2,FALSE),"")</f>
        <v/>
      </c>
      <c r="N17" s="2"/>
      <c r="O17" s="24" t="str">
        <f>IFERROR(VLOOKUP(Oct[[#This Row],[BIMS Score]],BIMS[],2,FALSE),"")</f>
        <v/>
      </c>
      <c r="P17" s="3"/>
      <c r="Q17" s="3"/>
      <c r="R17" s="2"/>
      <c r="S17" s="168"/>
      <c r="T17" s="3"/>
      <c r="U17" s="3"/>
      <c r="V17" s="3"/>
    </row>
    <row r="18" spans="1:22" ht="20.85" customHeight="1" x14ac:dyDescent="0.25">
      <c r="A18" s="21"/>
      <c r="B18" s="267"/>
      <c r="C18" s="3"/>
      <c r="D18" s="264"/>
      <c r="E18" s="264"/>
      <c r="F18" s="267"/>
      <c r="G18" s="267"/>
      <c r="H18" s="2"/>
      <c r="I18" s="2"/>
      <c r="J18" s="2"/>
      <c r="K18" s="24" t="str">
        <f>IF(Oct[[#This Row],[Date of Incident]]="","",TEXT(Oct[[#This Row],[Date of Incident]],"ddd"))</f>
        <v/>
      </c>
      <c r="L18" s="1"/>
      <c r="M18" s="24" t="str">
        <f>IFERROR(VLOOKUP(Oct[[#This Row],[Hour]],Shifts[],2,FALSE),"")</f>
        <v/>
      </c>
      <c r="N18" s="2"/>
      <c r="O18" s="24" t="str">
        <f>IFERROR(VLOOKUP(Oct[[#This Row],[BIMS Score]],BIMS[],2,FALSE),"")</f>
        <v/>
      </c>
      <c r="P18" s="3"/>
      <c r="Q18" s="3"/>
      <c r="R18" s="2"/>
      <c r="S18" s="168"/>
      <c r="T18" s="3"/>
      <c r="U18" s="3"/>
      <c r="V18" s="3"/>
    </row>
    <row r="19" spans="1:22" ht="20.85" customHeight="1" x14ac:dyDescent="0.25">
      <c r="A19" s="21"/>
      <c r="B19" s="267"/>
      <c r="C19" s="3"/>
      <c r="D19" s="264"/>
      <c r="E19" s="264"/>
      <c r="F19" s="267"/>
      <c r="G19" s="267"/>
      <c r="H19" s="2"/>
      <c r="I19" s="2"/>
      <c r="J19" s="2"/>
      <c r="K19" s="24" t="str">
        <f>IF(Oct[[#This Row],[Date of Incident]]="","",TEXT(Oct[[#This Row],[Date of Incident]],"ddd"))</f>
        <v/>
      </c>
      <c r="L19" s="1"/>
      <c r="M19" s="24" t="str">
        <f>IFERROR(VLOOKUP(Oct[[#This Row],[Hour]],Shifts[],2,FALSE),"")</f>
        <v/>
      </c>
      <c r="N19" s="2"/>
      <c r="O19" s="24" t="str">
        <f>IFERROR(VLOOKUP(Oct[[#This Row],[BIMS Score]],BIMS[],2,FALSE),"")</f>
        <v/>
      </c>
      <c r="P19" s="3"/>
      <c r="Q19" s="3"/>
      <c r="R19" s="2"/>
      <c r="S19" s="168"/>
      <c r="T19" s="3"/>
      <c r="U19" s="3"/>
      <c r="V19" s="3"/>
    </row>
    <row r="20" spans="1:22" ht="20.85" customHeight="1" x14ac:dyDescent="0.25">
      <c r="A20" s="21"/>
      <c r="B20" s="267"/>
      <c r="C20" s="3"/>
      <c r="D20" s="264"/>
      <c r="E20" s="264"/>
      <c r="F20" s="267"/>
      <c r="G20" s="267"/>
      <c r="H20" s="2"/>
      <c r="I20" s="2"/>
      <c r="J20" s="2"/>
      <c r="K20" s="24" t="str">
        <f>IF(Oct[[#This Row],[Date of Incident]]="","",TEXT(Oct[[#This Row],[Date of Incident]],"ddd"))</f>
        <v/>
      </c>
      <c r="L20" s="1"/>
      <c r="M20" s="24" t="str">
        <f>IFERROR(VLOOKUP(Oct[[#This Row],[Hour]],Shifts[],2,FALSE),"")</f>
        <v/>
      </c>
      <c r="N20" s="2"/>
      <c r="O20" s="24" t="str">
        <f>IFERROR(VLOOKUP(Oct[[#This Row],[BIMS Score]],BIMS[],2,FALSE),"")</f>
        <v/>
      </c>
      <c r="P20" s="3"/>
      <c r="Q20" s="3"/>
      <c r="R20" s="2"/>
      <c r="S20" s="168"/>
      <c r="T20" s="3"/>
      <c r="U20" s="3"/>
      <c r="V20" s="3"/>
    </row>
    <row r="21" spans="1:22" ht="20.85" customHeight="1" x14ac:dyDescent="0.25">
      <c r="A21" s="21"/>
      <c r="B21" s="267"/>
      <c r="C21" s="3"/>
      <c r="D21" s="264"/>
      <c r="E21" s="264"/>
      <c r="F21" s="267"/>
      <c r="G21" s="267"/>
      <c r="H21" s="2"/>
      <c r="I21" s="2"/>
      <c r="J21" s="2"/>
      <c r="K21" s="24" t="str">
        <f>IF(Oct[[#This Row],[Date of Incident]]="","",TEXT(Oct[[#This Row],[Date of Incident]],"ddd"))</f>
        <v/>
      </c>
      <c r="L21" s="1"/>
      <c r="M21" s="24" t="str">
        <f>IFERROR(VLOOKUP(Oct[[#This Row],[Hour]],Shifts[],2,FALSE),"")</f>
        <v/>
      </c>
      <c r="N21" s="2"/>
      <c r="O21" s="24" t="str">
        <f>IFERROR(VLOOKUP(Oct[[#This Row],[BIMS Score]],BIMS[],2,FALSE),"")</f>
        <v/>
      </c>
      <c r="P21" s="3"/>
      <c r="Q21" s="3"/>
      <c r="R21" s="2"/>
      <c r="S21" s="168"/>
      <c r="T21" s="3"/>
      <c r="U21" s="3"/>
      <c r="V21" s="3"/>
    </row>
    <row r="22" spans="1:22" ht="20.85" customHeight="1" x14ac:dyDescent="0.25">
      <c r="A22" s="21"/>
      <c r="B22" s="267"/>
      <c r="C22" s="3"/>
      <c r="D22" s="264"/>
      <c r="E22" s="264"/>
      <c r="F22" s="267"/>
      <c r="G22" s="267"/>
      <c r="H22" s="2"/>
      <c r="I22" s="2"/>
      <c r="J22" s="2"/>
      <c r="K22" s="24" t="str">
        <f>IF(Oct[[#This Row],[Date of Incident]]="","",TEXT(Oct[[#This Row],[Date of Incident]],"ddd"))</f>
        <v/>
      </c>
      <c r="L22" s="1"/>
      <c r="M22" s="24" t="str">
        <f>IFERROR(VLOOKUP(Oct[[#This Row],[Hour]],Shifts[],2,FALSE),"")</f>
        <v/>
      </c>
      <c r="N22" s="1"/>
      <c r="O22" s="24" t="str">
        <f>IFERROR(VLOOKUP(Oct[[#This Row],[BIMS Score]],BIMS[],2,FALSE),"")</f>
        <v/>
      </c>
      <c r="P22" s="3"/>
      <c r="Q22" s="3"/>
      <c r="R22" s="2"/>
      <c r="S22" s="168"/>
      <c r="T22" s="3"/>
      <c r="U22" s="3"/>
      <c r="V22" s="3"/>
    </row>
    <row r="23" spans="1:22" ht="20.85" customHeight="1" x14ac:dyDescent="0.25">
      <c r="A23" s="21"/>
      <c r="B23" s="267"/>
      <c r="C23" s="3"/>
      <c r="D23" s="264"/>
      <c r="E23" s="264"/>
      <c r="F23" s="267"/>
      <c r="G23" s="267"/>
      <c r="H23" s="2"/>
      <c r="I23" s="2"/>
      <c r="J23" s="2"/>
      <c r="K23" s="24" t="str">
        <f>IF(Oct[[#This Row],[Date of Incident]]="","",TEXT(Oct[[#This Row],[Date of Incident]],"ddd"))</f>
        <v/>
      </c>
      <c r="L23" s="1"/>
      <c r="M23" s="24" t="str">
        <f>IFERROR(VLOOKUP(Oct[[#This Row],[Hour]],Shifts[],2,FALSE),"")</f>
        <v/>
      </c>
      <c r="N23" s="1"/>
      <c r="O23" s="24" t="str">
        <f>IFERROR(VLOOKUP(Oct[[#This Row],[BIMS Score]],BIMS[],2,FALSE),"")</f>
        <v/>
      </c>
      <c r="P23" s="3"/>
      <c r="Q23" s="3"/>
      <c r="R23" s="2"/>
      <c r="S23" s="168"/>
      <c r="T23" s="3"/>
      <c r="U23" s="3"/>
      <c r="V23" s="3"/>
    </row>
    <row r="24" spans="1:22" s="10" customFormat="1" ht="20.85" customHeight="1" x14ac:dyDescent="0.25">
      <c r="A24" s="26"/>
      <c r="B24" s="266"/>
      <c r="C24" s="5"/>
      <c r="D24" s="263"/>
      <c r="E24" s="263"/>
      <c r="F24" s="267"/>
      <c r="G24" s="267"/>
      <c r="H24" s="1"/>
      <c r="I24" s="1"/>
      <c r="J24" s="1"/>
      <c r="K24" s="24" t="str">
        <f>IF(Oct[[#This Row],[Date of Incident]]="","",TEXT(Oct[[#This Row],[Date of Incident]],"ddd"))</f>
        <v/>
      </c>
      <c r="L24" s="1"/>
      <c r="M24" s="24" t="str">
        <f>IFERROR(VLOOKUP(Oct[[#This Row],[Hour]],Shifts[],2,FALSE),"")</f>
        <v/>
      </c>
      <c r="N24" s="1"/>
      <c r="O24" s="24" t="str">
        <f>IFERROR(VLOOKUP(Oct[[#This Row],[BIMS Score]],BIMS[],2,FALSE),"")</f>
        <v/>
      </c>
      <c r="P24" s="3"/>
      <c r="Q24" s="3"/>
      <c r="R24" s="2"/>
      <c r="S24" s="168"/>
      <c r="T24" s="5"/>
      <c r="U24" s="5"/>
      <c r="V24" s="3"/>
    </row>
    <row r="25" spans="1:22" ht="20.85" customHeight="1" x14ac:dyDescent="0.25">
      <c r="A25" s="21"/>
      <c r="B25" s="266"/>
      <c r="C25" s="5"/>
      <c r="D25" s="263"/>
      <c r="E25" s="263"/>
      <c r="F25" s="267"/>
      <c r="G25" s="267"/>
      <c r="H25" s="1"/>
      <c r="I25" s="1"/>
      <c r="J25" s="1"/>
      <c r="K25" s="24" t="str">
        <f>IF(Oct[[#This Row],[Date of Incident]]="","",TEXT(Oct[[#This Row],[Date of Incident]],"ddd"))</f>
        <v/>
      </c>
      <c r="L25" s="1"/>
      <c r="M25" s="24" t="str">
        <f>IFERROR(VLOOKUP(Oct[[#This Row],[Hour]],Shifts[],2,FALSE),"")</f>
        <v/>
      </c>
      <c r="N25" s="1"/>
      <c r="O25" s="24" t="str">
        <f>IFERROR(VLOOKUP(Oct[[#This Row],[BIMS Score]],BIMS[],2,FALSE),"")</f>
        <v/>
      </c>
      <c r="P25" s="3"/>
      <c r="Q25" s="3"/>
      <c r="R25" s="2"/>
      <c r="S25" s="168"/>
      <c r="T25" s="5"/>
      <c r="U25" s="5"/>
      <c r="V25" s="3"/>
    </row>
    <row r="26" spans="1:22" ht="20.85" customHeight="1" x14ac:dyDescent="0.25">
      <c r="A26" s="21"/>
      <c r="B26" s="266"/>
      <c r="C26" s="5"/>
      <c r="D26" s="263"/>
      <c r="E26" s="263"/>
      <c r="F26" s="267"/>
      <c r="G26" s="267"/>
      <c r="H26" s="1"/>
      <c r="I26" s="1"/>
      <c r="J26" s="1"/>
      <c r="K26" s="24" t="str">
        <f>IF(Oct[[#This Row],[Date of Incident]]="","",TEXT(Oct[[#This Row],[Date of Incident]],"ddd"))</f>
        <v/>
      </c>
      <c r="L26" s="1"/>
      <c r="M26" s="24" t="str">
        <f>IFERROR(VLOOKUP(Oct[[#This Row],[Hour]],Shifts[],2,FALSE),"")</f>
        <v/>
      </c>
      <c r="N26" s="1"/>
      <c r="O26" s="24" t="str">
        <f>IFERROR(VLOOKUP(Oct[[#This Row],[BIMS Score]],BIMS[],2,FALSE),"")</f>
        <v/>
      </c>
      <c r="P26" s="3"/>
      <c r="Q26" s="3"/>
      <c r="R26" s="2"/>
      <c r="S26" s="168"/>
      <c r="T26" s="5"/>
      <c r="U26" s="5"/>
      <c r="V26" s="3"/>
    </row>
    <row r="27" spans="1:22" ht="20.85" customHeight="1" x14ac:dyDescent="0.25">
      <c r="A27" s="21"/>
      <c r="B27" s="266"/>
      <c r="C27" s="5"/>
      <c r="D27" s="263"/>
      <c r="E27" s="263"/>
      <c r="F27" s="267"/>
      <c r="G27" s="267"/>
      <c r="H27" s="1"/>
      <c r="I27" s="1"/>
      <c r="J27" s="1"/>
      <c r="K27" s="24" t="str">
        <f>IF(Oct[[#This Row],[Date of Incident]]="","",TEXT(Oct[[#This Row],[Date of Incident]],"ddd"))</f>
        <v/>
      </c>
      <c r="L27" s="1"/>
      <c r="M27" s="24" t="str">
        <f>IFERROR(VLOOKUP(Oct[[#This Row],[Hour]],Shifts[],2,FALSE),"")</f>
        <v/>
      </c>
      <c r="N27" s="1"/>
      <c r="O27" s="24" t="str">
        <f>IFERROR(VLOOKUP(Oct[[#This Row],[BIMS Score]],BIMS[],2,FALSE),"")</f>
        <v/>
      </c>
      <c r="P27" s="3"/>
      <c r="Q27" s="3"/>
      <c r="R27" s="2"/>
      <c r="S27" s="168"/>
      <c r="T27" s="5"/>
      <c r="U27" s="5"/>
      <c r="V27" s="3"/>
    </row>
    <row r="28" spans="1:22" ht="20.85" customHeight="1" x14ac:dyDescent="0.25">
      <c r="A28" s="21"/>
      <c r="B28" s="266"/>
      <c r="C28" s="5"/>
      <c r="D28" s="263"/>
      <c r="E28" s="263"/>
      <c r="F28" s="267"/>
      <c r="G28" s="267"/>
      <c r="H28" s="1"/>
      <c r="I28" s="1"/>
      <c r="J28" s="1"/>
      <c r="K28" s="24" t="str">
        <f>IF(Oct[[#This Row],[Date of Incident]]="","",TEXT(Oct[[#This Row],[Date of Incident]],"ddd"))</f>
        <v/>
      </c>
      <c r="L28" s="1"/>
      <c r="M28" s="24" t="str">
        <f>IFERROR(VLOOKUP(Oct[[#This Row],[Hour]],Shifts[],2,FALSE),"")</f>
        <v/>
      </c>
      <c r="N28" s="1"/>
      <c r="O28" s="24" t="str">
        <f>IFERROR(VLOOKUP(Oct[[#This Row],[BIMS Score]],BIMS[],2,FALSE),"")</f>
        <v/>
      </c>
      <c r="P28" s="3"/>
      <c r="Q28" s="3"/>
      <c r="R28" s="2"/>
      <c r="S28" s="168"/>
      <c r="T28" s="5"/>
      <c r="U28" s="5"/>
      <c r="V28" s="3"/>
    </row>
    <row r="29" spans="1:22" ht="20.85" customHeight="1" x14ac:dyDescent="0.25">
      <c r="B29" s="266"/>
      <c r="C29" s="5"/>
      <c r="D29" s="263"/>
      <c r="E29" s="263"/>
      <c r="F29" s="267"/>
      <c r="G29" s="267"/>
      <c r="H29" s="1"/>
      <c r="I29" s="1"/>
      <c r="J29" s="1"/>
      <c r="K29" s="27" t="str">
        <f>IF(Oct[[#This Row],[Date of Incident]]="","",TEXT(Oct[[#This Row],[Date of Incident]],"ddd"))</f>
        <v/>
      </c>
      <c r="L29" s="1"/>
      <c r="M29" s="27" t="str">
        <f>IFERROR(VLOOKUP(Oct[[#This Row],[Hour]],Shifts[],2,FALSE),"")</f>
        <v/>
      </c>
      <c r="N29" s="2"/>
      <c r="O29" s="24" t="str">
        <f>IFERROR(VLOOKUP(Oct[[#This Row],[BIMS Score]],BIMS[],2,FALSE),"")</f>
        <v/>
      </c>
      <c r="P29" s="3"/>
      <c r="Q29" s="3"/>
      <c r="R29" s="2"/>
      <c r="S29" s="168"/>
      <c r="T29" s="5"/>
      <c r="U29" s="5"/>
      <c r="V29" s="5"/>
    </row>
    <row r="30" spans="1:22" ht="20.85" customHeight="1" x14ac:dyDescent="0.25">
      <c r="B30" s="266"/>
      <c r="C30" s="5"/>
      <c r="D30" s="263"/>
      <c r="E30" s="263"/>
      <c r="F30" s="267"/>
      <c r="G30" s="267"/>
      <c r="H30" s="1"/>
      <c r="I30" s="1"/>
      <c r="J30" s="1"/>
      <c r="K30" s="27" t="str">
        <f>IF(Oct[[#This Row],[Date of Incident]]="","",TEXT(Oct[[#This Row],[Date of Incident]],"ddd"))</f>
        <v/>
      </c>
      <c r="L30" s="1"/>
      <c r="M30" s="27" t="str">
        <f>IFERROR(VLOOKUP(Oct[[#This Row],[Hour]],Shifts[],2,FALSE),"")</f>
        <v/>
      </c>
      <c r="N30" s="2"/>
      <c r="O30" s="24" t="str">
        <f>IFERROR(VLOOKUP(Oct[[#This Row],[BIMS Score]],BIMS[],2,FALSE),"")</f>
        <v/>
      </c>
      <c r="P30" s="3"/>
      <c r="Q30" s="3"/>
      <c r="R30" s="2"/>
      <c r="S30" s="168"/>
      <c r="T30" s="5"/>
      <c r="U30" s="5"/>
      <c r="V30" s="5"/>
    </row>
    <row r="31" spans="1:22" ht="20.85" customHeight="1" x14ac:dyDescent="0.25">
      <c r="B31" s="266"/>
      <c r="C31" s="5"/>
      <c r="D31" s="263"/>
      <c r="E31" s="263"/>
      <c r="F31" s="267"/>
      <c r="G31" s="267"/>
      <c r="H31" s="1"/>
      <c r="I31" s="1"/>
      <c r="J31" s="1"/>
      <c r="K31" s="27" t="str">
        <f>IF(Oct[[#This Row],[Date of Incident]]="","",TEXT(Oct[[#This Row],[Date of Incident]],"ddd"))</f>
        <v/>
      </c>
      <c r="L31" s="1"/>
      <c r="M31" s="27" t="str">
        <f>IFERROR(VLOOKUP(Oct[[#This Row],[Hour]],Shifts[],2,FALSE),"")</f>
        <v/>
      </c>
      <c r="N31" s="2"/>
      <c r="O31" s="24" t="str">
        <f>IFERROR(VLOOKUP(Oct[[#This Row],[BIMS Score]],BIMS[],2,FALSE),"")</f>
        <v/>
      </c>
      <c r="P31" s="3"/>
      <c r="Q31" s="3"/>
      <c r="R31" s="2"/>
      <c r="S31" s="168"/>
      <c r="T31" s="5"/>
      <c r="U31" s="5"/>
      <c r="V31" s="5"/>
    </row>
    <row r="32" spans="1:22" ht="20.85" customHeight="1" x14ac:dyDescent="0.25">
      <c r="B32" s="266"/>
      <c r="C32" s="5"/>
      <c r="D32" s="263"/>
      <c r="E32" s="263"/>
      <c r="F32" s="267"/>
      <c r="G32" s="267"/>
      <c r="H32" s="1"/>
      <c r="I32" s="1"/>
      <c r="J32" s="1"/>
      <c r="K32" s="27" t="str">
        <f>IF(Oct[[#This Row],[Date of Incident]]="","",TEXT(Oct[[#This Row],[Date of Incident]],"ddd"))</f>
        <v/>
      </c>
      <c r="L32" s="1"/>
      <c r="M32" s="27" t="str">
        <f>IFERROR(VLOOKUP(Oct[[#This Row],[Hour]],Shifts[],2,FALSE),"")</f>
        <v/>
      </c>
      <c r="N32" s="2"/>
      <c r="O32" s="24" t="str">
        <f>IFERROR(VLOOKUP(Oct[[#This Row],[BIMS Score]],BIMS[],2,FALSE),"")</f>
        <v/>
      </c>
      <c r="P32" s="3"/>
      <c r="Q32" s="3"/>
      <c r="R32" s="2"/>
      <c r="S32" s="168"/>
      <c r="T32" s="5"/>
      <c r="U32" s="5"/>
      <c r="V32" s="5"/>
    </row>
    <row r="33" spans="2:22" ht="20.85" customHeight="1" x14ac:dyDescent="0.25">
      <c r="B33" s="266"/>
      <c r="C33" s="5"/>
      <c r="D33" s="263"/>
      <c r="E33" s="263"/>
      <c r="F33" s="267"/>
      <c r="G33" s="267"/>
      <c r="H33" s="1"/>
      <c r="I33" s="1"/>
      <c r="J33" s="1"/>
      <c r="K33" s="27" t="str">
        <f>IF(Oct[[#This Row],[Date of Incident]]="","",TEXT(Oct[[#This Row],[Date of Incident]],"ddd"))</f>
        <v/>
      </c>
      <c r="L33" s="1"/>
      <c r="M33" s="27" t="str">
        <f>IFERROR(VLOOKUP(Oct[[#This Row],[Hour]],Shifts[],2,FALSE),"")</f>
        <v/>
      </c>
      <c r="N33" s="2"/>
      <c r="O33" s="24" t="str">
        <f>IFERROR(VLOOKUP(Oct[[#This Row],[BIMS Score]],BIMS[],2,FALSE),"")</f>
        <v/>
      </c>
      <c r="P33" s="3"/>
      <c r="Q33" s="3"/>
      <c r="R33" s="2"/>
      <c r="S33" s="168"/>
      <c r="T33" s="5"/>
      <c r="U33" s="5"/>
      <c r="V33" s="5"/>
    </row>
    <row r="34" spans="2:22" ht="20.85" customHeight="1" x14ac:dyDescent="0.25">
      <c r="B34" s="266"/>
      <c r="C34" s="5"/>
      <c r="D34" s="263"/>
      <c r="E34" s="263"/>
      <c r="F34" s="267"/>
      <c r="G34" s="267"/>
      <c r="H34" s="1"/>
      <c r="I34" s="1"/>
      <c r="J34" s="1"/>
      <c r="K34" s="27" t="str">
        <f>IF(Oct[[#This Row],[Date of Incident]]="","",TEXT(Oct[[#This Row],[Date of Incident]],"ddd"))</f>
        <v/>
      </c>
      <c r="L34" s="1"/>
      <c r="M34" s="27" t="str">
        <f>IFERROR(VLOOKUP(Oct[[#This Row],[Hour]],Shifts[],2,FALSE),"")</f>
        <v/>
      </c>
      <c r="N34" s="2"/>
      <c r="O34" s="24" t="str">
        <f>IFERROR(VLOOKUP(Oct[[#This Row],[BIMS Score]],BIMS[],2,FALSE),"")</f>
        <v/>
      </c>
      <c r="P34" s="3"/>
      <c r="Q34" s="3"/>
      <c r="R34" s="2"/>
      <c r="S34" s="168"/>
      <c r="T34" s="5"/>
      <c r="U34" s="5"/>
      <c r="V34" s="5"/>
    </row>
    <row r="35" spans="2:22" ht="20.85" customHeight="1" x14ac:dyDescent="0.25">
      <c r="B35" s="266"/>
      <c r="C35" s="5"/>
      <c r="D35" s="263"/>
      <c r="E35" s="263"/>
      <c r="F35" s="267"/>
      <c r="G35" s="267"/>
      <c r="H35" s="1"/>
      <c r="I35" s="1"/>
      <c r="J35" s="1"/>
      <c r="K35" s="27" t="str">
        <f>IF(Oct[[#This Row],[Date of Incident]]="","",TEXT(Oct[[#This Row],[Date of Incident]],"ddd"))</f>
        <v/>
      </c>
      <c r="L35" s="1"/>
      <c r="M35" s="27" t="str">
        <f>IFERROR(VLOOKUP(Oct[[#This Row],[Hour]],Shifts[],2,FALSE),"")</f>
        <v/>
      </c>
      <c r="N35" s="2"/>
      <c r="O35" s="24" t="str">
        <f>IFERROR(VLOOKUP(Oct[[#This Row],[BIMS Score]],BIMS[],2,FALSE),"")</f>
        <v/>
      </c>
      <c r="P35" s="3"/>
      <c r="Q35" s="3"/>
      <c r="R35" s="2"/>
      <c r="S35" s="168"/>
      <c r="T35" s="5"/>
      <c r="U35" s="5"/>
      <c r="V35" s="5"/>
    </row>
    <row r="36" spans="2:22" ht="20.85" customHeight="1" x14ac:dyDescent="0.25">
      <c r="B36" s="266"/>
      <c r="C36" s="5"/>
      <c r="D36" s="263"/>
      <c r="E36" s="263"/>
      <c r="F36" s="267"/>
      <c r="G36" s="267"/>
      <c r="H36" s="1"/>
      <c r="I36" s="1"/>
      <c r="J36" s="1"/>
      <c r="K36" s="27" t="str">
        <f>IF(Oct[[#This Row],[Date of Incident]]="","",TEXT(Oct[[#This Row],[Date of Incident]],"ddd"))</f>
        <v/>
      </c>
      <c r="L36" s="1"/>
      <c r="M36" s="27" t="str">
        <f>IFERROR(VLOOKUP(Oct[[#This Row],[Hour]],Shifts[],2,FALSE),"")</f>
        <v/>
      </c>
      <c r="N36" s="2"/>
      <c r="O36" s="24" t="str">
        <f>IFERROR(VLOOKUP(Oct[[#This Row],[BIMS Score]],BIMS[],2,FALSE),"")</f>
        <v/>
      </c>
      <c r="P36" s="3"/>
      <c r="Q36" s="3"/>
      <c r="R36" s="2"/>
      <c r="S36" s="168"/>
      <c r="T36" s="5"/>
      <c r="U36" s="5"/>
      <c r="V36" s="5"/>
    </row>
    <row r="37" spans="2:22" ht="20.85" customHeight="1" x14ac:dyDescent="0.25">
      <c r="B37" s="266"/>
      <c r="C37" s="5"/>
      <c r="D37" s="263"/>
      <c r="E37" s="263"/>
      <c r="F37" s="267"/>
      <c r="G37" s="267"/>
      <c r="H37" s="1"/>
      <c r="I37" s="1"/>
      <c r="J37" s="1"/>
      <c r="K37" s="27" t="str">
        <f>IF(Oct[[#This Row],[Date of Incident]]="","",TEXT(Oct[[#This Row],[Date of Incident]],"ddd"))</f>
        <v/>
      </c>
      <c r="L37" s="1"/>
      <c r="M37" s="27" t="str">
        <f>IFERROR(VLOOKUP(Oct[[#This Row],[Hour]],Shifts[],2,FALSE),"")</f>
        <v/>
      </c>
      <c r="N37" s="2"/>
      <c r="O37" s="24" t="str">
        <f>IFERROR(VLOOKUP(Oct[[#This Row],[BIMS Score]],BIMS[],2,FALSE),"")</f>
        <v/>
      </c>
      <c r="P37" s="3"/>
      <c r="Q37" s="3"/>
      <c r="R37" s="2"/>
      <c r="S37" s="168"/>
      <c r="T37" s="5"/>
      <c r="U37" s="5"/>
      <c r="V37" s="5"/>
    </row>
    <row r="38" spans="2:22" ht="20.85" customHeight="1" x14ac:dyDescent="0.25">
      <c r="B38" s="266"/>
      <c r="C38" s="5"/>
      <c r="D38" s="263"/>
      <c r="E38" s="263"/>
      <c r="F38" s="267"/>
      <c r="G38" s="267"/>
      <c r="H38" s="1"/>
      <c r="I38" s="1"/>
      <c r="J38" s="1"/>
      <c r="K38" s="27" t="str">
        <f>IF(Oct[[#This Row],[Date of Incident]]="","",TEXT(Oct[[#This Row],[Date of Incident]],"ddd"))</f>
        <v/>
      </c>
      <c r="L38" s="1"/>
      <c r="M38" s="27" t="str">
        <f>IFERROR(VLOOKUP(Oct[[#This Row],[Hour]],Shifts[],2,FALSE),"")</f>
        <v/>
      </c>
      <c r="N38" s="2"/>
      <c r="O38" s="24" t="str">
        <f>IFERROR(VLOOKUP(Oct[[#This Row],[BIMS Score]],BIMS[],2,FALSE),"")</f>
        <v/>
      </c>
      <c r="P38" s="3"/>
      <c r="Q38" s="3"/>
      <c r="R38" s="2"/>
      <c r="S38" s="168"/>
      <c r="T38" s="5"/>
      <c r="U38" s="5"/>
      <c r="V38" s="5"/>
    </row>
    <row r="39" spans="2:22" ht="20.85" customHeight="1" x14ac:dyDescent="0.25">
      <c r="B39" s="266"/>
      <c r="C39" s="5"/>
      <c r="D39" s="263"/>
      <c r="E39" s="263"/>
      <c r="F39" s="267"/>
      <c r="G39" s="267"/>
      <c r="H39" s="1"/>
      <c r="I39" s="1"/>
      <c r="J39" s="1"/>
      <c r="K39" s="27" t="str">
        <f>IF(Oct[[#This Row],[Date of Incident]]="","",TEXT(Oct[[#This Row],[Date of Incident]],"ddd"))</f>
        <v/>
      </c>
      <c r="L39" s="1"/>
      <c r="M39" s="27" t="str">
        <f>IFERROR(VLOOKUP(Oct[[#This Row],[Hour]],Shifts[],2,FALSE),"")</f>
        <v/>
      </c>
      <c r="N39" s="2"/>
      <c r="O39" s="24" t="str">
        <f>IFERROR(VLOOKUP(Oct[[#This Row],[BIMS Score]],BIMS[],2,FALSE),"")</f>
        <v/>
      </c>
      <c r="P39" s="3"/>
      <c r="Q39" s="3"/>
      <c r="R39" s="2"/>
      <c r="S39" s="168"/>
      <c r="T39" s="5"/>
      <c r="U39" s="5"/>
      <c r="V39" s="5"/>
    </row>
    <row r="40" spans="2:22" ht="20.85" customHeight="1" x14ac:dyDescent="0.25">
      <c r="B40" s="266"/>
      <c r="C40" s="5"/>
      <c r="D40" s="263"/>
      <c r="E40" s="263"/>
      <c r="F40" s="267"/>
      <c r="G40" s="267"/>
      <c r="H40" s="1"/>
      <c r="I40" s="1"/>
      <c r="J40" s="1"/>
      <c r="K40" s="27" t="str">
        <f>IF(Oct[[#This Row],[Date of Incident]]="","",TEXT(Oct[[#This Row],[Date of Incident]],"ddd"))</f>
        <v/>
      </c>
      <c r="L40" s="1"/>
      <c r="M40" s="27" t="str">
        <f>IFERROR(VLOOKUP(Oct[[#This Row],[Hour]],Shifts[],2,FALSE),"")</f>
        <v/>
      </c>
      <c r="N40" s="2"/>
      <c r="O40" s="24" t="str">
        <f>IFERROR(VLOOKUP(Oct[[#This Row],[BIMS Score]],BIMS[],2,FALSE),"")</f>
        <v/>
      </c>
      <c r="P40" s="3"/>
      <c r="Q40" s="3"/>
      <c r="R40" s="2"/>
      <c r="S40" s="168"/>
      <c r="T40" s="5"/>
      <c r="U40" s="5"/>
      <c r="V40" s="5"/>
    </row>
    <row r="41" spans="2:22" x14ac:dyDescent="0.25">
      <c r="B41" s="26"/>
      <c r="C41" s="21"/>
      <c r="D41" s="22"/>
      <c r="E41" s="23"/>
      <c r="F41" s="26"/>
      <c r="G41" s="26"/>
      <c r="H41" s="26"/>
      <c r="I41" s="26"/>
      <c r="J41" s="26"/>
      <c r="K41" s="26"/>
      <c r="L41" s="26"/>
      <c r="M41" s="26"/>
      <c r="N41" s="20"/>
      <c r="O41" s="25"/>
      <c r="P41" s="21"/>
      <c r="Q41" s="21"/>
      <c r="R41" s="25"/>
    </row>
    <row r="42" spans="2:22" x14ac:dyDescent="0.25">
      <c r="B42" s="26"/>
      <c r="C42" s="21"/>
      <c r="D42" s="22"/>
      <c r="E42" s="23"/>
      <c r="F42" s="26"/>
      <c r="G42" s="26"/>
      <c r="H42" s="26"/>
      <c r="I42" s="26"/>
      <c r="J42" s="26"/>
      <c r="K42" s="26"/>
      <c r="L42" s="26"/>
      <c r="M42" s="26"/>
      <c r="N42" s="20"/>
      <c r="O42" s="25"/>
      <c r="P42" s="21"/>
      <c r="Q42" s="21"/>
      <c r="R42" s="25"/>
    </row>
    <row r="43" spans="2:22" x14ac:dyDescent="0.25">
      <c r="B43" s="26"/>
      <c r="C43" s="21"/>
      <c r="D43" s="22"/>
      <c r="E43" s="23"/>
      <c r="F43" s="26"/>
      <c r="G43" s="26"/>
      <c r="H43" s="26"/>
      <c r="I43" s="26"/>
      <c r="J43" s="26"/>
      <c r="K43" s="26"/>
      <c r="L43" s="26"/>
      <c r="M43" s="26"/>
      <c r="N43" s="20"/>
      <c r="O43" s="25"/>
      <c r="P43" s="21"/>
      <c r="Q43" s="21"/>
      <c r="R43" s="25"/>
    </row>
    <row r="44" spans="2:22" x14ac:dyDescent="0.25">
      <c r="B44" s="26"/>
      <c r="C44" s="21"/>
      <c r="D44" s="22"/>
      <c r="E44" s="23"/>
      <c r="F44" s="26"/>
      <c r="G44" s="26"/>
      <c r="H44" s="26"/>
      <c r="I44" s="26"/>
      <c r="J44" s="26"/>
      <c r="K44" s="26"/>
      <c r="L44" s="26"/>
      <c r="M44" s="26"/>
      <c r="N44" s="20"/>
      <c r="O44" s="25"/>
      <c r="P44" s="21"/>
      <c r="Q44" s="21"/>
      <c r="R44" s="25"/>
    </row>
    <row r="45" spans="2:22" x14ac:dyDescent="0.25">
      <c r="B45" s="26"/>
      <c r="C45" s="21"/>
      <c r="D45" s="22"/>
      <c r="E45" s="23"/>
      <c r="F45" s="26"/>
      <c r="G45" s="26"/>
      <c r="H45" s="26"/>
      <c r="I45" s="26"/>
      <c r="J45" s="26"/>
      <c r="K45" s="26"/>
      <c r="L45" s="26"/>
      <c r="M45" s="26"/>
      <c r="N45" s="20"/>
      <c r="O45" s="25"/>
      <c r="P45" s="21"/>
      <c r="Q45" s="21"/>
      <c r="R45" s="25"/>
    </row>
    <row r="46" spans="2:22" x14ac:dyDescent="0.25">
      <c r="B46" s="26"/>
      <c r="C46" s="21"/>
      <c r="D46" s="22"/>
      <c r="E46" s="23"/>
      <c r="F46" s="26"/>
      <c r="G46" s="26"/>
      <c r="H46" s="26"/>
      <c r="I46" s="26"/>
      <c r="J46" s="26"/>
      <c r="K46" s="26"/>
      <c r="L46" s="26"/>
      <c r="M46" s="26"/>
      <c r="N46" s="20"/>
      <c r="O46" s="25"/>
      <c r="P46" s="21"/>
      <c r="Q46" s="21"/>
      <c r="R46" s="25"/>
    </row>
    <row r="47" spans="2:22" x14ac:dyDescent="0.25">
      <c r="B47" s="26"/>
      <c r="C47" s="21"/>
      <c r="D47" s="22"/>
      <c r="E47" s="23"/>
      <c r="F47" s="26"/>
      <c r="G47" s="26"/>
      <c r="H47" s="26"/>
      <c r="I47" s="26"/>
      <c r="J47" s="26"/>
      <c r="K47" s="26"/>
      <c r="L47" s="26"/>
      <c r="M47" s="26"/>
      <c r="N47" s="20"/>
      <c r="O47" s="25"/>
      <c r="P47" s="21"/>
      <c r="Q47" s="21"/>
      <c r="R47" s="25"/>
    </row>
    <row r="48" spans="2:22" x14ac:dyDescent="0.25">
      <c r="B48" s="26"/>
      <c r="C48" s="21"/>
      <c r="D48" s="22"/>
      <c r="E48" s="23"/>
      <c r="F48" s="26"/>
      <c r="G48" s="26"/>
      <c r="H48" s="26"/>
      <c r="I48" s="26"/>
      <c r="J48" s="26"/>
      <c r="K48" s="26"/>
      <c r="L48" s="26"/>
      <c r="M48" s="26"/>
      <c r="N48" s="20"/>
      <c r="O48" s="25"/>
      <c r="P48" s="21"/>
      <c r="Q48" s="21"/>
      <c r="R48" s="25"/>
    </row>
    <row r="49" spans="1:18" x14ac:dyDescent="0.25">
      <c r="B49" s="26"/>
      <c r="C49" s="21"/>
      <c r="D49" s="22"/>
      <c r="E49" s="23"/>
      <c r="F49" s="26"/>
      <c r="G49" s="26"/>
      <c r="H49" s="26"/>
      <c r="I49" s="26"/>
      <c r="J49" s="26"/>
      <c r="K49" s="26"/>
      <c r="L49" s="26"/>
      <c r="M49" s="26"/>
      <c r="N49" s="20"/>
      <c r="O49" s="25"/>
      <c r="P49" s="21"/>
      <c r="Q49" s="21"/>
      <c r="R49" s="25"/>
    </row>
    <row r="50" spans="1:18" ht="15.75" thickBot="1" x14ac:dyDescent="0.3">
      <c r="B50" s="26"/>
      <c r="C50" s="21"/>
      <c r="D50" s="22"/>
      <c r="E50" s="23"/>
      <c r="F50" s="26"/>
      <c r="G50" s="26"/>
      <c r="H50" s="26"/>
      <c r="I50" s="26"/>
      <c r="Q50" s="21"/>
    </row>
    <row r="51" spans="1:18" ht="22.35" customHeight="1" thickBot="1" x14ac:dyDescent="0.3">
      <c r="B51" s="282" t="s">
        <v>85</v>
      </c>
      <c r="C51" s="283"/>
      <c r="D51" s="284"/>
      <c r="F51" s="282" t="s">
        <v>100</v>
      </c>
      <c r="G51" s="283"/>
      <c r="H51" s="284"/>
    </row>
    <row r="52" spans="1:18" ht="15.6" customHeight="1" x14ac:dyDescent="0.25">
      <c r="B52" s="285" t="s">
        <v>83</v>
      </c>
      <c r="C52" s="286"/>
      <c r="D52" s="28" t="s">
        <v>35</v>
      </c>
      <c r="F52" s="285" t="s">
        <v>83</v>
      </c>
      <c r="G52" s="286"/>
      <c r="H52" s="28" t="s">
        <v>35</v>
      </c>
    </row>
    <row r="53" spans="1:18" x14ac:dyDescent="0.25">
      <c r="B53" s="29" t="s">
        <v>41</v>
      </c>
      <c r="C53" s="30"/>
      <c r="D53" s="31">
        <f>COUNTIFS(Oct[Witnessed
Fall?],$B53)</f>
        <v>0</v>
      </c>
      <c r="F53" s="29" t="s">
        <v>79</v>
      </c>
      <c r="G53" s="30"/>
      <c r="H53" s="31">
        <f>COUNTIFS(Oct[Fall Circumstances],$F53)</f>
        <v>0</v>
      </c>
    </row>
    <row r="54" spans="1:18" ht="15.75" thickBot="1" x14ac:dyDescent="0.3">
      <c r="B54" s="32" t="s">
        <v>42</v>
      </c>
      <c r="C54" s="33"/>
      <c r="D54" s="34">
        <f>COUNTIFS(Oct[Witnessed
Fall?],$B54)</f>
        <v>0</v>
      </c>
      <c r="F54" s="29" t="s">
        <v>101</v>
      </c>
      <c r="G54" s="30"/>
      <c r="H54" s="31">
        <f>COUNTIFS(Oct[Fall Circumstances],$F54)</f>
        <v>0</v>
      </c>
    </row>
    <row r="55" spans="1:18" ht="15.6" customHeight="1" thickBot="1" x14ac:dyDescent="0.3">
      <c r="B55" s="287" t="s">
        <v>16</v>
      </c>
      <c r="C55" s="288"/>
      <c r="D55" s="35">
        <f>SUM(D53:D54)</f>
        <v>0</v>
      </c>
      <c r="F55" s="32" t="s">
        <v>102</v>
      </c>
      <c r="G55" s="33"/>
      <c r="H55" s="36">
        <f>COUNTIFS(Oct[Fall Circumstances],$F55)</f>
        <v>0</v>
      </c>
    </row>
    <row r="56" spans="1:18" ht="15.6" customHeight="1" thickBot="1" x14ac:dyDescent="0.3">
      <c r="A56" s="26"/>
      <c r="B56" s="21"/>
      <c r="C56" s="22"/>
      <c r="D56" s="26"/>
      <c r="F56" s="287" t="s">
        <v>16</v>
      </c>
      <c r="G56" s="288"/>
      <c r="H56" s="37">
        <f>SUM(H53:H55)</f>
        <v>0</v>
      </c>
    </row>
    <row r="57" spans="1:18" ht="15.75" thickBot="1" x14ac:dyDescent="0.3">
      <c r="A57" s="26"/>
      <c r="B57" s="21"/>
      <c r="C57" s="22"/>
      <c r="D57" s="26"/>
      <c r="F57" s="26"/>
      <c r="G57" s="21"/>
      <c r="H57" s="22"/>
      <c r="L57" s="21"/>
      <c r="O57" s="22"/>
    </row>
    <row r="58" spans="1:18" ht="15.75" thickBot="1" x14ac:dyDescent="0.3">
      <c r="A58" s="26"/>
      <c r="B58" s="21"/>
      <c r="C58" s="22"/>
      <c r="D58" s="26"/>
      <c r="F58" s="282" t="s">
        <v>103</v>
      </c>
      <c r="G58" s="283"/>
      <c r="H58" s="284"/>
      <c r="L58" s="21"/>
      <c r="O58" s="22"/>
    </row>
    <row r="59" spans="1:18" x14ac:dyDescent="0.25">
      <c r="A59" s="26"/>
      <c r="B59" s="21"/>
      <c r="C59" s="22"/>
      <c r="D59" s="26"/>
      <c r="F59" s="285" t="s">
        <v>26</v>
      </c>
      <c r="G59" s="286"/>
      <c r="H59" s="28" t="s">
        <v>35</v>
      </c>
      <c r="L59" s="21"/>
      <c r="O59" s="22"/>
    </row>
    <row r="60" spans="1:18" ht="15.6" customHeight="1" x14ac:dyDescent="0.25">
      <c r="F60" s="29" t="s">
        <v>142</v>
      </c>
      <c r="G60" s="30"/>
      <c r="H60" s="31">
        <f>COUNTIFS(Oct[Cognitive Impairment],$F60)</f>
        <v>0</v>
      </c>
    </row>
    <row r="61" spans="1:18" x14ac:dyDescent="0.25">
      <c r="F61" s="29" t="s">
        <v>143</v>
      </c>
      <c r="G61" s="30"/>
      <c r="H61" s="31">
        <f>COUNTIFS(Oct[Cognitive Impairment],$F61)</f>
        <v>0</v>
      </c>
    </row>
    <row r="62" spans="1:18" ht="15.75" thickBot="1" x14ac:dyDescent="0.3">
      <c r="F62" s="32" t="s">
        <v>144</v>
      </c>
      <c r="G62" s="33"/>
      <c r="H62" s="31">
        <f>COUNTIFS(Oct[Cognitive Impairment],$F62)</f>
        <v>0</v>
      </c>
    </row>
    <row r="63" spans="1:18" ht="15.75" thickBot="1" x14ac:dyDescent="0.3">
      <c r="F63" s="287" t="s">
        <v>16</v>
      </c>
      <c r="G63" s="288"/>
      <c r="H63" s="37">
        <f>SUM(H60:H62)</f>
        <v>0</v>
      </c>
    </row>
    <row r="64" spans="1:18" ht="15.75" thickBot="1" x14ac:dyDescent="0.3"/>
    <row r="65" spans="1:8" ht="21.4" customHeight="1" thickBot="1" x14ac:dyDescent="0.3">
      <c r="B65" s="282" t="s">
        <v>78</v>
      </c>
      <c r="C65" s="283"/>
      <c r="D65" s="283"/>
      <c r="E65" s="283"/>
      <c r="F65" s="283"/>
      <c r="G65" s="284"/>
    </row>
    <row r="66" spans="1:8" ht="15.6" customHeight="1" x14ac:dyDescent="0.25">
      <c r="A66" s="38"/>
      <c r="B66" s="290" t="s">
        <v>86</v>
      </c>
      <c r="C66" s="291"/>
      <c r="D66" s="291"/>
      <c r="E66" s="291"/>
      <c r="F66" s="292"/>
      <c r="G66" s="28" t="s">
        <v>35</v>
      </c>
    </row>
    <row r="67" spans="1:8" x14ac:dyDescent="0.25">
      <c r="A67" s="38"/>
      <c r="B67" s="39" t="str" cm="1">
        <f t="array" ref="B67:B90">IF(_xlfn._xlws.SORT(PriortoFall[What was the resident doing prior to fall?],1,1,TRUE)=0,"",(_xlfn._xlws.SORT(PriortoFall[What was the resident doing prior to fall?],1,1,TRUE)))</f>
        <v>Ambulating with assistive device (walker, cane, wheelchair)</v>
      </c>
      <c r="C67" s="40"/>
      <c r="D67" s="40"/>
      <c r="E67" s="40"/>
      <c r="F67" s="41"/>
      <c r="G67" s="42">
        <f>IF($B67="",NA(),COUNTIFS(Oct[What was resident doing prior to fall?],$B67))</f>
        <v>0</v>
      </c>
      <c r="H67" s="43"/>
    </row>
    <row r="68" spans="1:8" x14ac:dyDescent="0.25">
      <c r="A68" s="38"/>
      <c r="B68" s="44" t="str">
        <v>Ambulating with staff assistance</v>
      </c>
      <c r="C68" s="45"/>
      <c r="D68" s="45"/>
      <c r="E68" s="45"/>
      <c r="F68" s="46"/>
      <c r="G68" s="42">
        <f>IF($B68="",NA(),COUNTIFS(Oct[What was resident doing prior to fall?],$B68))</f>
        <v>0</v>
      </c>
    </row>
    <row r="69" spans="1:8" x14ac:dyDescent="0.25">
      <c r="A69" s="38"/>
      <c r="B69" s="39" t="str">
        <v>Ambulating without assistance or assistive device</v>
      </c>
      <c r="C69" s="40"/>
      <c r="D69" s="40"/>
      <c r="E69" s="40"/>
      <c r="F69" s="41"/>
      <c r="G69" s="42">
        <f>IF($B69="",NA(),COUNTIFS(Oct[What was resident doing prior to fall?],$B69))</f>
        <v>0</v>
      </c>
    </row>
    <row r="70" spans="1:8" x14ac:dyDescent="0.25">
      <c r="A70" s="38"/>
      <c r="B70" s="44" t="str">
        <v>Changing position (e.g., in bed, chair)</v>
      </c>
      <c r="C70" s="45"/>
      <c r="D70" s="45"/>
      <c r="E70" s="45"/>
      <c r="F70" s="46"/>
      <c r="G70" s="42">
        <f>IF($B70="",NA(),COUNTIFS(Oct[What was resident doing prior to fall?],$B70))</f>
        <v>0</v>
      </c>
    </row>
    <row r="71" spans="1:8" x14ac:dyDescent="0.25">
      <c r="A71" s="38"/>
      <c r="B71" s="44" t="str">
        <v>Dressing or undressing</v>
      </c>
      <c r="C71" s="45"/>
      <c r="D71" s="45"/>
      <c r="E71" s="45"/>
      <c r="F71" s="46"/>
      <c r="G71" s="42">
        <f>IF($B71="",NA(),COUNTIFS(Oct[What was resident doing prior to fall?],$B71))</f>
        <v>0</v>
      </c>
    </row>
    <row r="72" spans="1:8" x14ac:dyDescent="0.25">
      <c r="A72" s="38"/>
      <c r="B72" s="44" t="str">
        <v>Other activity</v>
      </c>
      <c r="C72" s="45"/>
      <c r="D72" s="45"/>
      <c r="E72" s="45"/>
      <c r="F72" s="46"/>
      <c r="G72" s="42">
        <f>IF($B72="",NA(),COUNTIFS(Oct[What was resident doing prior to fall?],$B72))</f>
        <v>0</v>
      </c>
    </row>
    <row r="73" spans="1:8" x14ac:dyDescent="0.25">
      <c r="A73" s="38"/>
      <c r="B73" s="44" t="str">
        <v>Reaching for an item</v>
      </c>
      <c r="C73" s="45"/>
      <c r="D73" s="45"/>
      <c r="E73" s="45"/>
      <c r="F73" s="46"/>
      <c r="G73" s="42">
        <f>IF($B73="",NA(),COUNTIFS(Oct[What was resident doing prior to fall?],$B73))</f>
        <v>0</v>
      </c>
    </row>
    <row r="74" spans="1:8" x14ac:dyDescent="0.25">
      <c r="A74" s="38"/>
      <c r="B74" s="44" t="str">
        <v>Showering or bathing</v>
      </c>
      <c r="C74" s="45"/>
      <c r="D74" s="45"/>
      <c r="E74" s="45"/>
      <c r="F74" s="46"/>
      <c r="G74" s="42">
        <f>IF($B74="",NA(),COUNTIFS(Oct[What was resident doing prior to fall?],$B74))</f>
        <v>0</v>
      </c>
    </row>
    <row r="75" spans="1:8" x14ac:dyDescent="0.25">
      <c r="A75" s="38"/>
      <c r="B75" s="44" t="str">
        <v>Toileting</v>
      </c>
      <c r="C75" s="45"/>
      <c r="D75" s="45"/>
      <c r="E75" s="45"/>
      <c r="F75" s="46"/>
      <c r="G75" s="42">
        <f>IF($B75="",NA(),COUNTIFS(Oct[What was resident doing prior to fall?],$B75))</f>
        <v>0</v>
      </c>
    </row>
    <row r="76" spans="1:8" x14ac:dyDescent="0.25">
      <c r="A76" s="38"/>
      <c r="B76" s="44" t="str">
        <v>Transferring to or from bed, chair, wheelchair, etc.</v>
      </c>
      <c r="C76" s="45"/>
      <c r="D76" s="45"/>
      <c r="E76" s="45"/>
      <c r="F76" s="46"/>
      <c r="G76" s="42">
        <f>IF($B76="",NA(),COUNTIFS(Oct[What was resident doing prior to fall?],$B76))</f>
        <v>0</v>
      </c>
    </row>
    <row r="77" spans="1:8" x14ac:dyDescent="0.25">
      <c r="A77" s="38"/>
      <c r="B77" s="39" t="str">
        <v>Unknown</v>
      </c>
      <c r="C77" s="40"/>
      <c r="D77" s="40"/>
      <c r="E77" s="40"/>
      <c r="F77" s="41"/>
      <c r="G77" s="42">
        <f>IF($B77="",NA(),COUNTIFS(Oct[What was resident doing prior to fall?],$B77))</f>
        <v>0</v>
      </c>
    </row>
    <row r="78" spans="1:8" x14ac:dyDescent="0.25">
      <c r="A78" s="38"/>
      <c r="B78" s="44" t="str">
        <v/>
      </c>
      <c r="C78" s="45"/>
      <c r="D78" s="45"/>
      <c r="E78" s="45"/>
      <c r="F78" s="46"/>
      <c r="G78" s="42" t="e">
        <f>IF($B78="",NA(),COUNTIFS(Oct[What was resident doing prior to fall?],$B78))</f>
        <v>#N/A</v>
      </c>
    </row>
    <row r="79" spans="1:8" x14ac:dyDescent="0.25">
      <c r="A79" s="38"/>
      <c r="B79" s="39" t="str">
        <v/>
      </c>
      <c r="C79" s="40"/>
      <c r="D79" s="40"/>
      <c r="E79" s="40"/>
      <c r="F79" s="41"/>
      <c r="G79" s="42" t="e">
        <f>IF($B79="",NA(),COUNTIFS(Oct[What was resident doing prior to fall?],$B79))</f>
        <v>#N/A</v>
      </c>
    </row>
    <row r="80" spans="1:8" x14ac:dyDescent="0.25">
      <c r="A80" s="38"/>
      <c r="B80" s="44" t="str">
        <v/>
      </c>
      <c r="C80" s="45"/>
      <c r="D80" s="45"/>
      <c r="E80" s="45"/>
      <c r="F80" s="46"/>
      <c r="G80" s="42" t="e">
        <f>IF($B80="",NA(),COUNTIFS(Oct[What was resident doing prior to fall?],$B80))</f>
        <v>#N/A</v>
      </c>
    </row>
    <row r="81" spans="1:7" x14ac:dyDescent="0.25">
      <c r="A81" s="38"/>
      <c r="B81" s="39" t="str">
        <v/>
      </c>
      <c r="C81" s="40"/>
      <c r="D81" s="40"/>
      <c r="E81" s="40"/>
      <c r="F81" s="41"/>
      <c r="G81" s="42" t="e">
        <f>IF($B81="",NA(),COUNTIFS(Oct[What was resident doing prior to fall?],$B81))</f>
        <v>#N/A</v>
      </c>
    </row>
    <row r="82" spans="1:7" x14ac:dyDescent="0.25">
      <c r="A82" s="38"/>
      <c r="B82" s="44" t="str">
        <v/>
      </c>
      <c r="C82" s="45"/>
      <c r="D82" s="45"/>
      <c r="E82" s="45"/>
      <c r="F82" s="46"/>
      <c r="G82" s="42" t="e">
        <f>IF($B82="",NA(),COUNTIFS(Oct[What was resident doing prior to fall?],$B82))</f>
        <v>#N/A</v>
      </c>
    </row>
    <row r="83" spans="1:7" x14ac:dyDescent="0.25">
      <c r="A83" s="38"/>
      <c r="B83" s="39" t="str">
        <v/>
      </c>
      <c r="C83" s="40"/>
      <c r="D83" s="40"/>
      <c r="E83" s="40"/>
      <c r="F83" s="41"/>
      <c r="G83" s="42" t="e">
        <f>IF($B83="",NA(),COUNTIFS(Oct[What was resident doing prior to fall?],$B83))</f>
        <v>#N/A</v>
      </c>
    </row>
    <row r="84" spans="1:7" x14ac:dyDescent="0.25">
      <c r="A84" s="38"/>
      <c r="B84" s="44" t="str">
        <v/>
      </c>
      <c r="C84" s="45"/>
      <c r="D84" s="45"/>
      <c r="E84" s="45"/>
      <c r="F84" s="46"/>
      <c r="G84" s="42" t="e">
        <f>IF($B84="",NA(),COUNTIFS(Oct[What was resident doing prior to fall?],$B84))</f>
        <v>#N/A</v>
      </c>
    </row>
    <row r="85" spans="1:7" x14ac:dyDescent="0.25">
      <c r="A85" s="38"/>
      <c r="B85" s="44" t="str">
        <v/>
      </c>
      <c r="C85" s="45"/>
      <c r="D85" s="45"/>
      <c r="E85" s="45"/>
      <c r="F85" s="46"/>
      <c r="G85" s="42" t="e">
        <f>IF($B85="",NA(),COUNTIFS(Oct[What was resident doing prior to fall?],$B85))</f>
        <v>#N/A</v>
      </c>
    </row>
    <row r="86" spans="1:7" x14ac:dyDescent="0.25">
      <c r="A86" s="38"/>
      <c r="B86" s="39" t="str">
        <v/>
      </c>
      <c r="C86" s="40"/>
      <c r="D86" s="40"/>
      <c r="E86" s="40"/>
      <c r="F86" s="41"/>
      <c r="G86" s="42" t="e">
        <f>IF($B86="",NA(),COUNTIFS(Oct[What was resident doing prior to fall?],$B86))</f>
        <v>#N/A</v>
      </c>
    </row>
    <row r="87" spans="1:7" x14ac:dyDescent="0.25">
      <c r="A87" s="38"/>
      <c r="B87" s="44" t="str">
        <v/>
      </c>
      <c r="C87" s="45"/>
      <c r="D87" s="45"/>
      <c r="E87" s="45"/>
      <c r="F87" s="46"/>
      <c r="G87" s="42" t="e">
        <f>IF($B87="",NA(),COUNTIFS(Oct[What was resident doing prior to fall?],$B87))</f>
        <v>#N/A</v>
      </c>
    </row>
    <row r="88" spans="1:7" x14ac:dyDescent="0.25">
      <c r="A88" s="38"/>
      <c r="B88" s="39" t="str">
        <v/>
      </c>
      <c r="C88" s="40"/>
      <c r="D88" s="40"/>
      <c r="E88" s="40"/>
      <c r="F88" s="41"/>
      <c r="G88" s="42" t="e">
        <f>IF($B88="",NA(),COUNTIFS(Oct[What was resident doing prior to fall?],$B88))</f>
        <v>#N/A</v>
      </c>
    </row>
    <row r="89" spans="1:7" x14ac:dyDescent="0.25">
      <c r="A89" s="38"/>
      <c r="B89" s="44" t="str">
        <v/>
      </c>
      <c r="C89" s="45"/>
      <c r="D89" s="45"/>
      <c r="E89" s="45"/>
      <c r="F89" s="46"/>
      <c r="G89" s="42" t="e">
        <f>IF($B89="",NA(),COUNTIFS(Oct[What was resident doing prior to fall?],$B89))</f>
        <v>#N/A</v>
      </c>
    </row>
    <row r="90" spans="1:7" ht="15.75" thickBot="1" x14ac:dyDescent="0.3">
      <c r="A90" s="38"/>
      <c r="B90" s="47" t="str">
        <v/>
      </c>
      <c r="C90" s="47"/>
      <c r="D90" s="47"/>
      <c r="E90" s="47"/>
      <c r="F90" s="48"/>
      <c r="G90" s="42" t="e">
        <f>IF($B90="",NA(),COUNTIFS(Oct[What was resident doing prior to fall?],$B90))</f>
        <v>#N/A</v>
      </c>
    </row>
    <row r="91" spans="1:7" ht="15.6" customHeight="1" thickBot="1" x14ac:dyDescent="0.3">
      <c r="B91" s="287" t="s">
        <v>35</v>
      </c>
      <c r="C91" s="288"/>
      <c r="D91" s="288"/>
      <c r="E91" s="288"/>
      <c r="F91" s="289"/>
      <c r="G91" s="37">
        <f>_xlfn.AGGREGATE(9,6,G67:G90)</f>
        <v>0</v>
      </c>
    </row>
    <row r="92" spans="1:7" ht="15.75" thickBot="1" x14ac:dyDescent="0.3"/>
    <row r="93" spans="1:7" ht="22.35" customHeight="1" thickBot="1" x14ac:dyDescent="0.3">
      <c r="B93" s="295" t="s">
        <v>173</v>
      </c>
      <c r="C93" s="296"/>
      <c r="D93" s="297"/>
    </row>
    <row r="94" spans="1:7" x14ac:dyDescent="0.25">
      <c r="A94" s="38"/>
      <c r="B94" s="300" t="s">
        <v>1</v>
      </c>
      <c r="C94" s="301"/>
      <c r="D94" s="49" t="s">
        <v>35</v>
      </c>
    </row>
    <row r="95" spans="1:7" x14ac:dyDescent="0.25">
      <c r="A95" s="38"/>
      <c r="B95" s="50" t="str" cm="1">
        <f t="array" ref="B95:B105">IF(_xlfn._xlws.SORT(Location[Location],1,1,TRUE)=0,"",(_xlfn._xlws.SORT(Location[Location],1,1,TRUE)))</f>
        <v>Activity Room</v>
      </c>
      <c r="C95" s="51"/>
      <c r="D95" s="52">
        <f>IF($B95="",NA(),COUNTIFS(Oct[Location],$B95))</f>
        <v>0</v>
      </c>
    </row>
    <row r="96" spans="1:7" x14ac:dyDescent="0.25">
      <c r="A96" s="38"/>
      <c r="B96" s="50" t="str">
        <v>Bedroom</v>
      </c>
      <c r="C96" s="51"/>
      <c r="D96" s="52">
        <f>IF($B96="",NA(),COUNTIFS(Oct[Location],$B96))</f>
        <v>0</v>
      </c>
    </row>
    <row r="97" spans="1:4" x14ac:dyDescent="0.25">
      <c r="A97" s="38"/>
      <c r="B97" s="50" t="str">
        <v>Bathroom</v>
      </c>
      <c r="C97" s="51"/>
      <c r="D97" s="52">
        <f>IF($B97="",NA(),COUNTIFS(Oct[Location],$B97))</f>
        <v>0</v>
      </c>
    </row>
    <row r="98" spans="1:4" x14ac:dyDescent="0.25">
      <c r="A98" s="38"/>
      <c r="B98" s="50" t="str">
        <v>Hallway</v>
      </c>
      <c r="C98" s="51"/>
      <c r="D98" s="52">
        <f>IF($B98="",NA(),COUNTIFS(Oct[Location],$B98))</f>
        <v>0</v>
      </c>
    </row>
    <row r="99" spans="1:4" x14ac:dyDescent="0.25">
      <c r="A99" s="38"/>
      <c r="B99" s="50" t="str">
        <v>Offsite</v>
      </c>
      <c r="C99" s="51"/>
      <c r="D99" s="52">
        <f>IF($B99="",NA(),COUNTIFS(Oct[Location],$B99))</f>
        <v>0</v>
      </c>
    </row>
    <row r="100" spans="1:4" x14ac:dyDescent="0.25">
      <c r="A100" s="38"/>
      <c r="B100" s="53" t="str">
        <v>Shower Room</v>
      </c>
      <c r="C100" s="54"/>
      <c r="D100" s="52">
        <f>IF($B100="",NA(),COUNTIFS(Oct[Location],$B100))</f>
        <v>0</v>
      </c>
    </row>
    <row r="101" spans="1:4" x14ac:dyDescent="0.25">
      <c r="A101" s="38"/>
      <c r="B101" s="55" t="str">
        <v>Dining Room</v>
      </c>
      <c r="C101" s="56"/>
      <c r="D101" s="52">
        <f>IF($B101="",NA(),COUNTIFS(Oct[Location],$B101))</f>
        <v>0</v>
      </c>
    </row>
    <row r="102" spans="1:4" x14ac:dyDescent="0.25">
      <c r="A102" s="38"/>
      <c r="B102" s="57" t="str">
        <v/>
      </c>
      <c r="C102" s="58"/>
      <c r="D102" s="52" t="e">
        <f>IF($B102="",NA(),COUNTIFS(Oct[Location],$B102))</f>
        <v>#N/A</v>
      </c>
    </row>
    <row r="103" spans="1:4" x14ac:dyDescent="0.25">
      <c r="A103" s="38"/>
      <c r="B103" s="59" t="str">
        <v/>
      </c>
      <c r="C103" s="51"/>
      <c r="D103" s="52" t="e">
        <f>IF($B103="",NA(),COUNTIFS(Oct[Location],$B103))</f>
        <v>#N/A</v>
      </c>
    </row>
    <row r="104" spans="1:4" x14ac:dyDescent="0.25">
      <c r="A104" s="38"/>
      <c r="B104" s="53" t="str">
        <v/>
      </c>
      <c r="C104" s="60"/>
      <c r="D104" s="52" t="e">
        <f>IF($B104="",NA(),COUNTIFS(Oct[Location],$B104))</f>
        <v>#N/A</v>
      </c>
    </row>
    <row r="105" spans="1:4" ht="15.75" thickBot="1" x14ac:dyDescent="0.3">
      <c r="A105" s="38"/>
      <c r="B105" s="59" t="str">
        <v/>
      </c>
      <c r="C105" s="61"/>
      <c r="D105" s="52" t="e">
        <f>IF($B105="",NA(),COUNTIFS(Oct[Location],$B105))</f>
        <v>#N/A</v>
      </c>
    </row>
    <row r="106" spans="1:4" ht="15.75" thickBot="1" x14ac:dyDescent="0.3">
      <c r="B106" s="298" t="s">
        <v>16</v>
      </c>
      <c r="C106" s="299"/>
      <c r="D106" s="37">
        <f>_xlfn.AGGREGATE(9,6,D95:D105)</f>
        <v>0</v>
      </c>
    </row>
    <row r="107" spans="1:4" ht="15.75" thickBot="1" x14ac:dyDescent="0.3"/>
    <row r="108" spans="1:4" ht="21.4" customHeight="1" thickBot="1" x14ac:dyDescent="0.3">
      <c r="B108" s="282" t="str">
        <f>"Falls by Nursing Station "</f>
        <v xml:space="preserve">Falls by Nursing Station </v>
      </c>
      <c r="C108" s="283"/>
      <c r="D108" s="284"/>
    </row>
    <row r="109" spans="1:4" ht="15.75" x14ac:dyDescent="0.25">
      <c r="B109" s="293" t="s">
        <v>2</v>
      </c>
      <c r="C109" s="293"/>
      <c r="D109" s="28" t="s">
        <v>35</v>
      </c>
    </row>
    <row r="110" spans="1:4" x14ac:dyDescent="0.25">
      <c r="B110" s="62" cm="1">
        <f t="array" ref="B110:B120">IF(_xlfn._xlws.SORT(NS[Nurses Stations],1,1,TRUE)=0,"",(_xlfn._xlws.SORT(NS[Nurses Stations],1,1,TRUE)))</f>
        <v>1</v>
      </c>
      <c r="C110" s="63"/>
      <c r="D110" s="31">
        <f>IF($B110="",NA(),COUNTIFS(Oct[Station],$B110))</f>
        <v>0</v>
      </c>
    </row>
    <row r="111" spans="1:4" x14ac:dyDescent="0.25">
      <c r="B111" s="62">
        <v>2</v>
      </c>
      <c r="C111" s="63"/>
      <c r="D111" s="31">
        <f>IF($B111="",NA(),COUNTIFS(Oct[Station],$B111))</f>
        <v>0</v>
      </c>
    </row>
    <row r="112" spans="1:4" x14ac:dyDescent="0.25">
      <c r="B112" s="62">
        <v>3</v>
      </c>
      <c r="C112" s="63"/>
      <c r="D112" s="31">
        <f>IF($B112="",NA(),COUNTIFS(Oct[Station],$B112))</f>
        <v>0</v>
      </c>
    </row>
    <row r="113" spans="2:4" x14ac:dyDescent="0.25">
      <c r="B113" s="62">
        <v>4</v>
      </c>
      <c r="C113" s="63"/>
      <c r="D113" s="31">
        <f>IF($B113="",NA(),COUNTIFS(Oct[Station],$B113))</f>
        <v>0</v>
      </c>
    </row>
    <row r="114" spans="2:4" x14ac:dyDescent="0.25">
      <c r="B114" s="62">
        <v>5</v>
      </c>
      <c r="C114" s="63"/>
      <c r="D114" s="31">
        <f>IF($B114="",NA(),COUNTIFS(Oct[Station],$B114))</f>
        <v>0</v>
      </c>
    </row>
    <row r="115" spans="2:4" x14ac:dyDescent="0.25">
      <c r="B115" s="62" t="str">
        <v/>
      </c>
      <c r="C115" s="63"/>
      <c r="D115" s="31" t="e">
        <f>IF($B115="",NA(),COUNTIFS(Oct[Station],$B115))</f>
        <v>#N/A</v>
      </c>
    </row>
    <row r="116" spans="2:4" x14ac:dyDescent="0.25">
      <c r="B116" s="62" t="str">
        <v/>
      </c>
      <c r="C116" s="63"/>
      <c r="D116" s="31" t="e">
        <f>IF($B116="",NA(),COUNTIFS(Oct[Station],$B116))</f>
        <v>#N/A</v>
      </c>
    </row>
    <row r="117" spans="2:4" x14ac:dyDescent="0.25">
      <c r="B117" s="62" t="str">
        <v/>
      </c>
      <c r="C117" s="63"/>
      <c r="D117" s="31" t="e">
        <f>IF($B117="",NA(),COUNTIFS(Oct[Station],$B117))</f>
        <v>#N/A</v>
      </c>
    </row>
    <row r="118" spans="2:4" x14ac:dyDescent="0.25">
      <c r="B118" s="62" t="str">
        <v/>
      </c>
      <c r="C118" s="63"/>
      <c r="D118" s="31" t="e">
        <f>IF($B118="",NA(),COUNTIFS(Oct[Station],$B118))</f>
        <v>#N/A</v>
      </c>
    </row>
    <row r="119" spans="2:4" x14ac:dyDescent="0.25">
      <c r="B119" s="62" t="str">
        <v/>
      </c>
      <c r="C119" s="63"/>
      <c r="D119" s="31" t="e">
        <f>IF($B119="",NA(),COUNTIFS(Oct[Station],$B119))</f>
        <v>#N/A</v>
      </c>
    </row>
    <row r="120" spans="2:4" ht="15.75" thickBot="1" x14ac:dyDescent="0.3">
      <c r="B120" s="64" t="str">
        <v/>
      </c>
      <c r="C120" s="63"/>
      <c r="D120" s="31" t="e">
        <f>IF($B120="",NA(),COUNTIFS(Oct[Station],$B120))</f>
        <v>#N/A</v>
      </c>
    </row>
    <row r="121" spans="2:4" ht="15.6" customHeight="1" thickBot="1" x14ac:dyDescent="0.3">
      <c r="B121" s="287" t="s">
        <v>16</v>
      </c>
      <c r="C121" s="288"/>
      <c r="D121" s="37">
        <f>_xlfn.AGGREGATE(9,6,D110:D120)</f>
        <v>0</v>
      </c>
    </row>
    <row r="122" spans="2:4" ht="15.6" customHeight="1" thickBot="1" x14ac:dyDescent="0.3">
      <c r="B122" s="65"/>
      <c r="C122" s="66"/>
      <c r="D122" s="67"/>
    </row>
    <row r="123" spans="2:4" ht="21.95" customHeight="1" thickBot="1" x14ac:dyDescent="0.3">
      <c r="B123" s="282" t="str">
        <f>"Falls by Day of the Week "</f>
        <v xml:space="preserve">Falls by Day of the Week </v>
      </c>
      <c r="C123" s="283"/>
      <c r="D123" s="284"/>
    </row>
    <row r="124" spans="2:4" ht="15.75" x14ac:dyDescent="0.25">
      <c r="B124" s="293" t="s">
        <v>3</v>
      </c>
      <c r="C124" s="293"/>
      <c r="D124" s="28" t="s">
        <v>35</v>
      </c>
    </row>
    <row r="125" spans="2:4" x14ac:dyDescent="0.25">
      <c r="B125" s="294" t="s">
        <v>46</v>
      </c>
      <c r="C125" s="294"/>
      <c r="D125" s="31">
        <f>COUNTIFS(Oct[Day],$B125)</f>
        <v>0</v>
      </c>
    </row>
    <row r="126" spans="2:4" x14ac:dyDescent="0.25">
      <c r="B126" s="294" t="s">
        <v>47</v>
      </c>
      <c r="C126" s="294"/>
      <c r="D126" s="31">
        <f>COUNTIFS(Oct[Day],$B126)</f>
        <v>0</v>
      </c>
    </row>
    <row r="127" spans="2:4" x14ac:dyDescent="0.25">
      <c r="B127" s="294" t="s">
        <v>52</v>
      </c>
      <c r="C127" s="294"/>
      <c r="D127" s="31">
        <f>COUNTIFS(Oct[Day],$B127)</f>
        <v>0</v>
      </c>
    </row>
    <row r="128" spans="2:4" x14ac:dyDescent="0.25">
      <c r="B128" s="294" t="s">
        <v>48</v>
      </c>
      <c r="C128" s="294"/>
      <c r="D128" s="31">
        <f>COUNTIFS(Oct[Day],$B128)</f>
        <v>0</v>
      </c>
    </row>
    <row r="129" spans="2:4" x14ac:dyDescent="0.25">
      <c r="B129" s="294" t="s">
        <v>51</v>
      </c>
      <c r="C129" s="294"/>
      <c r="D129" s="31">
        <f>COUNTIFS(Oct[Day],$B129)</f>
        <v>0</v>
      </c>
    </row>
    <row r="130" spans="2:4" x14ac:dyDescent="0.25">
      <c r="B130" s="294" t="s">
        <v>49</v>
      </c>
      <c r="C130" s="294"/>
      <c r="D130" s="31">
        <f>COUNTIFS(Oct[Day],$B130)</f>
        <v>0</v>
      </c>
    </row>
    <row r="131" spans="2:4" ht="15.75" thickBot="1" x14ac:dyDescent="0.3">
      <c r="B131" s="294" t="s">
        <v>50</v>
      </c>
      <c r="C131" s="294"/>
      <c r="D131" s="34">
        <f>COUNTIFS(Oct[Day],$B131)</f>
        <v>0</v>
      </c>
    </row>
    <row r="132" spans="2:4" ht="15.6" customHeight="1" thickBot="1" x14ac:dyDescent="0.3">
      <c r="B132" s="287" t="s">
        <v>16</v>
      </c>
      <c r="C132" s="288"/>
      <c r="D132" s="35">
        <f>SUM(D125:D131)</f>
        <v>0</v>
      </c>
    </row>
    <row r="133" spans="2:4" ht="15.75" thickBot="1" x14ac:dyDescent="0.3"/>
    <row r="134" spans="2:4" ht="21.4" customHeight="1" thickBot="1" x14ac:dyDescent="0.3">
      <c r="B134" s="282" t="str">
        <f>"Falls by Shift"</f>
        <v>Falls by Shift</v>
      </c>
      <c r="C134" s="283"/>
      <c r="D134" s="284"/>
    </row>
    <row r="135" spans="2:4" ht="15.75" x14ac:dyDescent="0.25">
      <c r="B135" s="293" t="s">
        <v>34</v>
      </c>
      <c r="C135" s="293"/>
      <c r="D135" s="28" t="s">
        <v>35</v>
      </c>
    </row>
    <row r="136" spans="2:4" x14ac:dyDescent="0.25">
      <c r="B136" s="29" t="str" cm="1">
        <f t="array" ref="B136:B140">IF(_xlfn._xlws.SORT('Data Validation'!P3:P7,1,1,TRUE)=0,"",(_xlfn._xlws.SORT('Data Validation'!P3:P7,1,1,TRUE)))</f>
        <v>11-7</v>
      </c>
      <c r="C136" s="58"/>
      <c r="D136" s="31">
        <f>IF($B136="",NA(),COUNTIFS(Oct[Shift],$B136))</f>
        <v>0</v>
      </c>
    </row>
    <row r="137" spans="2:4" x14ac:dyDescent="0.25">
      <c r="B137" s="29" t="str">
        <v>11–7</v>
      </c>
      <c r="C137" s="58"/>
      <c r="D137" s="31">
        <f>IF($B137="",NA(),COUNTIFS(Oct[Shift],$B137))</f>
        <v>0</v>
      </c>
    </row>
    <row r="138" spans="2:4" x14ac:dyDescent="0.25">
      <c r="B138" s="29" t="str">
        <v>7–3</v>
      </c>
      <c r="C138" s="58"/>
      <c r="D138" s="31">
        <f>IF($B138="",NA(),COUNTIFS(Oct[Shift],$B138))</f>
        <v>0</v>
      </c>
    </row>
    <row r="139" spans="2:4" x14ac:dyDescent="0.25">
      <c r="B139" s="29" t="str">
        <v>3–11</v>
      </c>
      <c r="C139" s="58"/>
      <c r="D139" s="31">
        <f>IF($B139="",NA(),COUNTIFS(Oct[Shift],$B139))</f>
        <v>0</v>
      </c>
    </row>
    <row r="140" spans="2:4" ht="15.75" thickBot="1" x14ac:dyDescent="0.3">
      <c r="B140" s="29" t="str">
        <v/>
      </c>
      <c r="C140" s="68"/>
      <c r="D140" s="34" t="e">
        <f>IF($B140="",NA(),COUNTIFS(Oct[Shift],$B140))</f>
        <v>#N/A</v>
      </c>
    </row>
    <row r="141" spans="2:4" ht="15.75" thickBot="1" x14ac:dyDescent="0.3">
      <c r="B141" s="287" t="s">
        <v>16</v>
      </c>
      <c r="C141" s="288"/>
      <c r="D141" s="35">
        <f>_xlfn.AGGREGATE(9,6,D136:D140)</f>
        <v>0</v>
      </c>
    </row>
    <row r="142" spans="2:4" ht="15.75" thickBot="1" x14ac:dyDescent="0.3"/>
    <row r="143" spans="2:4" ht="21.4" customHeight="1" thickBot="1" x14ac:dyDescent="0.3">
      <c r="B143" s="282" t="str">
        <f>"Falls by Hour "</f>
        <v xml:space="preserve">Falls by Hour </v>
      </c>
      <c r="C143" s="283"/>
      <c r="D143" s="284"/>
    </row>
    <row r="144" spans="2:4" ht="15.75" x14ac:dyDescent="0.25">
      <c r="B144" s="293" t="s">
        <v>33</v>
      </c>
      <c r="C144" s="293"/>
      <c r="D144" s="28" t="s">
        <v>35</v>
      </c>
    </row>
    <row r="145" spans="2:4" x14ac:dyDescent="0.25">
      <c r="B145" s="294" t="s">
        <v>115</v>
      </c>
      <c r="C145" s="294"/>
      <c r="D145" s="31">
        <f>COUNTIFS(Oct[Hour],$B145)</f>
        <v>0</v>
      </c>
    </row>
    <row r="146" spans="2:4" x14ac:dyDescent="0.25">
      <c r="B146" s="294" t="s">
        <v>116</v>
      </c>
      <c r="C146" s="294"/>
      <c r="D146" s="31">
        <f>COUNTIFS(Oct[Hour],$B146)</f>
        <v>0</v>
      </c>
    </row>
    <row r="147" spans="2:4" x14ac:dyDescent="0.25">
      <c r="B147" s="294" t="s">
        <v>117</v>
      </c>
      <c r="C147" s="294"/>
      <c r="D147" s="31">
        <f>COUNTIFS(Oct[Hour],$B147)</f>
        <v>0</v>
      </c>
    </row>
    <row r="148" spans="2:4" x14ac:dyDescent="0.25">
      <c r="B148" s="294" t="s">
        <v>118</v>
      </c>
      <c r="C148" s="294"/>
      <c r="D148" s="31">
        <f>COUNTIFS(Oct[Hour],$B148)</f>
        <v>0</v>
      </c>
    </row>
    <row r="149" spans="2:4" x14ac:dyDescent="0.25">
      <c r="B149" s="294" t="s">
        <v>119</v>
      </c>
      <c r="C149" s="294"/>
      <c r="D149" s="31">
        <f>COUNTIFS(Oct[Hour],$B149)</f>
        <v>0</v>
      </c>
    </row>
    <row r="150" spans="2:4" x14ac:dyDescent="0.25">
      <c r="B150" s="294" t="s">
        <v>120</v>
      </c>
      <c r="C150" s="294"/>
      <c r="D150" s="31">
        <f>COUNTIFS(Oct[Hour],$B150)</f>
        <v>0</v>
      </c>
    </row>
    <row r="151" spans="2:4" x14ac:dyDescent="0.25">
      <c r="B151" s="294" t="s">
        <v>121</v>
      </c>
      <c r="C151" s="294"/>
      <c r="D151" s="31">
        <f>COUNTIFS(Oct[Hour],$B151)</f>
        <v>0</v>
      </c>
    </row>
    <row r="152" spans="2:4" x14ac:dyDescent="0.25">
      <c r="B152" s="294" t="s">
        <v>122</v>
      </c>
      <c r="C152" s="294"/>
      <c r="D152" s="31">
        <f>COUNTIFS(Oct[Hour],$B152)</f>
        <v>0</v>
      </c>
    </row>
    <row r="153" spans="2:4" x14ac:dyDescent="0.25">
      <c r="B153" s="294" t="s">
        <v>123</v>
      </c>
      <c r="C153" s="294"/>
      <c r="D153" s="31">
        <f>COUNTIFS(Oct[Hour],$B153)</f>
        <v>0</v>
      </c>
    </row>
    <row r="154" spans="2:4" x14ac:dyDescent="0.25">
      <c r="B154" s="294" t="s">
        <v>124</v>
      </c>
      <c r="C154" s="294"/>
      <c r="D154" s="31">
        <f>COUNTIFS(Oct[Hour],$B154)</f>
        <v>0</v>
      </c>
    </row>
    <row r="155" spans="2:4" x14ac:dyDescent="0.25">
      <c r="B155" s="294" t="s">
        <v>125</v>
      </c>
      <c r="C155" s="294"/>
      <c r="D155" s="31">
        <f>COUNTIFS(Oct[Hour],$B155)</f>
        <v>0</v>
      </c>
    </row>
    <row r="156" spans="2:4" x14ac:dyDescent="0.25">
      <c r="B156" s="294" t="s">
        <v>126</v>
      </c>
      <c r="C156" s="294"/>
      <c r="D156" s="31">
        <f>COUNTIFS(Oct[Hour],$B156)</f>
        <v>0</v>
      </c>
    </row>
    <row r="157" spans="2:4" x14ac:dyDescent="0.25">
      <c r="B157" s="294" t="s">
        <v>127</v>
      </c>
      <c r="C157" s="294"/>
      <c r="D157" s="31">
        <f>COUNTIFS(Oct[Hour],$B157)</f>
        <v>0</v>
      </c>
    </row>
    <row r="158" spans="2:4" x14ac:dyDescent="0.25">
      <c r="B158" s="294" t="s">
        <v>128</v>
      </c>
      <c r="C158" s="294"/>
      <c r="D158" s="31">
        <f>COUNTIFS(Oct[Hour],$B158)</f>
        <v>0</v>
      </c>
    </row>
    <row r="159" spans="2:4" x14ac:dyDescent="0.25">
      <c r="B159" s="294" t="s">
        <v>129</v>
      </c>
      <c r="C159" s="294"/>
      <c r="D159" s="31">
        <f>COUNTIFS(Oct[Hour],$B159)</f>
        <v>0</v>
      </c>
    </row>
    <row r="160" spans="2:4" x14ac:dyDescent="0.25">
      <c r="B160" s="294" t="s">
        <v>130</v>
      </c>
      <c r="C160" s="294"/>
      <c r="D160" s="31">
        <f>COUNTIFS(Oct[Hour],$B160)</f>
        <v>0</v>
      </c>
    </row>
    <row r="161" spans="1:8" x14ac:dyDescent="0.25">
      <c r="B161" s="294" t="s">
        <v>131</v>
      </c>
      <c r="C161" s="294"/>
      <c r="D161" s="31">
        <f>COUNTIFS(Oct[Hour],$B161)</f>
        <v>0</v>
      </c>
    </row>
    <row r="162" spans="1:8" x14ac:dyDescent="0.25">
      <c r="B162" s="294" t="s">
        <v>132</v>
      </c>
      <c r="C162" s="294"/>
      <c r="D162" s="31">
        <f>COUNTIFS(Oct[Hour],$B162)</f>
        <v>0</v>
      </c>
    </row>
    <row r="163" spans="1:8" x14ac:dyDescent="0.25">
      <c r="B163" s="294" t="s">
        <v>133</v>
      </c>
      <c r="C163" s="294"/>
      <c r="D163" s="31">
        <f>COUNTIFS(Oct[Hour],$B163)</f>
        <v>0</v>
      </c>
    </row>
    <row r="164" spans="1:8" x14ac:dyDescent="0.25">
      <c r="B164" s="294" t="s">
        <v>134</v>
      </c>
      <c r="C164" s="294"/>
      <c r="D164" s="31">
        <f>COUNTIFS(Oct[Hour],$B164)</f>
        <v>0</v>
      </c>
    </row>
    <row r="165" spans="1:8" x14ac:dyDescent="0.25">
      <c r="B165" s="294" t="s">
        <v>135</v>
      </c>
      <c r="C165" s="294"/>
      <c r="D165" s="31">
        <f>COUNTIFS(Oct[Hour],$B165)</f>
        <v>0</v>
      </c>
    </row>
    <row r="166" spans="1:8" x14ac:dyDescent="0.25">
      <c r="B166" s="294" t="s">
        <v>136</v>
      </c>
      <c r="C166" s="294"/>
      <c r="D166" s="31">
        <f>COUNTIFS(Oct[Hour],$B166)</f>
        <v>0</v>
      </c>
    </row>
    <row r="167" spans="1:8" x14ac:dyDescent="0.25">
      <c r="B167" s="294" t="s">
        <v>137</v>
      </c>
      <c r="C167" s="294"/>
      <c r="D167" s="31">
        <f>COUNTIFS(Oct[Hour],$B167)</f>
        <v>0</v>
      </c>
    </row>
    <row r="168" spans="1:8" ht="15.75" thickBot="1" x14ac:dyDescent="0.3">
      <c r="B168" s="294" t="s">
        <v>138</v>
      </c>
      <c r="C168" s="294"/>
      <c r="D168" s="34">
        <f>COUNTIFS(Oct[Hour],$B168)</f>
        <v>0</v>
      </c>
    </row>
    <row r="169" spans="1:8" ht="15.75" thickBot="1" x14ac:dyDescent="0.3">
      <c r="B169" s="287" t="s">
        <v>35</v>
      </c>
      <c r="C169" s="288"/>
      <c r="D169" s="35">
        <f>SUM(D145:D168)</f>
        <v>0</v>
      </c>
    </row>
    <row r="170" spans="1:8" ht="15.75" thickBot="1" x14ac:dyDescent="0.3"/>
    <row r="171" spans="1:8" ht="21.4" customHeight="1" thickBot="1" x14ac:dyDescent="0.3">
      <c r="B171" s="282" t="str">
        <f>"Falls by Contributing Factors"</f>
        <v>Falls by Contributing Factors</v>
      </c>
      <c r="C171" s="283"/>
      <c r="D171" s="283"/>
      <c r="E171" s="283"/>
      <c r="F171" s="283"/>
      <c r="G171" s="284"/>
    </row>
    <row r="172" spans="1:8" ht="15.6" customHeight="1" x14ac:dyDescent="0.25">
      <c r="A172" s="38"/>
      <c r="B172" s="290" t="s">
        <v>92</v>
      </c>
      <c r="C172" s="291"/>
      <c r="D172" s="291"/>
      <c r="E172" s="291"/>
      <c r="F172" s="292"/>
      <c r="G172" s="28" t="s">
        <v>35</v>
      </c>
    </row>
    <row r="173" spans="1:8" x14ac:dyDescent="0.25">
      <c r="A173" s="38"/>
      <c r="B173" s="44" t="str" cm="1">
        <f t="array" ref="B173:B196">IF(_xlfn._xlws.SORT(CF[Contributing Factors],1,1,TRUE)=0,"",(_xlfn._xlws.SORT(CF[Contributing Factors],1,1,TRUE)))</f>
        <v>Assisted/caregiver transfer</v>
      </c>
      <c r="C173" s="45"/>
      <c r="D173" s="45"/>
      <c r="E173" s="45"/>
      <c r="F173" s="46"/>
      <c r="G173" s="42">
        <f>IF($B173="",NA(),COUNTIFS(Oct[Contributing Factors],$B173))</f>
        <v>0</v>
      </c>
      <c r="H173" s="43"/>
    </row>
    <row r="174" spans="1:8" x14ac:dyDescent="0.25">
      <c r="A174" s="38"/>
      <c r="B174" s="39" t="str">
        <v>Bowel and bladder (B&amp;B) needs</v>
      </c>
      <c r="C174" s="40"/>
      <c r="D174" s="40"/>
      <c r="E174" s="40"/>
      <c r="F174" s="41"/>
      <c r="G174" s="42">
        <f>IF($B174="",NA(),COUNTIFS(Oct[Contributing Factors],$B174))</f>
        <v>0</v>
      </c>
    </row>
    <row r="175" spans="1:8" x14ac:dyDescent="0.25">
      <c r="A175" s="38"/>
      <c r="B175" s="44" t="str">
        <v>Behavioral or situational</v>
      </c>
      <c r="C175" s="45"/>
      <c r="D175" s="45"/>
      <c r="E175" s="45"/>
      <c r="F175" s="46"/>
      <c r="G175" s="42">
        <f>IF($B175="",NA(),COUNTIFS(Oct[Contributing Factors],$B175))</f>
        <v>0</v>
      </c>
    </row>
    <row r="176" spans="1:8" x14ac:dyDescent="0.25">
      <c r="A176" s="38"/>
      <c r="B176" s="39" t="str">
        <v>Change of condition</v>
      </c>
      <c r="C176" s="40"/>
      <c r="D176" s="40"/>
      <c r="E176" s="40"/>
      <c r="F176" s="41"/>
      <c r="G176" s="42">
        <f>IF($B176="",NA(),COUNTIFS(Oct[Contributing Factors],$B176))</f>
        <v>0</v>
      </c>
    </row>
    <row r="177" spans="1:7" x14ac:dyDescent="0.25">
      <c r="A177" s="38"/>
      <c r="B177" s="44" t="str">
        <v>Environmental factors</v>
      </c>
      <c r="C177" s="45"/>
      <c r="D177" s="45"/>
      <c r="E177" s="45"/>
      <c r="F177" s="46"/>
      <c r="G177" s="42">
        <f>IF($B177="",NA(),COUNTIFS(Oct[Contributing Factors],$B177))</f>
        <v>0</v>
      </c>
    </row>
    <row r="178" spans="1:7" x14ac:dyDescent="0.25">
      <c r="A178" s="38"/>
      <c r="B178" s="39" t="str">
        <v>Equipment malfunction</v>
      </c>
      <c r="C178" s="40"/>
      <c r="D178" s="40"/>
      <c r="E178" s="40"/>
      <c r="F178" s="41"/>
      <c r="G178" s="42">
        <f>IF($B178="",NA(),COUNTIFS(Oct[Contributing Factors],$B178))</f>
        <v>0</v>
      </c>
    </row>
    <row r="179" spans="1:7" x14ac:dyDescent="0.25">
      <c r="A179" s="38"/>
      <c r="B179" s="44" t="str">
        <v>Equipment or assistive device</v>
      </c>
      <c r="C179" s="45"/>
      <c r="D179" s="45"/>
      <c r="E179" s="45"/>
      <c r="F179" s="46"/>
      <c r="G179" s="42">
        <f>IF($B179="",NA(),COUNTIFS(Oct[Contributing Factors],$B179))</f>
        <v>0</v>
      </c>
    </row>
    <row r="180" spans="1:7" x14ac:dyDescent="0.25">
      <c r="A180" s="38"/>
      <c r="B180" s="39" t="str">
        <v>Medication related</v>
      </c>
      <c r="C180" s="40"/>
      <c r="D180" s="40"/>
      <c r="E180" s="40"/>
      <c r="F180" s="41"/>
      <c r="G180" s="42">
        <f>IF($B180="",NA(),COUNTIFS(Oct[Contributing Factors],$B180))</f>
        <v>0</v>
      </c>
    </row>
    <row r="181" spans="1:7" x14ac:dyDescent="0.25">
      <c r="A181" s="38"/>
      <c r="B181" s="44" t="str">
        <v>Process(s) not followed</v>
      </c>
      <c r="C181" s="45"/>
      <c r="D181" s="45"/>
      <c r="E181" s="45"/>
      <c r="F181" s="46"/>
      <c r="G181" s="42">
        <f>IF($B181="",NA(),COUNTIFS(Oct[Contributing Factors],$B181))</f>
        <v>0</v>
      </c>
    </row>
    <row r="182" spans="1:7" x14ac:dyDescent="0.25">
      <c r="A182" s="38"/>
      <c r="B182" s="39" t="str">
        <v>Resident health conditions</v>
      </c>
      <c r="C182" s="40"/>
      <c r="D182" s="40"/>
      <c r="E182" s="40"/>
      <c r="F182" s="41"/>
      <c r="G182" s="42">
        <f>IF($B182="",NA(),COUNTIFS(Oct[Contributing Factors],$B182))</f>
        <v>0</v>
      </c>
    </row>
    <row r="183" spans="1:7" x14ac:dyDescent="0.25">
      <c r="A183" s="38"/>
      <c r="B183" s="44" t="str">
        <v>Staff</v>
      </c>
      <c r="C183" s="45"/>
      <c r="D183" s="45"/>
      <c r="E183" s="45"/>
      <c r="F183" s="46"/>
      <c r="G183" s="42">
        <f>IF($B183="",NA(),COUNTIFS(Oct[Contributing Factors],$B183))</f>
        <v>0</v>
      </c>
    </row>
    <row r="184" spans="1:7" x14ac:dyDescent="0.25">
      <c r="A184" s="38"/>
      <c r="B184" s="39" t="str">
        <v/>
      </c>
      <c r="C184" s="40"/>
      <c r="D184" s="40"/>
      <c r="E184" s="40"/>
      <c r="F184" s="41"/>
      <c r="G184" s="42" t="e">
        <f>IF($B184="",NA(),COUNTIFS(Oct[Contributing Factors],$B184))</f>
        <v>#N/A</v>
      </c>
    </row>
    <row r="185" spans="1:7" x14ac:dyDescent="0.25">
      <c r="A185" s="38"/>
      <c r="B185" s="44" t="str">
        <v/>
      </c>
      <c r="C185" s="45"/>
      <c r="D185" s="45"/>
      <c r="E185" s="45"/>
      <c r="F185" s="46"/>
      <c r="G185" s="42" t="e">
        <f>IF($B185="",NA(),COUNTIFS(Oct[Contributing Factors],$B185))</f>
        <v>#N/A</v>
      </c>
    </row>
    <row r="186" spans="1:7" x14ac:dyDescent="0.25">
      <c r="A186" s="38"/>
      <c r="B186" s="39" t="str">
        <v/>
      </c>
      <c r="C186" s="40"/>
      <c r="D186" s="40"/>
      <c r="E186" s="40"/>
      <c r="F186" s="41"/>
      <c r="G186" s="42" t="e">
        <f>IF($B186="",NA(),COUNTIFS(Oct[Contributing Factors],$B186))</f>
        <v>#N/A</v>
      </c>
    </row>
    <row r="187" spans="1:7" x14ac:dyDescent="0.25">
      <c r="A187" s="38"/>
      <c r="B187" s="44" t="str">
        <v/>
      </c>
      <c r="C187" s="45"/>
      <c r="D187" s="45"/>
      <c r="E187" s="45"/>
      <c r="F187" s="46"/>
      <c r="G187" s="42" t="e">
        <f>IF($B187="",NA(),COUNTIFS(Oct[Contributing Factors],$B187))</f>
        <v>#N/A</v>
      </c>
    </row>
    <row r="188" spans="1:7" x14ac:dyDescent="0.25">
      <c r="A188" s="38"/>
      <c r="B188" s="39" t="str">
        <v/>
      </c>
      <c r="C188" s="40"/>
      <c r="D188" s="40"/>
      <c r="E188" s="40"/>
      <c r="F188" s="41"/>
      <c r="G188" s="42" t="e">
        <f>IF($B188="",NA(),COUNTIFS(Oct[Contributing Factors],$B188))</f>
        <v>#N/A</v>
      </c>
    </row>
    <row r="189" spans="1:7" x14ac:dyDescent="0.25">
      <c r="A189" s="38"/>
      <c r="B189" s="44" t="str">
        <v/>
      </c>
      <c r="C189" s="45"/>
      <c r="D189" s="45"/>
      <c r="E189" s="45"/>
      <c r="F189" s="46"/>
      <c r="G189" s="42" t="e">
        <f>IF($B189="",NA(),COUNTIFS(Oct[Contributing Factors],$B189))</f>
        <v>#N/A</v>
      </c>
    </row>
    <row r="190" spans="1:7" x14ac:dyDescent="0.25">
      <c r="A190" s="38"/>
      <c r="B190" s="39" t="str">
        <v/>
      </c>
      <c r="C190" s="40"/>
      <c r="D190" s="40"/>
      <c r="E190" s="40"/>
      <c r="F190" s="41"/>
      <c r="G190" s="42" t="e">
        <f>IF($B190="",NA(),COUNTIFS(Oct[Contributing Factors],$B190))</f>
        <v>#N/A</v>
      </c>
    </row>
    <row r="191" spans="1:7" x14ac:dyDescent="0.25">
      <c r="A191" s="38"/>
      <c r="B191" s="44" t="str">
        <v/>
      </c>
      <c r="C191" s="45"/>
      <c r="D191" s="45"/>
      <c r="E191" s="45"/>
      <c r="F191" s="46"/>
      <c r="G191" s="42" t="e">
        <f>IF($B191="",NA(),COUNTIFS(Oct[Contributing Factors],$B191))</f>
        <v>#N/A</v>
      </c>
    </row>
    <row r="192" spans="1:7" x14ac:dyDescent="0.25">
      <c r="A192" s="38"/>
      <c r="B192" s="39" t="str">
        <v/>
      </c>
      <c r="C192" s="40"/>
      <c r="D192" s="40"/>
      <c r="E192" s="40"/>
      <c r="F192" s="41"/>
      <c r="G192" s="42" t="e">
        <f>IF($B192="",NA(),COUNTIFS(Oct[Contributing Factors],$B192))</f>
        <v>#N/A</v>
      </c>
    </row>
    <row r="193" spans="1:7" x14ac:dyDescent="0.25">
      <c r="A193" s="38"/>
      <c r="B193" s="44" t="str">
        <v/>
      </c>
      <c r="C193" s="45"/>
      <c r="D193" s="45"/>
      <c r="E193" s="45"/>
      <c r="F193" s="46"/>
      <c r="G193" s="42" t="e">
        <f>IF($B193="",NA(),COUNTIFS(Oct[Contributing Factors],$B193))</f>
        <v>#N/A</v>
      </c>
    </row>
    <row r="194" spans="1:7" x14ac:dyDescent="0.25">
      <c r="A194" s="38"/>
      <c r="B194" s="39" t="str">
        <v/>
      </c>
      <c r="C194" s="40"/>
      <c r="D194" s="40"/>
      <c r="E194" s="40"/>
      <c r="F194" s="41"/>
      <c r="G194" s="42" t="e">
        <f>IF($B194="",NA(),COUNTIFS(Oct[Contributing Factors],$B194))</f>
        <v>#N/A</v>
      </c>
    </row>
    <row r="195" spans="1:7" x14ac:dyDescent="0.25">
      <c r="A195" s="38"/>
      <c r="B195" s="44" t="str">
        <v/>
      </c>
      <c r="C195" s="45"/>
      <c r="D195" s="45"/>
      <c r="E195" s="45"/>
      <c r="F195" s="46"/>
      <c r="G195" s="42" t="e">
        <f>IF($B195="",NA(),COUNTIFS(Oct[Contributing Factors],$B195))</f>
        <v>#N/A</v>
      </c>
    </row>
    <row r="196" spans="1:7" ht="15.75" thickBot="1" x14ac:dyDescent="0.3">
      <c r="A196" s="38"/>
      <c r="B196" s="39" t="str">
        <v/>
      </c>
      <c r="C196" s="40"/>
      <c r="D196" s="40"/>
      <c r="E196" s="40"/>
      <c r="F196" s="41"/>
      <c r="G196" s="42" t="e">
        <f>IF($B196="",NA(),COUNTIFS(Oct[Contributing Factors],$B196))</f>
        <v>#N/A</v>
      </c>
    </row>
    <row r="197" spans="1:7" ht="15.6" customHeight="1" thickBot="1" x14ac:dyDescent="0.3">
      <c r="B197" s="287" t="s">
        <v>35</v>
      </c>
      <c r="C197" s="288"/>
      <c r="D197" s="288"/>
      <c r="E197" s="288"/>
      <c r="F197" s="289"/>
      <c r="G197" s="37">
        <f>_xlfn.AGGREGATE(9,6,G173:G196)</f>
        <v>0</v>
      </c>
    </row>
  </sheetData>
  <sheetProtection algorithmName="SHA-512" hashValue="xfmCJ1caQNf51R+IcC6B1vDe6HEiI95uvWkGP0qQ06jjqfjZo0WidTLkAdlvoStB0mqwdqc6TnhSzX2CKtcs7w==" saltValue="QYyM8dmyPgUQ71YkboK8eQ==" spinCount="100000" sheet="1" formatCells="0" formatColumns="0" formatRows="0" sort="0" autoFilter="0"/>
  <mergeCells count="61">
    <mergeCell ref="F56:G56"/>
    <mergeCell ref="B51:D51"/>
    <mergeCell ref="F51:H51"/>
    <mergeCell ref="B52:C52"/>
    <mergeCell ref="F52:G52"/>
    <mergeCell ref="B55:C55"/>
    <mergeCell ref="B121:C121"/>
    <mergeCell ref="F58:H58"/>
    <mergeCell ref="F59:G59"/>
    <mergeCell ref="F63:G63"/>
    <mergeCell ref="B65:G65"/>
    <mergeCell ref="B66:F66"/>
    <mergeCell ref="B91:F91"/>
    <mergeCell ref="B93:D93"/>
    <mergeCell ref="B94:C94"/>
    <mergeCell ref="B106:C106"/>
    <mergeCell ref="B108:D108"/>
    <mergeCell ref="B109:C109"/>
    <mergeCell ref="B135:C135"/>
    <mergeCell ref="B123:D123"/>
    <mergeCell ref="B124:C124"/>
    <mergeCell ref="B125:C125"/>
    <mergeCell ref="B126:C126"/>
    <mergeCell ref="B127:C127"/>
    <mergeCell ref="B128:C128"/>
    <mergeCell ref="B129:C129"/>
    <mergeCell ref="B130:C130"/>
    <mergeCell ref="B131:C131"/>
    <mergeCell ref="B132:C132"/>
    <mergeCell ref="B134:D134"/>
    <mergeCell ref="B153:C153"/>
    <mergeCell ref="B141:C141"/>
    <mergeCell ref="B143:D143"/>
    <mergeCell ref="B144:C144"/>
    <mergeCell ref="B145:C145"/>
    <mergeCell ref="B146:C146"/>
    <mergeCell ref="B147:C147"/>
    <mergeCell ref="B148:C148"/>
    <mergeCell ref="B149:C149"/>
    <mergeCell ref="B150:C150"/>
    <mergeCell ref="B151:C151"/>
    <mergeCell ref="B152:C152"/>
    <mergeCell ref="B165:C165"/>
    <mergeCell ref="B154:C154"/>
    <mergeCell ref="B155:C155"/>
    <mergeCell ref="B156:C156"/>
    <mergeCell ref="B157:C157"/>
    <mergeCell ref="B158:C158"/>
    <mergeCell ref="B159:C159"/>
    <mergeCell ref="B160:C160"/>
    <mergeCell ref="B161:C161"/>
    <mergeCell ref="B162:C162"/>
    <mergeCell ref="B163:C163"/>
    <mergeCell ref="B164:C164"/>
    <mergeCell ref="B197:F197"/>
    <mergeCell ref="B166:C166"/>
    <mergeCell ref="B167:C167"/>
    <mergeCell ref="B168:C168"/>
    <mergeCell ref="B169:C169"/>
    <mergeCell ref="B171:G171"/>
    <mergeCell ref="B172:F172"/>
  </mergeCells>
  <conditionalFormatting sqref="C1">
    <cfRule type="expression" dxfId="103" priority="18">
      <formula>OR($C$1="",$C$1=0)</formula>
    </cfRule>
  </conditionalFormatting>
  <conditionalFormatting sqref="D1">
    <cfRule type="cellIs" dxfId="102" priority="19" operator="equal">
      <formula>"Enter year in Data Validation tab"</formula>
    </cfRule>
  </conditionalFormatting>
  <conditionalFormatting sqref="D4:D40">
    <cfRule type="expression" dxfId="101" priority="22">
      <formula>AND($C4&lt;&gt;"",$D4="")</formula>
    </cfRule>
  </conditionalFormatting>
  <conditionalFormatting sqref="D95:D105">
    <cfRule type="expression" dxfId="100" priority="9">
      <formula>ISERROR($D95)</formula>
    </cfRule>
  </conditionalFormatting>
  <conditionalFormatting sqref="D110:D120">
    <cfRule type="expression" dxfId="99" priority="10">
      <formula>ISERROR($D110)</formula>
    </cfRule>
  </conditionalFormatting>
  <conditionalFormatting sqref="D136:D140">
    <cfRule type="expression" dxfId="98" priority="1">
      <formula>ISERROR(D136)</formula>
    </cfRule>
  </conditionalFormatting>
  <conditionalFormatting sqref="E4:E40">
    <cfRule type="expression" dxfId="97" priority="21">
      <formula>AND($C4&lt;&gt;"",$E4="")</formula>
    </cfRule>
  </conditionalFormatting>
  <conditionalFormatting sqref="F4:F40">
    <cfRule type="expression" dxfId="96" priority="14">
      <formula>AND($C4&lt;&gt;"",$F4="")</formula>
    </cfRule>
  </conditionalFormatting>
  <conditionalFormatting sqref="G4:G40">
    <cfRule type="expression" dxfId="95" priority="13">
      <formula>AND($C4&lt;&gt;"",$G4="")</formula>
    </cfRule>
  </conditionalFormatting>
  <conditionalFormatting sqref="G67:G90">
    <cfRule type="expression" dxfId="94" priority="8">
      <formula>ISERROR($G67)</formula>
    </cfRule>
  </conditionalFormatting>
  <conditionalFormatting sqref="G173:G196">
    <cfRule type="expression" dxfId="93" priority="7">
      <formula>ISERROR($G173)</formula>
    </cfRule>
  </conditionalFormatting>
  <conditionalFormatting sqref="H4:H40">
    <cfRule type="expression" dxfId="92" priority="12">
      <formula>AND($C4&lt;&gt;"",$H4="")</formula>
    </cfRule>
  </conditionalFormatting>
  <conditionalFormatting sqref="I4:I40">
    <cfRule type="expression" dxfId="91" priority="11">
      <formula>AND($C4&lt;&gt;"",$I4="")</formula>
    </cfRule>
  </conditionalFormatting>
  <conditionalFormatting sqref="J4:J40">
    <cfRule type="expression" dxfId="90" priority="23">
      <formula>AND($C4&lt;&gt;"",$J4="")</formula>
    </cfRule>
  </conditionalFormatting>
  <conditionalFormatting sqref="L4:L40">
    <cfRule type="expression" dxfId="89" priority="20">
      <formula>AND($C4&lt;&gt;"",$L4="")</formula>
    </cfRule>
  </conditionalFormatting>
  <conditionalFormatting sqref="N4:N40">
    <cfRule type="expression" dxfId="88" priority="25">
      <formula>AND($C4&lt;&gt;"",$N4="")</formula>
    </cfRule>
  </conditionalFormatting>
  <conditionalFormatting sqref="O4:O40">
    <cfRule type="expression" dxfId="87" priority="4">
      <formula>AND($C4&lt;&gt;"",$O4="")</formula>
    </cfRule>
    <cfRule type="cellIs" dxfId="86" priority="15" operator="equal">
      <formula>"Intact (13-15)"</formula>
    </cfRule>
    <cfRule type="cellIs" dxfId="85" priority="16" operator="equal">
      <formula>"Moderate (8-12)"</formula>
    </cfRule>
    <cfRule type="cellIs" dxfId="84" priority="17" operator="equal">
      <formula>"Severe (1-7)"</formula>
    </cfRule>
  </conditionalFormatting>
  <conditionalFormatting sqref="P4:P40">
    <cfRule type="expression" dxfId="83" priority="5">
      <formula>AND($C4&lt;&gt;"",$P4="")</formula>
    </cfRule>
  </conditionalFormatting>
  <conditionalFormatting sqref="Q4:Q40">
    <cfRule type="expression" dxfId="82" priority="3">
      <formula>AND($C4&lt;&gt;"",$Q4="")</formula>
    </cfRule>
  </conditionalFormatting>
  <conditionalFormatting sqref="R4:R40">
    <cfRule type="expression" dxfId="81" priority="26">
      <formula>AND($C4&lt;&gt;"",$R4="")</formula>
    </cfRule>
  </conditionalFormatting>
  <conditionalFormatting sqref="S4:S40">
    <cfRule type="expression" dxfId="80" priority="6">
      <formula>AND($C4&lt;&gt;"",$S4="")</formula>
    </cfRule>
  </conditionalFormatting>
  <conditionalFormatting sqref="T4:T40">
    <cfRule type="expression" dxfId="79" priority="27">
      <formula>AND($C4&lt;&gt;"",$T4="")</formula>
    </cfRule>
  </conditionalFormatting>
  <conditionalFormatting sqref="U4:U40">
    <cfRule type="expression" dxfId="78" priority="24">
      <formula>AND($C4&lt;&gt;"",$U4="")</formula>
    </cfRule>
  </conditionalFormatting>
  <conditionalFormatting sqref="V4:V40">
    <cfRule type="expression" dxfId="77" priority="2">
      <formula>AND($C4&lt;&gt;"",$V4="")</formula>
    </cfRule>
  </conditionalFormatting>
  <dataValidations count="9">
    <dataValidation type="list" allowBlank="1" showInputMessage="1" showErrorMessage="1" sqref="R4:R40" xr:uid="{00000000-0002-0000-0B00-000000000000}">
      <formula1>DV_RCAComp</formula1>
    </dataValidation>
    <dataValidation type="list" allowBlank="1" showInputMessage="1" showErrorMessage="1" sqref="G4:G40" xr:uid="{00000000-0002-0000-0B00-000001000000}">
      <formula1>DV_FallCircumstances</formula1>
    </dataValidation>
    <dataValidation type="list" allowBlank="1" showInputMessage="1" showErrorMessage="1" sqref="P4:P40" xr:uid="{00000000-0002-0000-0B00-000002000000}">
      <formula1>DV_PriortoFall</formula1>
    </dataValidation>
    <dataValidation type="list" allowBlank="1" showInputMessage="1" showErrorMessage="1" sqref="F4:F40" xr:uid="{00000000-0002-0000-0B00-000003000000}">
      <formula1>DV_Witnessed</formula1>
    </dataValidation>
    <dataValidation type="list" allowBlank="1" showInputMessage="1" showErrorMessage="1" sqref="N4:N40" xr:uid="{00000000-0002-0000-0B00-000004000000}">
      <formula1>DV_BIMSScore</formula1>
    </dataValidation>
    <dataValidation type="list" allowBlank="1" showInputMessage="1" showErrorMessage="1" sqref="L4:L40" xr:uid="{00000000-0002-0000-0B00-000005000000}">
      <formula1>DV_Shifts</formula1>
    </dataValidation>
    <dataValidation type="list" allowBlank="1" showInputMessage="1" showErrorMessage="1" sqref="J4:J40" xr:uid="{00000000-0002-0000-0B00-000006000000}">
      <formula1>DV_Station</formula1>
    </dataValidation>
    <dataValidation type="list" allowBlank="1" showInputMessage="1" showErrorMessage="1" sqref="I4:I40" xr:uid="{00000000-0002-0000-0B00-000007000000}">
      <formula1>DV_Location</formula1>
    </dataValidation>
    <dataValidation type="list" allowBlank="1" showInputMessage="1" showErrorMessage="1" sqref="H4:H40" xr:uid="{00000000-0002-0000-0B00-000008000000}">
      <formula1>DV_FallType</formula1>
    </dataValidation>
  </dataValidations>
  <printOptions horizontalCentered="1"/>
  <pageMargins left="0.15" right="0.15" top="0.5" bottom="0.25" header="0.3" footer="0.3"/>
  <pageSetup scale="59" fitToHeight="0" orientation="landscape" r:id="rId1"/>
  <rowBreaks count="3" manualBreakCount="3">
    <brk id="49" max="16383" man="1"/>
    <brk id="91" max="16383" man="1"/>
    <brk id="141" max="16383" man="1"/>
  </rowBreaks>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9000000}">
          <x14:formula1>
            <xm:f>'Data Validation'!$K$3:$K$26</xm:f>
          </x14:formula1>
          <xm:sqref>S4:S40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V197"/>
  <sheetViews>
    <sheetView showGridLines="0" zoomScaleNormal="100" zoomScaleSheetLayoutView="98" workbookViewId="0">
      <selection activeCell="B4" sqref="B4"/>
    </sheetView>
  </sheetViews>
  <sheetFormatPr defaultRowHeight="15" x14ac:dyDescent="0.25"/>
  <cols>
    <col min="1" max="1" width="1.28515625" customWidth="1"/>
    <col min="2" max="2" width="5.85546875" customWidth="1"/>
    <col min="3" max="3" width="17.140625" customWidth="1"/>
    <col min="4" max="4" width="9.28515625" customWidth="1"/>
    <col min="5" max="5" width="11" customWidth="1"/>
    <col min="6" max="6" width="8" customWidth="1"/>
    <col min="7" max="7" width="12.140625" customWidth="1"/>
    <col min="8" max="8" width="10.5703125" customWidth="1"/>
    <col min="9" max="9" width="7.7109375" customWidth="1"/>
    <col min="10" max="10" width="6" customWidth="1"/>
    <col min="11" max="11" width="4.7109375" customWidth="1"/>
    <col min="12" max="12" width="9.28515625" customWidth="1"/>
    <col min="13" max="14" width="4.7109375" customWidth="1"/>
    <col min="15" max="15" width="12.140625" customWidth="1"/>
    <col min="16" max="17" width="23.7109375" customWidth="1"/>
    <col min="18" max="18" width="8.7109375" customWidth="1"/>
    <col min="19" max="19" width="23.7109375" customWidth="1"/>
    <col min="20" max="22" width="11.7109375" customWidth="1"/>
    <col min="23" max="24" width="10.7109375" customWidth="1"/>
  </cols>
  <sheetData>
    <row r="1" spans="1:22" ht="18.75" customHeight="1" x14ac:dyDescent="0.25">
      <c r="B1" s="13" t="s">
        <v>28</v>
      </c>
      <c r="C1" s="14">
        <f>'Data Validation'!$C$4</f>
        <v>0</v>
      </c>
      <c r="D1" s="15" t="str">
        <f>IF(OR($C$1="",$C$1=0),"Enter Year in Data Validation tab",'Data Validation'!$C$2&amp;" November ")</f>
        <v>Enter Year in Data Validation tab</v>
      </c>
      <c r="E1" s="16"/>
      <c r="F1" s="16"/>
      <c r="G1" s="16"/>
      <c r="H1" s="16"/>
      <c r="I1" s="16"/>
      <c r="J1" s="16"/>
      <c r="K1" s="16"/>
      <c r="L1" s="16"/>
      <c r="M1" s="16"/>
      <c r="N1" s="4"/>
      <c r="O1" s="16"/>
      <c r="P1" s="16"/>
      <c r="Q1" s="16"/>
      <c r="R1" s="17" t="s">
        <v>59</v>
      </c>
      <c r="S1" s="14" t="str">
        <f>IF(COUNTIFS(Nov[Resident Name],"&lt;&gt;")=0,"No Data",COUNTIFS(Nov[Resident Name],"&lt;&gt;"))</f>
        <v>No Data</v>
      </c>
      <c r="T1" s="17" t="s">
        <v>62</v>
      </c>
      <c r="U1" s="14" t="str">
        <f>'Fall Rate and Census'!$AF$35</f>
        <v>No Data</v>
      </c>
    </row>
    <row r="2" spans="1:22" ht="8.1" customHeight="1" x14ac:dyDescent="0.25">
      <c r="B2" s="18"/>
      <c r="C2" s="16"/>
      <c r="D2" s="16"/>
      <c r="E2" s="16"/>
      <c r="F2" s="16"/>
      <c r="G2" s="16"/>
      <c r="H2" s="16"/>
      <c r="I2" s="16"/>
      <c r="J2" s="16"/>
      <c r="K2" s="16"/>
      <c r="L2" s="16"/>
      <c r="M2" s="16"/>
      <c r="N2" s="16"/>
      <c r="O2" s="16"/>
      <c r="P2" s="16"/>
      <c r="Q2" s="16"/>
      <c r="R2" s="16"/>
    </row>
    <row r="3" spans="1:22" ht="22.35" customHeight="1" x14ac:dyDescent="0.25">
      <c r="B3" s="19" t="s">
        <v>104</v>
      </c>
      <c r="C3" s="19" t="s">
        <v>105</v>
      </c>
      <c r="D3" s="20" t="s">
        <v>0</v>
      </c>
      <c r="E3" s="20" t="s">
        <v>89</v>
      </c>
      <c r="F3" s="20" t="s">
        <v>84</v>
      </c>
      <c r="G3" s="20" t="s">
        <v>100</v>
      </c>
      <c r="H3" s="20" t="s">
        <v>90</v>
      </c>
      <c r="I3" s="20" t="s">
        <v>1</v>
      </c>
      <c r="J3" s="20" t="s">
        <v>2</v>
      </c>
      <c r="K3" s="20" t="s">
        <v>3</v>
      </c>
      <c r="L3" s="20" t="s">
        <v>33</v>
      </c>
      <c r="M3" s="20" t="s">
        <v>34</v>
      </c>
      <c r="N3" s="20" t="s">
        <v>26</v>
      </c>
      <c r="O3" s="20" t="s">
        <v>30</v>
      </c>
      <c r="P3" s="19" t="s">
        <v>158</v>
      </c>
      <c r="Q3" s="19" t="s">
        <v>80</v>
      </c>
      <c r="R3" s="20" t="s">
        <v>81</v>
      </c>
      <c r="S3" s="20" t="s">
        <v>92</v>
      </c>
      <c r="T3" s="12" t="s">
        <v>95</v>
      </c>
      <c r="U3" s="12" t="s">
        <v>94</v>
      </c>
      <c r="V3" s="12" t="s">
        <v>96</v>
      </c>
    </row>
    <row r="4" spans="1:22" ht="20.85" customHeight="1" x14ac:dyDescent="0.25">
      <c r="A4" s="21"/>
      <c r="B4" s="266"/>
      <c r="C4" s="5"/>
      <c r="D4" s="263"/>
      <c r="E4" s="263"/>
      <c r="F4" s="266"/>
      <c r="G4" s="267"/>
      <c r="H4" s="2"/>
      <c r="I4" s="2"/>
      <c r="J4" s="2"/>
      <c r="K4" s="24" t="str">
        <f>IF(Nov[[#This Row],[Date of Incident]]="","",TEXT(Nov[[#This Row],[Date of Incident]],"ddd"))</f>
        <v/>
      </c>
      <c r="L4" s="1"/>
      <c r="M4" s="24" t="str">
        <f>IFERROR(VLOOKUP(Nov[[#This Row],[Hour]],Shifts[],2,FALSE),"")</f>
        <v/>
      </c>
      <c r="N4" s="2"/>
      <c r="O4" s="24" t="str">
        <f>IFERROR(VLOOKUP(Nov[[#This Row],[BIMS Score]],BIMS[],2,FALSE),"")</f>
        <v/>
      </c>
      <c r="P4" s="3"/>
      <c r="Q4" s="3"/>
      <c r="R4" s="2"/>
      <c r="S4" s="168"/>
      <c r="T4" s="3"/>
      <c r="U4" s="3"/>
      <c r="V4" s="3"/>
    </row>
    <row r="5" spans="1:22" ht="20.85" customHeight="1" x14ac:dyDescent="0.25">
      <c r="A5" s="21"/>
      <c r="B5" s="266"/>
      <c r="C5" s="5"/>
      <c r="D5" s="263"/>
      <c r="E5" s="263"/>
      <c r="F5" s="266"/>
      <c r="G5" s="267"/>
      <c r="H5" s="2"/>
      <c r="I5" s="2"/>
      <c r="J5" s="2"/>
      <c r="K5" s="24" t="str">
        <f>IF(Nov[[#This Row],[Date of Incident]]="","",TEXT(Nov[[#This Row],[Date of Incident]],"ddd"))</f>
        <v/>
      </c>
      <c r="L5" s="1"/>
      <c r="M5" s="24" t="str">
        <f>IFERROR(VLOOKUP(Nov[[#This Row],[Hour]],Shifts[],2,FALSE),"")</f>
        <v/>
      </c>
      <c r="N5" s="2"/>
      <c r="O5" s="24" t="str">
        <f>IFERROR(VLOOKUP(Nov[[#This Row],[BIMS Score]],BIMS[],2,FALSE),"")</f>
        <v/>
      </c>
      <c r="P5" s="3"/>
      <c r="Q5" s="3"/>
      <c r="R5" s="2"/>
      <c r="S5" s="168"/>
      <c r="T5" s="3"/>
      <c r="U5" s="3"/>
      <c r="V5" s="3"/>
    </row>
    <row r="6" spans="1:22" ht="20.85" customHeight="1" x14ac:dyDescent="0.25">
      <c r="A6" s="21"/>
      <c r="B6" s="266"/>
      <c r="C6" s="5"/>
      <c r="D6" s="263"/>
      <c r="E6" s="263"/>
      <c r="F6" s="266"/>
      <c r="G6" s="267"/>
      <c r="H6" s="2"/>
      <c r="I6" s="2"/>
      <c r="J6" s="2"/>
      <c r="K6" s="24" t="str">
        <f>IF(Nov[[#This Row],[Date of Incident]]="","",TEXT(Nov[[#This Row],[Date of Incident]],"ddd"))</f>
        <v/>
      </c>
      <c r="L6" s="1"/>
      <c r="M6" s="24" t="str">
        <f>IFERROR(VLOOKUP(Nov[[#This Row],[Hour]],Shifts[],2,FALSE),"")</f>
        <v/>
      </c>
      <c r="N6" s="2"/>
      <c r="O6" s="24" t="str">
        <f>IFERROR(VLOOKUP(Nov[[#This Row],[BIMS Score]],BIMS[],2,FALSE),"")</f>
        <v/>
      </c>
      <c r="P6" s="3"/>
      <c r="Q6" s="3"/>
      <c r="R6" s="2"/>
      <c r="S6" s="168"/>
      <c r="T6" s="3"/>
      <c r="U6" s="3"/>
      <c r="V6" s="3"/>
    </row>
    <row r="7" spans="1:22" ht="20.85" customHeight="1" x14ac:dyDescent="0.25">
      <c r="A7" s="21"/>
      <c r="B7" s="266"/>
      <c r="C7" s="5"/>
      <c r="D7" s="263"/>
      <c r="E7" s="263"/>
      <c r="F7" s="266"/>
      <c r="G7" s="267"/>
      <c r="H7" s="2"/>
      <c r="I7" s="2"/>
      <c r="J7" s="2"/>
      <c r="K7" s="24" t="str">
        <f>IF(Nov[[#This Row],[Date of Incident]]="","",TEXT(Nov[[#This Row],[Date of Incident]],"ddd"))</f>
        <v/>
      </c>
      <c r="L7" s="1"/>
      <c r="M7" s="24" t="str">
        <f>IFERROR(VLOOKUP(Nov[[#This Row],[Hour]],Shifts[],2,FALSE),"")</f>
        <v/>
      </c>
      <c r="N7" s="2"/>
      <c r="O7" s="24" t="str">
        <f>IFERROR(VLOOKUP(Nov[[#This Row],[BIMS Score]],BIMS[],2,FALSE),"")</f>
        <v/>
      </c>
      <c r="P7" s="3"/>
      <c r="Q7" s="3"/>
      <c r="R7" s="2"/>
      <c r="S7" s="168"/>
      <c r="T7" s="3"/>
      <c r="U7" s="3"/>
      <c r="V7" s="3"/>
    </row>
    <row r="8" spans="1:22" ht="20.85" customHeight="1" x14ac:dyDescent="0.25">
      <c r="A8" s="21"/>
      <c r="B8" s="266"/>
      <c r="C8" s="5"/>
      <c r="D8" s="263"/>
      <c r="E8" s="263"/>
      <c r="F8" s="266"/>
      <c r="G8" s="267"/>
      <c r="H8" s="2"/>
      <c r="I8" s="2"/>
      <c r="J8" s="2"/>
      <c r="K8" s="24" t="str">
        <f>IF(Nov[[#This Row],[Date of Incident]]="","",TEXT(Nov[[#This Row],[Date of Incident]],"ddd"))</f>
        <v/>
      </c>
      <c r="L8" s="1"/>
      <c r="M8" s="24" t="str">
        <f>IFERROR(VLOOKUP(Nov[[#This Row],[Hour]],Shifts[],2,FALSE),"")</f>
        <v/>
      </c>
      <c r="N8" s="2"/>
      <c r="O8" s="24" t="str">
        <f>IFERROR(VLOOKUP(Nov[[#This Row],[BIMS Score]],BIMS[],2,FALSE),"")</f>
        <v/>
      </c>
      <c r="P8" s="3"/>
      <c r="Q8" s="3"/>
      <c r="R8" s="2"/>
      <c r="S8" s="168"/>
      <c r="T8" s="3"/>
      <c r="U8" s="3"/>
      <c r="V8" s="3"/>
    </row>
    <row r="9" spans="1:22" ht="20.85" customHeight="1" x14ac:dyDescent="0.25">
      <c r="A9" s="21"/>
      <c r="B9" s="266"/>
      <c r="C9" s="5"/>
      <c r="D9" s="263"/>
      <c r="E9" s="263"/>
      <c r="F9" s="266"/>
      <c r="G9" s="267"/>
      <c r="H9" s="2"/>
      <c r="I9" s="2"/>
      <c r="J9" s="2"/>
      <c r="K9" s="24" t="str">
        <f>IF(Nov[[#This Row],[Date of Incident]]="","",TEXT(Nov[[#This Row],[Date of Incident]],"ddd"))</f>
        <v/>
      </c>
      <c r="L9" s="1"/>
      <c r="M9" s="24" t="str">
        <f>IFERROR(VLOOKUP(Nov[[#This Row],[Hour]],Shifts[],2,FALSE),"")</f>
        <v/>
      </c>
      <c r="N9" s="2"/>
      <c r="O9" s="24" t="str">
        <f>IFERROR(VLOOKUP(Nov[[#This Row],[BIMS Score]],BIMS[],2,FALSE),"")</f>
        <v/>
      </c>
      <c r="P9" s="3"/>
      <c r="Q9" s="3"/>
      <c r="R9" s="2"/>
      <c r="S9" s="168"/>
      <c r="T9" s="3"/>
      <c r="U9" s="3"/>
      <c r="V9" s="3"/>
    </row>
    <row r="10" spans="1:22" ht="20.85" customHeight="1" x14ac:dyDescent="0.25">
      <c r="A10" s="21"/>
      <c r="B10" s="266"/>
      <c r="C10" s="5"/>
      <c r="D10" s="263"/>
      <c r="E10" s="263"/>
      <c r="F10" s="266"/>
      <c r="G10" s="267"/>
      <c r="H10" s="2"/>
      <c r="I10" s="2"/>
      <c r="J10" s="2"/>
      <c r="K10" s="24" t="str">
        <f>IF(Nov[[#This Row],[Date of Incident]]="","",TEXT(Nov[[#This Row],[Date of Incident]],"ddd"))</f>
        <v/>
      </c>
      <c r="L10" s="1"/>
      <c r="M10" s="24" t="str">
        <f>IFERROR(VLOOKUP(Nov[[#This Row],[Hour]],Shifts[],2,FALSE),"")</f>
        <v/>
      </c>
      <c r="N10" s="2"/>
      <c r="O10" s="24" t="str">
        <f>IFERROR(VLOOKUP(Nov[[#This Row],[BIMS Score]],BIMS[],2,FALSE),"")</f>
        <v/>
      </c>
      <c r="P10" s="3"/>
      <c r="Q10" s="3"/>
      <c r="R10" s="2"/>
      <c r="S10" s="168"/>
      <c r="T10" s="3"/>
      <c r="U10" s="3"/>
      <c r="V10" s="3"/>
    </row>
    <row r="11" spans="1:22" ht="20.85" customHeight="1" x14ac:dyDescent="0.25">
      <c r="A11" s="21"/>
      <c r="B11" s="266"/>
      <c r="C11" s="5"/>
      <c r="D11" s="263"/>
      <c r="E11" s="263"/>
      <c r="F11" s="266"/>
      <c r="G11" s="267"/>
      <c r="H11" s="2"/>
      <c r="I11" s="2"/>
      <c r="J11" s="2"/>
      <c r="K11" s="24" t="str">
        <f>IF(Nov[[#This Row],[Date of Incident]]="","",TEXT(Nov[[#This Row],[Date of Incident]],"ddd"))</f>
        <v/>
      </c>
      <c r="L11" s="1"/>
      <c r="M11" s="24" t="str">
        <f>IFERROR(VLOOKUP(Nov[[#This Row],[Hour]],Shifts[],2,FALSE),"")</f>
        <v/>
      </c>
      <c r="N11" s="2"/>
      <c r="O11" s="24" t="str">
        <f>IFERROR(VLOOKUP(Nov[[#This Row],[BIMS Score]],BIMS[],2,FALSE),"")</f>
        <v/>
      </c>
      <c r="P11" s="3"/>
      <c r="Q11" s="3"/>
      <c r="R11" s="2"/>
      <c r="S11" s="168"/>
      <c r="T11" s="3"/>
      <c r="U11" s="3"/>
      <c r="V11" s="3"/>
    </row>
    <row r="12" spans="1:22" ht="20.85" customHeight="1" x14ac:dyDescent="0.25">
      <c r="A12" s="21"/>
      <c r="B12" s="267"/>
      <c r="C12" s="5"/>
      <c r="D12" s="264"/>
      <c r="E12" s="263"/>
      <c r="F12" s="267"/>
      <c r="G12" s="267"/>
      <c r="H12" s="2"/>
      <c r="I12" s="2"/>
      <c r="J12" s="2"/>
      <c r="K12" s="24" t="str">
        <f>IF(Nov[[#This Row],[Date of Incident]]="","",TEXT(Nov[[#This Row],[Date of Incident]],"ddd"))</f>
        <v/>
      </c>
      <c r="L12" s="1"/>
      <c r="M12" s="24" t="str">
        <f>IFERROR(VLOOKUP(Nov[[#This Row],[Hour]],Shifts[],2,FALSE),"")</f>
        <v/>
      </c>
      <c r="N12" s="2"/>
      <c r="O12" s="24" t="str">
        <f>IFERROR(VLOOKUP(Nov[[#This Row],[BIMS Score]],BIMS[],2,FALSE),"")</f>
        <v/>
      </c>
      <c r="P12" s="3"/>
      <c r="Q12" s="3"/>
      <c r="R12" s="2"/>
      <c r="S12" s="168"/>
      <c r="T12" s="3"/>
      <c r="U12" s="3"/>
      <c r="V12" s="3"/>
    </row>
    <row r="13" spans="1:22" ht="20.85" customHeight="1" x14ac:dyDescent="0.25">
      <c r="A13" s="21"/>
      <c r="B13" s="267"/>
      <c r="C13" s="5"/>
      <c r="D13" s="264"/>
      <c r="E13" s="263"/>
      <c r="F13" s="267"/>
      <c r="G13" s="267"/>
      <c r="H13" s="2"/>
      <c r="I13" s="2"/>
      <c r="J13" s="2"/>
      <c r="K13" s="24" t="str">
        <f>IF(Nov[[#This Row],[Date of Incident]]="","",TEXT(Nov[[#This Row],[Date of Incident]],"ddd"))</f>
        <v/>
      </c>
      <c r="L13" s="1"/>
      <c r="M13" s="24" t="str">
        <f>IFERROR(VLOOKUP(Nov[[#This Row],[Hour]],Shifts[],2,FALSE),"")</f>
        <v/>
      </c>
      <c r="N13" s="2"/>
      <c r="O13" s="24" t="str">
        <f>IFERROR(VLOOKUP(Nov[[#This Row],[BIMS Score]],BIMS[],2,FALSE),"")</f>
        <v/>
      </c>
      <c r="P13" s="3"/>
      <c r="Q13" s="3"/>
      <c r="R13" s="2"/>
      <c r="S13" s="168"/>
      <c r="T13" s="3"/>
      <c r="U13" s="3"/>
      <c r="V13" s="3"/>
    </row>
    <row r="14" spans="1:22" ht="20.85" customHeight="1" x14ac:dyDescent="0.25">
      <c r="A14" s="21"/>
      <c r="B14" s="267"/>
      <c r="C14" s="5"/>
      <c r="D14" s="264"/>
      <c r="E14" s="263"/>
      <c r="F14" s="267"/>
      <c r="G14" s="267"/>
      <c r="H14" s="2"/>
      <c r="I14" s="2"/>
      <c r="J14" s="2"/>
      <c r="K14" s="24" t="str">
        <f>IF(Nov[[#This Row],[Date of Incident]]="","",TEXT(Nov[[#This Row],[Date of Incident]],"ddd"))</f>
        <v/>
      </c>
      <c r="L14" s="1"/>
      <c r="M14" s="24" t="str">
        <f>IFERROR(VLOOKUP(Nov[[#This Row],[Hour]],Shifts[],2,FALSE),"")</f>
        <v/>
      </c>
      <c r="N14" s="2"/>
      <c r="O14" s="24" t="str">
        <f>IFERROR(VLOOKUP(Nov[[#This Row],[BIMS Score]],BIMS[],2,FALSE),"")</f>
        <v/>
      </c>
      <c r="P14" s="3"/>
      <c r="Q14" s="3"/>
      <c r="R14" s="2"/>
      <c r="S14" s="168"/>
      <c r="T14" s="3"/>
      <c r="U14" s="3"/>
      <c r="V14" s="3"/>
    </row>
    <row r="15" spans="1:22" ht="20.85" customHeight="1" x14ac:dyDescent="0.25">
      <c r="A15" s="21"/>
      <c r="B15" s="267"/>
      <c r="C15" s="5"/>
      <c r="D15" s="264"/>
      <c r="E15" s="263"/>
      <c r="F15" s="267"/>
      <c r="G15" s="267"/>
      <c r="H15" s="2"/>
      <c r="I15" s="2"/>
      <c r="J15" s="2"/>
      <c r="K15" s="24" t="str">
        <f>IF(Nov[[#This Row],[Date of Incident]]="","",TEXT(Nov[[#This Row],[Date of Incident]],"ddd"))</f>
        <v/>
      </c>
      <c r="L15" s="1"/>
      <c r="M15" s="24" t="str">
        <f>IFERROR(VLOOKUP(Nov[[#This Row],[Hour]],Shifts[],2,FALSE),"")</f>
        <v/>
      </c>
      <c r="N15" s="2"/>
      <c r="O15" s="24" t="str">
        <f>IFERROR(VLOOKUP(Nov[[#This Row],[BIMS Score]],BIMS[],2,FALSE),"")</f>
        <v/>
      </c>
      <c r="P15" s="3"/>
      <c r="Q15" s="3"/>
      <c r="R15" s="2"/>
      <c r="S15" s="168"/>
      <c r="T15" s="3"/>
      <c r="U15" s="3"/>
      <c r="V15" s="3"/>
    </row>
    <row r="16" spans="1:22" ht="20.85" customHeight="1" x14ac:dyDescent="0.25">
      <c r="A16" s="21"/>
      <c r="B16" s="267"/>
      <c r="C16" s="3"/>
      <c r="D16" s="264"/>
      <c r="E16" s="264"/>
      <c r="F16" s="267"/>
      <c r="G16" s="267"/>
      <c r="H16" s="2"/>
      <c r="I16" s="2"/>
      <c r="J16" s="2"/>
      <c r="K16" s="24" t="str">
        <f>IF(Nov[[#This Row],[Date of Incident]]="","",TEXT(Nov[[#This Row],[Date of Incident]],"ddd"))</f>
        <v/>
      </c>
      <c r="L16" s="1"/>
      <c r="M16" s="24" t="str">
        <f>IFERROR(VLOOKUP(Nov[[#This Row],[Hour]],Shifts[],2,FALSE),"")</f>
        <v/>
      </c>
      <c r="N16" s="2"/>
      <c r="O16" s="24" t="str">
        <f>IFERROR(VLOOKUP(Nov[[#This Row],[BIMS Score]],BIMS[],2,FALSE),"")</f>
        <v/>
      </c>
      <c r="P16" s="3"/>
      <c r="Q16" s="3"/>
      <c r="R16" s="2"/>
      <c r="S16" s="168"/>
      <c r="T16" s="3"/>
      <c r="U16" s="3"/>
      <c r="V16" s="3"/>
    </row>
    <row r="17" spans="1:22" ht="20.85" customHeight="1" x14ac:dyDescent="0.25">
      <c r="A17" s="21"/>
      <c r="B17" s="267"/>
      <c r="C17" s="3"/>
      <c r="D17" s="264"/>
      <c r="E17" s="264"/>
      <c r="F17" s="267"/>
      <c r="G17" s="267"/>
      <c r="H17" s="2"/>
      <c r="I17" s="2"/>
      <c r="J17" s="2"/>
      <c r="K17" s="24" t="str">
        <f>IF(Nov[[#This Row],[Date of Incident]]="","",TEXT(Nov[[#This Row],[Date of Incident]],"ddd"))</f>
        <v/>
      </c>
      <c r="L17" s="1"/>
      <c r="M17" s="24" t="str">
        <f>IFERROR(VLOOKUP(Nov[[#This Row],[Hour]],Shifts[],2,FALSE),"")</f>
        <v/>
      </c>
      <c r="N17" s="2"/>
      <c r="O17" s="24" t="str">
        <f>IFERROR(VLOOKUP(Nov[[#This Row],[BIMS Score]],BIMS[],2,FALSE),"")</f>
        <v/>
      </c>
      <c r="P17" s="3"/>
      <c r="Q17" s="3"/>
      <c r="R17" s="2"/>
      <c r="S17" s="168"/>
      <c r="T17" s="3"/>
      <c r="U17" s="3"/>
      <c r="V17" s="3"/>
    </row>
    <row r="18" spans="1:22" ht="20.85" customHeight="1" x14ac:dyDescent="0.25">
      <c r="A18" s="21"/>
      <c r="B18" s="267"/>
      <c r="C18" s="3"/>
      <c r="D18" s="264"/>
      <c r="E18" s="264"/>
      <c r="F18" s="267"/>
      <c r="G18" s="267"/>
      <c r="H18" s="2"/>
      <c r="I18" s="2"/>
      <c r="J18" s="2"/>
      <c r="K18" s="24" t="str">
        <f>IF(Nov[[#This Row],[Date of Incident]]="","",TEXT(Nov[[#This Row],[Date of Incident]],"ddd"))</f>
        <v/>
      </c>
      <c r="L18" s="1"/>
      <c r="M18" s="24" t="str">
        <f>IFERROR(VLOOKUP(Nov[[#This Row],[Hour]],Shifts[],2,FALSE),"")</f>
        <v/>
      </c>
      <c r="N18" s="2"/>
      <c r="O18" s="24" t="str">
        <f>IFERROR(VLOOKUP(Nov[[#This Row],[BIMS Score]],BIMS[],2,FALSE),"")</f>
        <v/>
      </c>
      <c r="P18" s="3"/>
      <c r="Q18" s="3"/>
      <c r="R18" s="2"/>
      <c r="S18" s="168"/>
      <c r="T18" s="3"/>
      <c r="U18" s="3"/>
      <c r="V18" s="3"/>
    </row>
    <row r="19" spans="1:22" ht="20.85" customHeight="1" x14ac:dyDescent="0.25">
      <c r="A19" s="21"/>
      <c r="B19" s="267"/>
      <c r="C19" s="3"/>
      <c r="D19" s="264"/>
      <c r="E19" s="264"/>
      <c r="F19" s="267"/>
      <c r="G19" s="267"/>
      <c r="H19" s="2"/>
      <c r="I19" s="2"/>
      <c r="J19" s="2"/>
      <c r="K19" s="24" t="str">
        <f>IF(Nov[[#This Row],[Date of Incident]]="","",TEXT(Nov[[#This Row],[Date of Incident]],"ddd"))</f>
        <v/>
      </c>
      <c r="L19" s="1"/>
      <c r="M19" s="24" t="str">
        <f>IFERROR(VLOOKUP(Nov[[#This Row],[Hour]],Shifts[],2,FALSE),"")</f>
        <v/>
      </c>
      <c r="N19" s="2"/>
      <c r="O19" s="24" t="str">
        <f>IFERROR(VLOOKUP(Nov[[#This Row],[BIMS Score]],BIMS[],2,FALSE),"")</f>
        <v/>
      </c>
      <c r="P19" s="3"/>
      <c r="Q19" s="3"/>
      <c r="R19" s="2"/>
      <c r="S19" s="168"/>
      <c r="T19" s="3"/>
      <c r="U19" s="3"/>
      <c r="V19" s="3"/>
    </row>
    <row r="20" spans="1:22" ht="20.85" customHeight="1" x14ac:dyDescent="0.25">
      <c r="A20" s="21"/>
      <c r="B20" s="267"/>
      <c r="C20" s="3"/>
      <c r="D20" s="264"/>
      <c r="E20" s="264"/>
      <c r="F20" s="267"/>
      <c r="G20" s="267"/>
      <c r="H20" s="2"/>
      <c r="I20" s="2"/>
      <c r="J20" s="2"/>
      <c r="K20" s="24" t="str">
        <f>IF(Nov[[#This Row],[Date of Incident]]="","",TEXT(Nov[[#This Row],[Date of Incident]],"ddd"))</f>
        <v/>
      </c>
      <c r="L20" s="1"/>
      <c r="M20" s="24" t="str">
        <f>IFERROR(VLOOKUP(Nov[[#This Row],[Hour]],Shifts[],2,FALSE),"")</f>
        <v/>
      </c>
      <c r="N20" s="2"/>
      <c r="O20" s="24" t="str">
        <f>IFERROR(VLOOKUP(Nov[[#This Row],[BIMS Score]],BIMS[],2,FALSE),"")</f>
        <v/>
      </c>
      <c r="P20" s="3"/>
      <c r="Q20" s="3"/>
      <c r="R20" s="2"/>
      <c r="S20" s="168"/>
      <c r="T20" s="3"/>
      <c r="U20" s="3"/>
      <c r="V20" s="3"/>
    </row>
    <row r="21" spans="1:22" ht="20.85" customHeight="1" x14ac:dyDescent="0.25">
      <c r="A21" s="21"/>
      <c r="B21" s="267"/>
      <c r="C21" s="3"/>
      <c r="D21" s="264"/>
      <c r="E21" s="264"/>
      <c r="F21" s="267"/>
      <c r="G21" s="267"/>
      <c r="H21" s="2"/>
      <c r="I21" s="2"/>
      <c r="J21" s="2"/>
      <c r="K21" s="24" t="str">
        <f>IF(Nov[[#This Row],[Date of Incident]]="","",TEXT(Nov[[#This Row],[Date of Incident]],"ddd"))</f>
        <v/>
      </c>
      <c r="L21" s="1"/>
      <c r="M21" s="24" t="str">
        <f>IFERROR(VLOOKUP(Nov[[#This Row],[Hour]],Shifts[],2,FALSE),"")</f>
        <v/>
      </c>
      <c r="N21" s="2"/>
      <c r="O21" s="24" t="str">
        <f>IFERROR(VLOOKUP(Nov[[#This Row],[BIMS Score]],BIMS[],2,FALSE),"")</f>
        <v/>
      </c>
      <c r="P21" s="3"/>
      <c r="Q21" s="3"/>
      <c r="R21" s="2"/>
      <c r="S21" s="168"/>
      <c r="T21" s="3"/>
      <c r="U21" s="3"/>
      <c r="V21" s="3"/>
    </row>
    <row r="22" spans="1:22" ht="20.85" customHeight="1" x14ac:dyDescent="0.25">
      <c r="A22" s="21"/>
      <c r="B22" s="267"/>
      <c r="C22" s="3"/>
      <c r="D22" s="264"/>
      <c r="E22" s="264"/>
      <c r="F22" s="267"/>
      <c r="G22" s="267"/>
      <c r="H22" s="2"/>
      <c r="I22" s="2"/>
      <c r="J22" s="2"/>
      <c r="K22" s="24" t="str">
        <f>IF(Nov[[#This Row],[Date of Incident]]="","",TEXT(Nov[[#This Row],[Date of Incident]],"ddd"))</f>
        <v/>
      </c>
      <c r="L22" s="1"/>
      <c r="M22" s="24" t="str">
        <f>IFERROR(VLOOKUP(Nov[[#This Row],[Hour]],Shifts[],2,FALSE),"")</f>
        <v/>
      </c>
      <c r="N22" s="1"/>
      <c r="O22" s="24" t="str">
        <f>IFERROR(VLOOKUP(Nov[[#This Row],[BIMS Score]],BIMS[],2,FALSE),"")</f>
        <v/>
      </c>
      <c r="P22" s="3"/>
      <c r="Q22" s="3"/>
      <c r="R22" s="2"/>
      <c r="S22" s="168"/>
      <c r="T22" s="3"/>
      <c r="U22" s="3"/>
      <c r="V22" s="3"/>
    </row>
    <row r="23" spans="1:22" ht="20.85" customHeight="1" x14ac:dyDescent="0.25">
      <c r="A23" s="21"/>
      <c r="B23" s="267"/>
      <c r="C23" s="3"/>
      <c r="D23" s="264"/>
      <c r="E23" s="264"/>
      <c r="F23" s="267"/>
      <c r="G23" s="267"/>
      <c r="H23" s="2"/>
      <c r="I23" s="2"/>
      <c r="J23" s="2"/>
      <c r="K23" s="24" t="str">
        <f>IF(Nov[[#This Row],[Date of Incident]]="","",TEXT(Nov[[#This Row],[Date of Incident]],"ddd"))</f>
        <v/>
      </c>
      <c r="L23" s="1"/>
      <c r="M23" s="24" t="str">
        <f>IFERROR(VLOOKUP(Nov[[#This Row],[Hour]],Shifts[],2,FALSE),"")</f>
        <v/>
      </c>
      <c r="N23" s="1"/>
      <c r="O23" s="24" t="str">
        <f>IFERROR(VLOOKUP(Nov[[#This Row],[BIMS Score]],BIMS[],2,FALSE),"")</f>
        <v/>
      </c>
      <c r="P23" s="3"/>
      <c r="Q23" s="3"/>
      <c r="R23" s="2"/>
      <c r="S23" s="168"/>
      <c r="T23" s="3"/>
      <c r="U23" s="3"/>
      <c r="V23" s="3"/>
    </row>
    <row r="24" spans="1:22" s="10" customFormat="1" ht="20.85" customHeight="1" x14ac:dyDescent="0.25">
      <c r="A24" s="26"/>
      <c r="B24" s="266"/>
      <c r="C24" s="5"/>
      <c r="D24" s="263"/>
      <c r="E24" s="263"/>
      <c r="F24" s="267"/>
      <c r="G24" s="267"/>
      <c r="H24" s="1"/>
      <c r="I24" s="1"/>
      <c r="J24" s="1"/>
      <c r="K24" s="24" t="str">
        <f>IF(Nov[[#This Row],[Date of Incident]]="","",TEXT(Nov[[#This Row],[Date of Incident]],"ddd"))</f>
        <v/>
      </c>
      <c r="L24" s="1"/>
      <c r="M24" s="24" t="str">
        <f>IFERROR(VLOOKUP(Nov[[#This Row],[Hour]],Shifts[],2,FALSE),"")</f>
        <v/>
      </c>
      <c r="N24" s="1"/>
      <c r="O24" s="24" t="str">
        <f>IFERROR(VLOOKUP(Nov[[#This Row],[BIMS Score]],BIMS[],2,FALSE),"")</f>
        <v/>
      </c>
      <c r="P24" s="3"/>
      <c r="Q24" s="3"/>
      <c r="R24" s="2"/>
      <c r="S24" s="168"/>
      <c r="T24" s="5"/>
      <c r="U24" s="5"/>
      <c r="V24" s="3"/>
    </row>
    <row r="25" spans="1:22" ht="20.85" customHeight="1" x14ac:dyDescent="0.25">
      <c r="A25" s="21"/>
      <c r="B25" s="266"/>
      <c r="C25" s="5"/>
      <c r="D25" s="263"/>
      <c r="E25" s="263"/>
      <c r="F25" s="267"/>
      <c r="G25" s="267"/>
      <c r="H25" s="1"/>
      <c r="I25" s="1"/>
      <c r="J25" s="1"/>
      <c r="K25" s="24" t="str">
        <f>IF(Nov[[#This Row],[Date of Incident]]="","",TEXT(Nov[[#This Row],[Date of Incident]],"ddd"))</f>
        <v/>
      </c>
      <c r="L25" s="1"/>
      <c r="M25" s="24" t="str">
        <f>IFERROR(VLOOKUP(Nov[[#This Row],[Hour]],Shifts[],2,FALSE),"")</f>
        <v/>
      </c>
      <c r="N25" s="1"/>
      <c r="O25" s="24" t="str">
        <f>IFERROR(VLOOKUP(Nov[[#This Row],[BIMS Score]],BIMS[],2,FALSE),"")</f>
        <v/>
      </c>
      <c r="P25" s="3"/>
      <c r="Q25" s="3"/>
      <c r="R25" s="2"/>
      <c r="S25" s="168"/>
      <c r="T25" s="5"/>
      <c r="U25" s="5"/>
      <c r="V25" s="3"/>
    </row>
    <row r="26" spans="1:22" ht="20.85" customHeight="1" x14ac:dyDescent="0.25">
      <c r="A26" s="21"/>
      <c r="B26" s="266"/>
      <c r="C26" s="5"/>
      <c r="D26" s="263"/>
      <c r="E26" s="263"/>
      <c r="F26" s="267"/>
      <c r="G26" s="267"/>
      <c r="H26" s="1"/>
      <c r="I26" s="1"/>
      <c r="J26" s="1"/>
      <c r="K26" s="24" t="str">
        <f>IF(Nov[[#This Row],[Date of Incident]]="","",TEXT(Nov[[#This Row],[Date of Incident]],"ddd"))</f>
        <v/>
      </c>
      <c r="L26" s="1"/>
      <c r="M26" s="24" t="str">
        <f>IFERROR(VLOOKUP(Nov[[#This Row],[Hour]],Shifts[],2,FALSE),"")</f>
        <v/>
      </c>
      <c r="N26" s="1"/>
      <c r="O26" s="24" t="str">
        <f>IFERROR(VLOOKUP(Nov[[#This Row],[BIMS Score]],BIMS[],2,FALSE),"")</f>
        <v/>
      </c>
      <c r="P26" s="3"/>
      <c r="Q26" s="3"/>
      <c r="R26" s="2"/>
      <c r="S26" s="168"/>
      <c r="T26" s="5"/>
      <c r="U26" s="5"/>
      <c r="V26" s="3"/>
    </row>
    <row r="27" spans="1:22" ht="20.85" customHeight="1" x14ac:dyDescent="0.25">
      <c r="A27" s="21"/>
      <c r="B27" s="266"/>
      <c r="C27" s="5"/>
      <c r="D27" s="263"/>
      <c r="E27" s="263"/>
      <c r="F27" s="267"/>
      <c r="G27" s="267"/>
      <c r="H27" s="1"/>
      <c r="I27" s="1"/>
      <c r="J27" s="1"/>
      <c r="K27" s="24" t="str">
        <f>IF(Nov[[#This Row],[Date of Incident]]="","",TEXT(Nov[[#This Row],[Date of Incident]],"ddd"))</f>
        <v/>
      </c>
      <c r="L27" s="1"/>
      <c r="M27" s="24" t="str">
        <f>IFERROR(VLOOKUP(Nov[[#This Row],[Hour]],Shifts[],2,FALSE),"")</f>
        <v/>
      </c>
      <c r="N27" s="1"/>
      <c r="O27" s="24" t="str">
        <f>IFERROR(VLOOKUP(Nov[[#This Row],[BIMS Score]],BIMS[],2,FALSE),"")</f>
        <v/>
      </c>
      <c r="P27" s="3"/>
      <c r="Q27" s="3"/>
      <c r="R27" s="2"/>
      <c r="S27" s="168"/>
      <c r="T27" s="5"/>
      <c r="U27" s="5"/>
      <c r="V27" s="3"/>
    </row>
    <row r="28" spans="1:22" ht="20.85" customHeight="1" x14ac:dyDescent="0.25">
      <c r="A28" s="21"/>
      <c r="B28" s="266"/>
      <c r="C28" s="5"/>
      <c r="D28" s="263"/>
      <c r="E28" s="263"/>
      <c r="F28" s="267"/>
      <c r="G28" s="267"/>
      <c r="H28" s="1"/>
      <c r="I28" s="1"/>
      <c r="J28" s="1"/>
      <c r="K28" s="24" t="str">
        <f>IF(Nov[[#This Row],[Date of Incident]]="","",TEXT(Nov[[#This Row],[Date of Incident]],"ddd"))</f>
        <v/>
      </c>
      <c r="L28" s="1"/>
      <c r="M28" s="24" t="str">
        <f>IFERROR(VLOOKUP(Nov[[#This Row],[Hour]],Shifts[],2,FALSE),"")</f>
        <v/>
      </c>
      <c r="N28" s="1"/>
      <c r="O28" s="24" t="str">
        <f>IFERROR(VLOOKUP(Nov[[#This Row],[BIMS Score]],BIMS[],2,FALSE),"")</f>
        <v/>
      </c>
      <c r="P28" s="3"/>
      <c r="Q28" s="3"/>
      <c r="R28" s="2"/>
      <c r="S28" s="168"/>
      <c r="T28" s="5"/>
      <c r="U28" s="5"/>
      <c r="V28" s="3"/>
    </row>
    <row r="29" spans="1:22" ht="20.85" customHeight="1" x14ac:dyDescent="0.25">
      <c r="B29" s="266"/>
      <c r="C29" s="5"/>
      <c r="D29" s="263"/>
      <c r="E29" s="263"/>
      <c r="F29" s="267"/>
      <c r="G29" s="267"/>
      <c r="H29" s="1"/>
      <c r="I29" s="1"/>
      <c r="J29" s="1"/>
      <c r="K29" s="27" t="str">
        <f>IF(Nov[[#This Row],[Date of Incident]]="","",TEXT(Nov[[#This Row],[Date of Incident]],"ddd"))</f>
        <v/>
      </c>
      <c r="L29" s="1"/>
      <c r="M29" s="27" t="str">
        <f>IFERROR(VLOOKUP(Nov[[#This Row],[Hour]],Shifts[],2,FALSE),"")</f>
        <v/>
      </c>
      <c r="N29" s="2"/>
      <c r="O29" s="24" t="str">
        <f>IFERROR(VLOOKUP(Nov[[#This Row],[BIMS Score]],BIMS[],2,FALSE),"")</f>
        <v/>
      </c>
      <c r="P29" s="3"/>
      <c r="Q29" s="3"/>
      <c r="R29" s="2"/>
      <c r="S29" s="168"/>
      <c r="T29" s="5"/>
      <c r="U29" s="5"/>
      <c r="V29" s="5"/>
    </row>
    <row r="30" spans="1:22" ht="20.85" customHeight="1" x14ac:dyDescent="0.25">
      <c r="B30" s="266"/>
      <c r="C30" s="5"/>
      <c r="D30" s="263"/>
      <c r="E30" s="263"/>
      <c r="F30" s="267"/>
      <c r="G30" s="267"/>
      <c r="H30" s="1"/>
      <c r="I30" s="1"/>
      <c r="J30" s="1"/>
      <c r="K30" s="27" t="str">
        <f>IF(Nov[[#This Row],[Date of Incident]]="","",TEXT(Nov[[#This Row],[Date of Incident]],"ddd"))</f>
        <v/>
      </c>
      <c r="L30" s="1"/>
      <c r="M30" s="27" t="str">
        <f>IFERROR(VLOOKUP(Nov[[#This Row],[Hour]],Shifts[],2,FALSE),"")</f>
        <v/>
      </c>
      <c r="N30" s="2"/>
      <c r="O30" s="24" t="str">
        <f>IFERROR(VLOOKUP(Nov[[#This Row],[BIMS Score]],BIMS[],2,FALSE),"")</f>
        <v/>
      </c>
      <c r="P30" s="3"/>
      <c r="Q30" s="3"/>
      <c r="R30" s="2"/>
      <c r="S30" s="168"/>
      <c r="T30" s="5"/>
      <c r="U30" s="5"/>
      <c r="V30" s="5"/>
    </row>
    <row r="31" spans="1:22" ht="20.85" customHeight="1" x14ac:dyDescent="0.25">
      <c r="B31" s="266"/>
      <c r="C31" s="5"/>
      <c r="D31" s="263"/>
      <c r="E31" s="263"/>
      <c r="F31" s="267"/>
      <c r="G31" s="267"/>
      <c r="H31" s="1"/>
      <c r="I31" s="1"/>
      <c r="J31" s="1"/>
      <c r="K31" s="27" t="str">
        <f>IF(Nov[[#This Row],[Date of Incident]]="","",TEXT(Nov[[#This Row],[Date of Incident]],"ddd"))</f>
        <v/>
      </c>
      <c r="L31" s="1"/>
      <c r="M31" s="27" t="str">
        <f>IFERROR(VLOOKUP(Nov[[#This Row],[Hour]],Shifts[],2,FALSE),"")</f>
        <v/>
      </c>
      <c r="N31" s="2"/>
      <c r="O31" s="24" t="str">
        <f>IFERROR(VLOOKUP(Nov[[#This Row],[BIMS Score]],BIMS[],2,FALSE),"")</f>
        <v/>
      </c>
      <c r="P31" s="3"/>
      <c r="Q31" s="3"/>
      <c r="R31" s="2"/>
      <c r="S31" s="168"/>
      <c r="T31" s="5"/>
      <c r="U31" s="5"/>
      <c r="V31" s="5"/>
    </row>
    <row r="32" spans="1:22" ht="20.85" customHeight="1" x14ac:dyDescent="0.25">
      <c r="B32" s="266"/>
      <c r="C32" s="5"/>
      <c r="D32" s="263"/>
      <c r="E32" s="263"/>
      <c r="F32" s="267"/>
      <c r="G32" s="267"/>
      <c r="H32" s="1"/>
      <c r="I32" s="1"/>
      <c r="J32" s="1"/>
      <c r="K32" s="27" t="str">
        <f>IF(Nov[[#This Row],[Date of Incident]]="","",TEXT(Nov[[#This Row],[Date of Incident]],"ddd"))</f>
        <v/>
      </c>
      <c r="L32" s="1"/>
      <c r="M32" s="27" t="str">
        <f>IFERROR(VLOOKUP(Nov[[#This Row],[Hour]],Shifts[],2,FALSE),"")</f>
        <v/>
      </c>
      <c r="N32" s="2"/>
      <c r="O32" s="24" t="str">
        <f>IFERROR(VLOOKUP(Nov[[#This Row],[BIMS Score]],BIMS[],2,FALSE),"")</f>
        <v/>
      </c>
      <c r="P32" s="3"/>
      <c r="Q32" s="3"/>
      <c r="R32" s="2"/>
      <c r="S32" s="168"/>
      <c r="T32" s="5"/>
      <c r="U32" s="5"/>
      <c r="V32" s="5"/>
    </row>
    <row r="33" spans="2:22" ht="20.85" customHeight="1" x14ac:dyDescent="0.25">
      <c r="B33" s="266"/>
      <c r="C33" s="5"/>
      <c r="D33" s="263"/>
      <c r="E33" s="263"/>
      <c r="F33" s="267"/>
      <c r="G33" s="267"/>
      <c r="H33" s="1"/>
      <c r="I33" s="1"/>
      <c r="J33" s="1"/>
      <c r="K33" s="27" t="str">
        <f>IF(Nov[[#This Row],[Date of Incident]]="","",TEXT(Nov[[#This Row],[Date of Incident]],"ddd"))</f>
        <v/>
      </c>
      <c r="L33" s="1"/>
      <c r="M33" s="27" t="str">
        <f>IFERROR(VLOOKUP(Nov[[#This Row],[Hour]],Shifts[],2,FALSE),"")</f>
        <v/>
      </c>
      <c r="N33" s="2"/>
      <c r="O33" s="24" t="str">
        <f>IFERROR(VLOOKUP(Nov[[#This Row],[BIMS Score]],BIMS[],2,FALSE),"")</f>
        <v/>
      </c>
      <c r="P33" s="3"/>
      <c r="Q33" s="3"/>
      <c r="R33" s="2"/>
      <c r="S33" s="168"/>
      <c r="T33" s="5"/>
      <c r="U33" s="5"/>
      <c r="V33" s="5"/>
    </row>
    <row r="34" spans="2:22" ht="20.85" customHeight="1" x14ac:dyDescent="0.25">
      <c r="B34" s="266"/>
      <c r="C34" s="5"/>
      <c r="D34" s="263"/>
      <c r="E34" s="263"/>
      <c r="F34" s="267"/>
      <c r="G34" s="267"/>
      <c r="H34" s="1"/>
      <c r="I34" s="1"/>
      <c r="J34" s="1"/>
      <c r="K34" s="27" t="str">
        <f>IF(Nov[[#This Row],[Date of Incident]]="","",TEXT(Nov[[#This Row],[Date of Incident]],"ddd"))</f>
        <v/>
      </c>
      <c r="L34" s="1"/>
      <c r="M34" s="27" t="str">
        <f>IFERROR(VLOOKUP(Nov[[#This Row],[Hour]],Shifts[],2,FALSE),"")</f>
        <v/>
      </c>
      <c r="N34" s="2"/>
      <c r="O34" s="24" t="str">
        <f>IFERROR(VLOOKUP(Nov[[#This Row],[BIMS Score]],BIMS[],2,FALSE),"")</f>
        <v/>
      </c>
      <c r="P34" s="3"/>
      <c r="Q34" s="3"/>
      <c r="R34" s="2"/>
      <c r="S34" s="168"/>
      <c r="T34" s="5"/>
      <c r="U34" s="5"/>
      <c r="V34" s="5"/>
    </row>
    <row r="35" spans="2:22" ht="20.85" customHeight="1" x14ac:dyDescent="0.25">
      <c r="B35" s="266"/>
      <c r="C35" s="5"/>
      <c r="D35" s="263"/>
      <c r="E35" s="263"/>
      <c r="F35" s="267"/>
      <c r="G35" s="267"/>
      <c r="H35" s="1"/>
      <c r="I35" s="1"/>
      <c r="J35" s="1"/>
      <c r="K35" s="27" t="str">
        <f>IF(Nov[[#This Row],[Date of Incident]]="","",TEXT(Nov[[#This Row],[Date of Incident]],"ddd"))</f>
        <v/>
      </c>
      <c r="L35" s="1"/>
      <c r="M35" s="27" t="str">
        <f>IFERROR(VLOOKUP(Nov[[#This Row],[Hour]],Shifts[],2,FALSE),"")</f>
        <v/>
      </c>
      <c r="N35" s="2"/>
      <c r="O35" s="24" t="str">
        <f>IFERROR(VLOOKUP(Nov[[#This Row],[BIMS Score]],BIMS[],2,FALSE),"")</f>
        <v/>
      </c>
      <c r="P35" s="3"/>
      <c r="Q35" s="3"/>
      <c r="R35" s="2"/>
      <c r="S35" s="168"/>
      <c r="T35" s="5"/>
      <c r="U35" s="5"/>
      <c r="V35" s="5"/>
    </row>
    <row r="36" spans="2:22" ht="20.85" customHeight="1" x14ac:dyDescent="0.25">
      <c r="B36" s="266"/>
      <c r="C36" s="5"/>
      <c r="D36" s="263"/>
      <c r="E36" s="263"/>
      <c r="F36" s="267"/>
      <c r="G36" s="267"/>
      <c r="H36" s="1"/>
      <c r="I36" s="1"/>
      <c r="J36" s="1"/>
      <c r="K36" s="27" t="str">
        <f>IF(Nov[[#This Row],[Date of Incident]]="","",TEXT(Nov[[#This Row],[Date of Incident]],"ddd"))</f>
        <v/>
      </c>
      <c r="L36" s="1"/>
      <c r="M36" s="27" t="str">
        <f>IFERROR(VLOOKUP(Nov[[#This Row],[Hour]],Shifts[],2,FALSE),"")</f>
        <v/>
      </c>
      <c r="N36" s="2"/>
      <c r="O36" s="24" t="str">
        <f>IFERROR(VLOOKUP(Nov[[#This Row],[BIMS Score]],BIMS[],2,FALSE),"")</f>
        <v/>
      </c>
      <c r="P36" s="3"/>
      <c r="Q36" s="3"/>
      <c r="R36" s="2"/>
      <c r="S36" s="168"/>
      <c r="T36" s="5"/>
      <c r="U36" s="5"/>
      <c r="V36" s="5"/>
    </row>
    <row r="37" spans="2:22" ht="20.85" customHeight="1" x14ac:dyDescent="0.25">
      <c r="B37" s="266"/>
      <c r="C37" s="5"/>
      <c r="D37" s="263"/>
      <c r="E37" s="263"/>
      <c r="F37" s="267"/>
      <c r="G37" s="267"/>
      <c r="H37" s="1"/>
      <c r="I37" s="1"/>
      <c r="J37" s="1"/>
      <c r="K37" s="27" t="str">
        <f>IF(Nov[[#This Row],[Date of Incident]]="","",TEXT(Nov[[#This Row],[Date of Incident]],"ddd"))</f>
        <v/>
      </c>
      <c r="L37" s="1"/>
      <c r="M37" s="27" t="str">
        <f>IFERROR(VLOOKUP(Nov[[#This Row],[Hour]],Shifts[],2,FALSE),"")</f>
        <v/>
      </c>
      <c r="N37" s="2"/>
      <c r="O37" s="24" t="str">
        <f>IFERROR(VLOOKUP(Nov[[#This Row],[BIMS Score]],BIMS[],2,FALSE),"")</f>
        <v/>
      </c>
      <c r="P37" s="3"/>
      <c r="Q37" s="3"/>
      <c r="R37" s="2"/>
      <c r="S37" s="168"/>
      <c r="T37" s="5"/>
      <c r="U37" s="5"/>
      <c r="V37" s="5"/>
    </row>
    <row r="38" spans="2:22" ht="20.85" customHeight="1" x14ac:dyDescent="0.25">
      <c r="B38" s="266"/>
      <c r="C38" s="5"/>
      <c r="D38" s="263"/>
      <c r="E38" s="263"/>
      <c r="F38" s="267"/>
      <c r="G38" s="267"/>
      <c r="H38" s="1"/>
      <c r="I38" s="1"/>
      <c r="J38" s="1"/>
      <c r="K38" s="27" t="str">
        <f>IF(Nov[[#This Row],[Date of Incident]]="","",TEXT(Nov[[#This Row],[Date of Incident]],"ddd"))</f>
        <v/>
      </c>
      <c r="L38" s="1"/>
      <c r="M38" s="27" t="str">
        <f>IFERROR(VLOOKUP(Nov[[#This Row],[Hour]],Shifts[],2,FALSE),"")</f>
        <v/>
      </c>
      <c r="N38" s="2"/>
      <c r="O38" s="24" t="str">
        <f>IFERROR(VLOOKUP(Nov[[#This Row],[BIMS Score]],BIMS[],2,FALSE),"")</f>
        <v/>
      </c>
      <c r="P38" s="3"/>
      <c r="Q38" s="3"/>
      <c r="R38" s="2"/>
      <c r="S38" s="168"/>
      <c r="T38" s="5"/>
      <c r="U38" s="5"/>
      <c r="V38" s="5"/>
    </row>
    <row r="39" spans="2:22" ht="20.85" customHeight="1" x14ac:dyDescent="0.25">
      <c r="B39" s="266"/>
      <c r="C39" s="5"/>
      <c r="D39" s="263"/>
      <c r="E39" s="263"/>
      <c r="F39" s="267"/>
      <c r="G39" s="267"/>
      <c r="H39" s="1"/>
      <c r="I39" s="1"/>
      <c r="J39" s="1"/>
      <c r="K39" s="27" t="str">
        <f>IF(Nov[[#This Row],[Date of Incident]]="","",TEXT(Nov[[#This Row],[Date of Incident]],"ddd"))</f>
        <v/>
      </c>
      <c r="L39" s="1"/>
      <c r="M39" s="27" t="str">
        <f>IFERROR(VLOOKUP(Nov[[#This Row],[Hour]],Shifts[],2,FALSE),"")</f>
        <v/>
      </c>
      <c r="N39" s="2"/>
      <c r="O39" s="24" t="str">
        <f>IFERROR(VLOOKUP(Nov[[#This Row],[BIMS Score]],BIMS[],2,FALSE),"")</f>
        <v/>
      </c>
      <c r="P39" s="3"/>
      <c r="Q39" s="3"/>
      <c r="R39" s="2"/>
      <c r="S39" s="168"/>
      <c r="T39" s="5"/>
      <c r="U39" s="5"/>
      <c r="V39" s="5"/>
    </row>
    <row r="40" spans="2:22" ht="20.85" customHeight="1" x14ac:dyDescent="0.25">
      <c r="B40" s="266"/>
      <c r="C40" s="5"/>
      <c r="D40" s="263"/>
      <c r="E40" s="263"/>
      <c r="F40" s="267"/>
      <c r="G40" s="267"/>
      <c r="H40" s="1"/>
      <c r="I40" s="1"/>
      <c r="J40" s="1"/>
      <c r="K40" s="27" t="str">
        <f>IF(Nov[[#This Row],[Date of Incident]]="","",TEXT(Nov[[#This Row],[Date of Incident]],"ddd"))</f>
        <v/>
      </c>
      <c r="L40" s="1"/>
      <c r="M40" s="27" t="str">
        <f>IFERROR(VLOOKUP(Nov[[#This Row],[Hour]],Shifts[],2,FALSE),"")</f>
        <v/>
      </c>
      <c r="N40" s="2"/>
      <c r="O40" s="24" t="str">
        <f>IFERROR(VLOOKUP(Nov[[#This Row],[BIMS Score]],BIMS[],2,FALSE),"")</f>
        <v/>
      </c>
      <c r="P40" s="3"/>
      <c r="Q40" s="3"/>
      <c r="R40" s="2"/>
      <c r="S40" s="168"/>
      <c r="T40" s="5"/>
      <c r="U40" s="5"/>
      <c r="V40" s="5"/>
    </row>
    <row r="41" spans="2:22" x14ac:dyDescent="0.25">
      <c r="B41" s="26"/>
      <c r="C41" s="21"/>
      <c r="D41" s="22"/>
      <c r="E41" s="23"/>
      <c r="F41" s="26"/>
      <c r="G41" s="26"/>
      <c r="H41" s="26"/>
      <c r="I41" s="26"/>
      <c r="J41" s="26"/>
      <c r="K41" s="26"/>
      <c r="L41" s="26"/>
      <c r="M41" s="26"/>
      <c r="N41" s="20"/>
      <c r="O41" s="25"/>
      <c r="P41" s="21"/>
      <c r="Q41" s="21"/>
      <c r="R41" s="25"/>
    </row>
    <row r="42" spans="2:22" x14ac:dyDescent="0.25">
      <c r="B42" s="26"/>
      <c r="C42" s="21"/>
      <c r="D42" s="22"/>
      <c r="E42" s="23"/>
      <c r="F42" s="26"/>
      <c r="G42" s="26"/>
      <c r="H42" s="26"/>
      <c r="I42" s="26"/>
      <c r="J42" s="26"/>
      <c r="K42" s="26"/>
      <c r="L42" s="26"/>
      <c r="M42" s="26"/>
      <c r="N42" s="20"/>
      <c r="O42" s="25"/>
      <c r="P42" s="21"/>
      <c r="Q42" s="21"/>
      <c r="R42" s="25"/>
    </row>
    <row r="43" spans="2:22" x14ac:dyDescent="0.25">
      <c r="B43" s="26"/>
      <c r="C43" s="21"/>
      <c r="D43" s="22"/>
      <c r="E43" s="23"/>
      <c r="F43" s="26"/>
      <c r="G43" s="26"/>
      <c r="H43" s="26"/>
      <c r="I43" s="26"/>
      <c r="J43" s="26"/>
      <c r="K43" s="26"/>
      <c r="L43" s="26"/>
      <c r="M43" s="26"/>
      <c r="N43" s="20"/>
      <c r="O43" s="25"/>
      <c r="P43" s="21"/>
      <c r="Q43" s="21"/>
      <c r="R43" s="25"/>
    </row>
    <row r="44" spans="2:22" x14ac:dyDescent="0.25">
      <c r="B44" s="26"/>
      <c r="C44" s="21"/>
      <c r="D44" s="22"/>
      <c r="E44" s="23"/>
      <c r="F44" s="26"/>
      <c r="G44" s="26"/>
      <c r="H44" s="26"/>
      <c r="I44" s="26"/>
      <c r="J44" s="26"/>
      <c r="K44" s="26"/>
      <c r="L44" s="26"/>
      <c r="M44" s="26"/>
      <c r="N44" s="20"/>
      <c r="O44" s="25"/>
      <c r="P44" s="21"/>
      <c r="Q44" s="21"/>
      <c r="R44" s="25"/>
    </row>
    <row r="45" spans="2:22" x14ac:dyDescent="0.25">
      <c r="B45" s="26"/>
      <c r="C45" s="21"/>
      <c r="D45" s="22"/>
      <c r="E45" s="23"/>
      <c r="F45" s="26"/>
      <c r="G45" s="26"/>
      <c r="H45" s="26"/>
      <c r="I45" s="26"/>
      <c r="J45" s="26"/>
      <c r="K45" s="26"/>
      <c r="L45" s="26"/>
      <c r="M45" s="26"/>
      <c r="N45" s="20"/>
      <c r="O45" s="25"/>
      <c r="P45" s="21"/>
      <c r="Q45" s="21"/>
      <c r="R45" s="25"/>
    </row>
    <row r="46" spans="2:22" x14ac:dyDescent="0.25">
      <c r="B46" s="26"/>
      <c r="C46" s="21"/>
      <c r="D46" s="22"/>
      <c r="E46" s="23"/>
      <c r="F46" s="26"/>
      <c r="G46" s="26"/>
      <c r="H46" s="26"/>
      <c r="I46" s="26"/>
      <c r="J46" s="26"/>
      <c r="K46" s="26"/>
      <c r="L46" s="26"/>
      <c r="M46" s="26"/>
      <c r="N46" s="20"/>
      <c r="O46" s="25"/>
      <c r="P46" s="21"/>
      <c r="Q46" s="21"/>
      <c r="R46" s="25"/>
    </row>
    <row r="47" spans="2:22" x14ac:dyDescent="0.25">
      <c r="B47" s="26"/>
      <c r="C47" s="21"/>
      <c r="D47" s="22"/>
      <c r="E47" s="23"/>
      <c r="F47" s="26"/>
      <c r="G47" s="26"/>
      <c r="H47" s="26"/>
      <c r="I47" s="26"/>
      <c r="J47" s="26"/>
      <c r="K47" s="26"/>
      <c r="L47" s="26"/>
      <c r="M47" s="26"/>
      <c r="N47" s="20"/>
      <c r="O47" s="25"/>
      <c r="P47" s="21"/>
      <c r="Q47" s="21"/>
      <c r="R47" s="25"/>
    </row>
    <row r="48" spans="2:22" x14ac:dyDescent="0.25">
      <c r="B48" s="26"/>
      <c r="C48" s="21"/>
      <c r="D48" s="22"/>
      <c r="E48" s="23"/>
      <c r="F48" s="26"/>
      <c r="G48" s="26"/>
      <c r="H48" s="26"/>
      <c r="I48" s="26"/>
      <c r="J48" s="26"/>
      <c r="K48" s="26"/>
      <c r="L48" s="26"/>
      <c r="M48" s="26"/>
      <c r="N48" s="20"/>
      <c r="O48" s="25"/>
      <c r="P48" s="21"/>
      <c r="Q48" s="21"/>
      <c r="R48" s="25"/>
    </row>
    <row r="49" spans="1:18" x14ac:dyDescent="0.25">
      <c r="B49" s="26"/>
      <c r="C49" s="21"/>
      <c r="D49" s="22"/>
      <c r="E49" s="23"/>
      <c r="F49" s="26"/>
      <c r="G49" s="26"/>
      <c r="H49" s="26"/>
      <c r="I49" s="26"/>
      <c r="J49" s="26"/>
      <c r="K49" s="26"/>
      <c r="L49" s="26"/>
      <c r="M49" s="26"/>
      <c r="N49" s="20"/>
      <c r="O49" s="25"/>
      <c r="P49" s="21"/>
      <c r="Q49" s="21"/>
      <c r="R49" s="25"/>
    </row>
    <row r="50" spans="1:18" ht="15.75" thickBot="1" x14ac:dyDescent="0.3">
      <c r="B50" s="26"/>
      <c r="C50" s="21"/>
      <c r="D50" s="22"/>
      <c r="E50" s="23"/>
      <c r="F50" s="26"/>
      <c r="G50" s="26"/>
      <c r="H50" s="26"/>
      <c r="I50" s="26"/>
      <c r="Q50" s="21"/>
    </row>
    <row r="51" spans="1:18" ht="22.35" customHeight="1" thickBot="1" x14ac:dyDescent="0.3">
      <c r="B51" s="282" t="s">
        <v>85</v>
      </c>
      <c r="C51" s="283"/>
      <c r="D51" s="284"/>
      <c r="F51" s="282" t="s">
        <v>100</v>
      </c>
      <c r="G51" s="283"/>
      <c r="H51" s="284"/>
    </row>
    <row r="52" spans="1:18" ht="15.6" customHeight="1" x14ac:dyDescent="0.25">
      <c r="B52" s="285" t="s">
        <v>83</v>
      </c>
      <c r="C52" s="286"/>
      <c r="D52" s="28" t="s">
        <v>35</v>
      </c>
      <c r="F52" s="285" t="s">
        <v>83</v>
      </c>
      <c r="G52" s="286"/>
      <c r="H52" s="28" t="s">
        <v>35</v>
      </c>
    </row>
    <row r="53" spans="1:18" x14ac:dyDescent="0.25">
      <c r="B53" s="29" t="s">
        <v>41</v>
      </c>
      <c r="C53" s="30"/>
      <c r="D53" s="31">
        <f>COUNTIFS(Nov[Witnessed
Fall?],$B53)</f>
        <v>0</v>
      </c>
      <c r="F53" s="29" t="s">
        <v>79</v>
      </c>
      <c r="G53" s="30"/>
      <c r="H53" s="31">
        <f>COUNTIFS(Nov[Fall Circumstances],$F53)</f>
        <v>0</v>
      </c>
    </row>
    <row r="54" spans="1:18" ht="15.75" thickBot="1" x14ac:dyDescent="0.3">
      <c r="B54" s="32" t="s">
        <v>42</v>
      </c>
      <c r="C54" s="33"/>
      <c r="D54" s="34">
        <f>COUNTIFS(Nov[Witnessed
Fall?],$B54)</f>
        <v>0</v>
      </c>
      <c r="F54" s="29" t="s">
        <v>101</v>
      </c>
      <c r="G54" s="30"/>
      <c r="H54" s="31">
        <f>COUNTIFS(Nov[Fall Circumstances],$F54)</f>
        <v>0</v>
      </c>
    </row>
    <row r="55" spans="1:18" ht="15.6" customHeight="1" thickBot="1" x14ac:dyDescent="0.3">
      <c r="B55" s="287" t="s">
        <v>16</v>
      </c>
      <c r="C55" s="288"/>
      <c r="D55" s="35">
        <f>SUM(D53:D54)</f>
        <v>0</v>
      </c>
      <c r="F55" s="32" t="s">
        <v>102</v>
      </c>
      <c r="G55" s="33"/>
      <c r="H55" s="36">
        <f>COUNTIFS(Nov[Fall Circumstances],$F55)</f>
        <v>0</v>
      </c>
    </row>
    <row r="56" spans="1:18" ht="15.6" customHeight="1" thickBot="1" x14ac:dyDescent="0.3">
      <c r="A56" s="26"/>
      <c r="B56" s="21"/>
      <c r="C56" s="22"/>
      <c r="D56" s="26"/>
      <c r="F56" s="287" t="s">
        <v>16</v>
      </c>
      <c r="G56" s="288"/>
      <c r="H56" s="37">
        <f>SUM(H53:H55)</f>
        <v>0</v>
      </c>
    </row>
    <row r="57" spans="1:18" ht="15.75" thickBot="1" x14ac:dyDescent="0.3">
      <c r="A57" s="26"/>
      <c r="B57" s="21"/>
      <c r="C57" s="22"/>
      <c r="D57" s="26"/>
      <c r="F57" s="26"/>
      <c r="G57" s="21"/>
      <c r="H57" s="22"/>
      <c r="L57" s="21"/>
      <c r="O57" s="22"/>
    </row>
    <row r="58" spans="1:18" ht="15.75" thickBot="1" x14ac:dyDescent="0.3">
      <c r="A58" s="26"/>
      <c r="B58" s="21"/>
      <c r="C58" s="22"/>
      <c r="D58" s="26"/>
      <c r="F58" s="282" t="s">
        <v>103</v>
      </c>
      <c r="G58" s="283"/>
      <c r="H58" s="284"/>
      <c r="L58" s="21"/>
      <c r="O58" s="22"/>
    </row>
    <row r="59" spans="1:18" x14ac:dyDescent="0.25">
      <c r="A59" s="26"/>
      <c r="B59" s="21"/>
      <c r="C59" s="22"/>
      <c r="D59" s="26"/>
      <c r="F59" s="285" t="s">
        <v>26</v>
      </c>
      <c r="G59" s="286"/>
      <c r="H59" s="28" t="s">
        <v>35</v>
      </c>
      <c r="L59" s="21"/>
      <c r="O59" s="22"/>
    </row>
    <row r="60" spans="1:18" ht="15.6" customHeight="1" x14ac:dyDescent="0.25">
      <c r="F60" s="29" t="s">
        <v>142</v>
      </c>
      <c r="G60" s="30"/>
      <c r="H60" s="31">
        <f>COUNTIFS(Nov[Cognitive Impairment],$F60)</f>
        <v>0</v>
      </c>
    </row>
    <row r="61" spans="1:18" x14ac:dyDescent="0.25">
      <c r="F61" s="29" t="s">
        <v>143</v>
      </c>
      <c r="G61" s="30"/>
      <c r="H61" s="31">
        <f>COUNTIFS(Nov[Cognitive Impairment],$F61)</f>
        <v>0</v>
      </c>
    </row>
    <row r="62" spans="1:18" ht="15.75" thickBot="1" x14ac:dyDescent="0.3">
      <c r="F62" s="32" t="s">
        <v>144</v>
      </c>
      <c r="G62" s="33"/>
      <c r="H62" s="31">
        <f>COUNTIFS(Nov[Cognitive Impairment],$F62)</f>
        <v>0</v>
      </c>
    </row>
    <row r="63" spans="1:18" ht="15.75" thickBot="1" x14ac:dyDescent="0.3">
      <c r="F63" s="287" t="s">
        <v>16</v>
      </c>
      <c r="G63" s="288"/>
      <c r="H63" s="37">
        <f>SUM(H60:H62)</f>
        <v>0</v>
      </c>
    </row>
    <row r="64" spans="1:18" ht="15.75" thickBot="1" x14ac:dyDescent="0.3"/>
    <row r="65" spans="1:8" ht="21.4" customHeight="1" thickBot="1" x14ac:dyDescent="0.3">
      <c r="B65" s="282" t="s">
        <v>78</v>
      </c>
      <c r="C65" s="283"/>
      <c r="D65" s="283"/>
      <c r="E65" s="283"/>
      <c r="F65" s="283"/>
      <c r="G65" s="284"/>
    </row>
    <row r="66" spans="1:8" ht="15.6" customHeight="1" x14ac:dyDescent="0.25">
      <c r="A66" s="38"/>
      <c r="B66" s="290" t="s">
        <v>86</v>
      </c>
      <c r="C66" s="291"/>
      <c r="D66" s="291"/>
      <c r="E66" s="291"/>
      <c r="F66" s="292"/>
      <c r="G66" s="28" t="s">
        <v>35</v>
      </c>
    </row>
    <row r="67" spans="1:8" x14ac:dyDescent="0.25">
      <c r="A67" s="38"/>
      <c r="B67" s="39" t="str" cm="1">
        <f t="array" ref="B67:B90">IF(_xlfn._xlws.SORT(PriortoFall[What was the resident doing prior to fall?],1,1,TRUE)=0,"",(_xlfn._xlws.SORT(PriortoFall[What was the resident doing prior to fall?],1,1,TRUE)))</f>
        <v>Ambulating with assistive device (walker, cane, wheelchair)</v>
      </c>
      <c r="C67" s="40"/>
      <c r="D67" s="40"/>
      <c r="E67" s="40"/>
      <c r="F67" s="41"/>
      <c r="G67" s="42">
        <f>IF($B67="",NA(),COUNTIFS(Nov[What was resident doing prior to fall?],$B67))</f>
        <v>0</v>
      </c>
      <c r="H67" s="43"/>
    </row>
    <row r="68" spans="1:8" x14ac:dyDescent="0.25">
      <c r="A68" s="38"/>
      <c r="B68" s="44" t="str">
        <v>Ambulating with staff assistance</v>
      </c>
      <c r="C68" s="45"/>
      <c r="D68" s="45"/>
      <c r="E68" s="45"/>
      <c r="F68" s="46"/>
      <c r="G68" s="42">
        <f>IF($B68="",NA(),COUNTIFS(Nov[What was resident doing prior to fall?],$B68))</f>
        <v>0</v>
      </c>
    </row>
    <row r="69" spans="1:8" x14ac:dyDescent="0.25">
      <c r="A69" s="38"/>
      <c r="B69" s="39" t="str">
        <v>Ambulating without assistance or assistive device</v>
      </c>
      <c r="C69" s="40"/>
      <c r="D69" s="40"/>
      <c r="E69" s="40"/>
      <c r="F69" s="41"/>
      <c r="G69" s="42">
        <f>IF($B69="",NA(),COUNTIFS(Nov[What was resident doing prior to fall?],$B69))</f>
        <v>0</v>
      </c>
    </row>
    <row r="70" spans="1:8" x14ac:dyDescent="0.25">
      <c r="A70" s="38"/>
      <c r="B70" s="44" t="str">
        <v>Changing position (e.g., in bed, chair)</v>
      </c>
      <c r="C70" s="45"/>
      <c r="D70" s="45"/>
      <c r="E70" s="45"/>
      <c r="F70" s="46"/>
      <c r="G70" s="42">
        <f>IF($B70="",NA(),COUNTIFS(Nov[What was resident doing prior to fall?],$B70))</f>
        <v>0</v>
      </c>
    </row>
    <row r="71" spans="1:8" x14ac:dyDescent="0.25">
      <c r="A71" s="38"/>
      <c r="B71" s="44" t="str">
        <v>Dressing or undressing</v>
      </c>
      <c r="C71" s="45"/>
      <c r="D71" s="45"/>
      <c r="E71" s="45"/>
      <c r="F71" s="46"/>
      <c r="G71" s="42">
        <f>IF($B71="",NA(),COUNTIFS(Nov[What was resident doing prior to fall?],$B71))</f>
        <v>0</v>
      </c>
    </row>
    <row r="72" spans="1:8" x14ac:dyDescent="0.25">
      <c r="A72" s="38"/>
      <c r="B72" s="44" t="str">
        <v>Other activity</v>
      </c>
      <c r="C72" s="45"/>
      <c r="D72" s="45"/>
      <c r="E72" s="45"/>
      <c r="F72" s="46"/>
      <c r="G72" s="42">
        <f>IF($B72="",NA(),COUNTIFS(Nov[What was resident doing prior to fall?],$B72))</f>
        <v>0</v>
      </c>
    </row>
    <row r="73" spans="1:8" x14ac:dyDescent="0.25">
      <c r="A73" s="38"/>
      <c r="B73" s="44" t="str">
        <v>Reaching for an item</v>
      </c>
      <c r="C73" s="45"/>
      <c r="D73" s="45"/>
      <c r="E73" s="45"/>
      <c r="F73" s="46"/>
      <c r="G73" s="42">
        <f>IF($B73="",NA(),COUNTIFS(Nov[What was resident doing prior to fall?],$B73))</f>
        <v>0</v>
      </c>
    </row>
    <row r="74" spans="1:8" x14ac:dyDescent="0.25">
      <c r="A74" s="38"/>
      <c r="B74" s="44" t="str">
        <v>Showering or bathing</v>
      </c>
      <c r="C74" s="45"/>
      <c r="D74" s="45"/>
      <c r="E74" s="45"/>
      <c r="F74" s="46"/>
      <c r="G74" s="42">
        <f>IF($B74="",NA(),COUNTIFS(Nov[What was resident doing prior to fall?],$B74))</f>
        <v>0</v>
      </c>
    </row>
    <row r="75" spans="1:8" x14ac:dyDescent="0.25">
      <c r="A75" s="38"/>
      <c r="B75" s="44" t="str">
        <v>Toileting</v>
      </c>
      <c r="C75" s="45"/>
      <c r="D75" s="45"/>
      <c r="E75" s="45"/>
      <c r="F75" s="46"/>
      <c r="G75" s="42">
        <f>IF($B75="",NA(),COUNTIFS(Nov[What was resident doing prior to fall?],$B75))</f>
        <v>0</v>
      </c>
    </row>
    <row r="76" spans="1:8" x14ac:dyDescent="0.25">
      <c r="A76" s="38"/>
      <c r="B76" s="44" t="str">
        <v>Transferring to or from bed, chair, wheelchair, etc.</v>
      </c>
      <c r="C76" s="45"/>
      <c r="D76" s="45"/>
      <c r="E76" s="45"/>
      <c r="F76" s="46"/>
      <c r="G76" s="42">
        <f>IF($B76="",NA(),COUNTIFS(Nov[What was resident doing prior to fall?],$B76))</f>
        <v>0</v>
      </c>
    </row>
    <row r="77" spans="1:8" x14ac:dyDescent="0.25">
      <c r="A77" s="38"/>
      <c r="B77" s="39" t="str">
        <v>Unknown</v>
      </c>
      <c r="C77" s="40"/>
      <c r="D77" s="40"/>
      <c r="E77" s="40"/>
      <c r="F77" s="41"/>
      <c r="G77" s="42">
        <f>IF($B77="",NA(),COUNTIFS(Nov[What was resident doing prior to fall?],$B77))</f>
        <v>0</v>
      </c>
    </row>
    <row r="78" spans="1:8" x14ac:dyDescent="0.25">
      <c r="A78" s="38"/>
      <c r="B78" s="44" t="str">
        <v/>
      </c>
      <c r="C78" s="45"/>
      <c r="D78" s="45"/>
      <c r="E78" s="45"/>
      <c r="F78" s="46"/>
      <c r="G78" s="42" t="e">
        <f>IF($B78="",NA(),COUNTIFS(Nov[What was resident doing prior to fall?],$B78))</f>
        <v>#N/A</v>
      </c>
    </row>
    <row r="79" spans="1:8" x14ac:dyDescent="0.25">
      <c r="A79" s="38"/>
      <c r="B79" s="39" t="str">
        <v/>
      </c>
      <c r="C79" s="40"/>
      <c r="D79" s="40"/>
      <c r="E79" s="40"/>
      <c r="F79" s="41"/>
      <c r="G79" s="42" t="e">
        <f>IF($B79="",NA(),COUNTIFS(Nov[What was resident doing prior to fall?],$B79))</f>
        <v>#N/A</v>
      </c>
    </row>
    <row r="80" spans="1:8" x14ac:dyDescent="0.25">
      <c r="A80" s="38"/>
      <c r="B80" s="44" t="str">
        <v/>
      </c>
      <c r="C80" s="45"/>
      <c r="D80" s="45"/>
      <c r="E80" s="45"/>
      <c r="F80" s="46"/>
      <c r="G80" s="42" t="e">
        <f>IF($B80="",NA(),COUNTIFS(Nov[What was resident doing prior to fall?],$B80))</f>
        <v>#N/A</v>
      </c>
    </row>
    <row r="81" spans="1:7" x14ac:dyDescent="0.25">
      <c r="A81" s="38"/>
      <c r="B81" s="39" t="str">
        <v/>
      </c>
      <c r="C81" s="40"/>
      <c r="D81" s="40"/>
      <c r="E81" s="40"/>
      <c r="F81" s="41"/>
      <c r="G81" s="42" t="e">
        <f>IF($B81="",NA(),COUNTIFS(Nov[What was resident doing prior to fall?],$B81))</f>
        <v>#N/A</v>
      </c>
    </row>
    <row r="82" spans="1:7" x14ac:dyDescent="0.25">
      <c r="A82" s="38"/>
      <c r="B82" s="44" t="str">
        <v/>
      </c>
      <c r="C82" s="45"/>
      <c r="D82" s="45"/>
      <c r="E82" s="45"/>
      <c r="F82" s="46"/>
      <c r="G82" s="42" t="e">
        <f>IF($B82="",NA(),COUNTIFS(Nov[What was resident doing prior to fall?],$B82))</f>
        <v>#N/A</v>
      </c>
    </row>
    <row r="83" spans="1:7" x14ac:dyDescent="0.25">
      <c r="A83" s="38"/>
      <c r="B83" s="39" t="str">
        <v/>
      </c>
      <c r="C83" s="40"/>
      <c r="D83" s="40"/>
      <c r="E83" s="40"/>
      <c r="F83" s="41"/>
      <c r="G83" s="42" t="e">
        <f>IF($B83="",NA(),COUNTIFS(Nov[What was resident doing prior to fall?],$B83))</f>
        <v>#N/A</v>
      </c>
    </row>
    <row r="84" spans="1:7" x14ac:dyDescent="0.25">
      <c r="A84" s="38"/>
      <c r="B84" s="44" t="str">
        <v/>
      </c>
      <c r="C84" s="45"/>
      <c r="D84" s="45"/>
      <c r="E84" s="45"/>
      <c r="F84" s="46"/>
      <c r="G84" s="42" t="e">
        <f>IF($B84="",NA(),COUNTIFS(Nov[What was resident doing prior to fall?],$B84))</f>
        <v>#N/A</v>
      </c>
    </row>
    <row r="85" spans="1:7" x14ac:dyDescent="0.25">
      <c r="A85" s="38"/>
      <c r="B85" s="44" t="str">
        <v/>
      </c>
      <c r="C85" s="45"/>
      <c r="D85" s="45"/>
      <c r="E85" s="45"/>
      <c r="F85" s="46"/>
      <c r="G85" s="42" t="e">
        <f>IF($B85="",NA(),COUNTIFS(Nov[What was resident doing prior to fall?],$B85))</f>
        <v>#N/A</v>
      </c>
    </row>
    <row r="86" spans="1:7" x14ac:dyDescent="0.25">
      <c r="A86" s="38"/>
      <c r="B86" s="39" t="str">
        <v/>
      </c>
      <c r="C86" s="40"/>
      <c r="D86" s="40"/>
      <c r="E86" s="40"/>
      <c r="F86" s="41"/>
      <c r="G86" s="42" t="e">
        <f>IF($B86="",NA(),COUNTIFS(Nov[What was resident doing prior to fall?],$B86))</f>
        <v>#N/A</v>
      </c>
    </row>
    <row r="87" spans="1:7" x14ac:dyDescent="0.25">
      <c r="A87" s="38"/>
      <c r="B87" s="44" t="str">
        <v/>
      </c>
      <c r="C87" s="45"/>
      <c r="D87" s="45"/>
      <c r="E87" s="45"/>
      <c r="F87" s="46"/>
      <c r="G87" s="42" t="e">
        <f>IF($B87="",NA(),COUNTIFS(Nov[What was resident doing prior to fall?],$B87))</f>
        <v>#N/A</v>
      </c>
    </row>
    <row r="88" spans="1:7" x14ac:dyDescent="0.25">
      <c r="A88" s="38"/>
      <c r="B88" s="39" t="str">
        <v/>
      </c>
      <c r="C88" s="40"/>
      <c r="D88" s="40"/>
      <c r="E88" s="40"/>
      <c r="F88" s="41"/>
      <c r="G88" s="42" t="e">
        <f>IF($B88="",NA(),COUNTIFS(Nov[What was resident doing prior to fall?],$B88))</f>
        <v>#N/A</v>
      </c>
    </row>
    <row r="89" spans="1:7" x14ac:dyDescent="0.25">
      <c r="A89" s="38"/>
      <c r="B89" s="44" t="str">
        <v/>
      </c>
      <c r="C89" s="45"/>
      <c r="D89" s="45"/>
      <c r="E89" s="45"/>
      <c r="F89" s="46"/>
      <c r="G89" s="42" t="e">
        <f>IF($B89="",NA(),COUNTIFS(Nov[What was resident doing prior to fall?],$B89))</f>
        <v>#N/A</v>
      </c>
    </row>
    <row r="90" spans="1:7" ht="15.75" thickBot="1" x14ac:dyDescent="0.3">
      <c r="A90" s="38"/>
      <c r="B90" s="47" t="str">
        <v/>
      </c>
      <c r="C90" s="47"/>
      <c r="D90" s="47"/>
      <c r="E90" s="47"/>
      <c r="F90" s="48"/>
      <c r="G90" s="42" t="e">
        <f>IF($B90="",NA(),COUNTIFS(Nov[What was resident doing prior to fall?],$B90))</f>
        <v>#N/A</v>
      </c>
    </row>
    <row r="91" spans="1:7" ht="15.6" customHeight="1" thickBot="1" x14ac:dyDescent="0.3">
      <c r="B91" s="287" t="s">
        <v>35</v>
      </c>
      <c r="C91" s="288"/>
      <c r="D91" s="288"/>
      <c r="E91" s="288"/>
      <c r="F91" s="289"/>
      <c r="G91" s="37">
        <f>_xlfn.AGGREGATE(9,6,G67:G90)</f>
        <v>0</v>
      </c>
    </row>
    <row r="92" spans="1:7" ht="15.75" thickBot="1" x14ac:dyDescent="0.3"/>
    <row r="93" spans="1:7" ht="22.35" customHeight="1" thickBot="1" x14ac:dyDescent="0.3">
      <c r="B93" s="295" t="s">
        <v>173</v>
      </c>
      <c r="C93" s="296"/>
      <c r="D93" s="297"/>
    </row>
    <row r="94" spans="1:7" x14ac:dyDescent="0.25">
      <c r="A94" s="38"/>
      <c r="B94" s="300" t="s">
        <v>1</v>
      </c>
      <c r="C94" s="301"/>
      <c r="D94" s="49" t="s">
        <v>35</v>
      </c>
    </row>
    <row r="95" spans="1:7" x14ac:dyDescent="0.25">
      <c r="A95" s="38"/>
      <c r="B95" s="50" t="str" cm="1">
        <f t="array" ref="B95:B105">IF(_xlfn._xlws.SORT(Location[Location],1,1,TRUE)=0,"",(_xlfn._xlws.SORT(Location[Location],1,1,TRUE)))</f>
        <v>Activity Room</v>
      </c>
      <c r="C95" s="51"/>
      <c r="D95" s="52">
        <f>IF($B95="",NA(),COUNTIFS(Nov[Location],$B95))</f>
        <v>0</v>
      </c>
    </row>
    <row r="96" spans="1:7" x14ac:dyDescent="0.25">
      <c r="A96" s="38"/>
      <c r="B96" s="50" t="str">
        <v>Bedroom</v>
      </c>
      <c r="C96" s="51"/>
      <c r="D96" s="52">
        <f>IF($B96="",NA(),COUNTIFS(Nov[Location],$B96))</f>
        <v>0</v>
      </c>
    </row>
    <row r="97" spans="1:4" x14ac:dyDescent="0.25">
      <c r="A97" s="38"/>
      <c r="B97" s="50" t="str">
        <v>Bathroom</v>
      </c>
      <c r="C97" s="51"/>
      <c r="D97" s="52">
        <f>IF($B97="",NA(),COUNTIFS(Nov[Location],$B97))</f>
        <v>0</v>
      </c>
    </row>
    <row r="98" spans="1:4" x14ac:dyDescent="0.25">
      <c r="A98" s="38"/>
      <c r="B98" s="50" t="str">
        <v>Hallway</v>
      </c>
      <c r="C98" s="51"/>
      <c r="D98" s="52">
        <f>IF($B98="",NA(),COUNTIFS(Nov[Location],$B98))</f>
        <v>0</v>
      </c>
    </row>
    <row r="99" spans="1:4" x14ac:dyDescent="0.25">
      <c r="A99" s="38"/>
      <c r="B99" s="50" t="str">
        <v>Offsite</v>
      </c>
      <c r="C99" s="51"/>
      <c r="D99" s="52">
        <f>IF($B99="",NA(),COUNTIFS(Nov[Location],$B99))</f>
        <v>0</v>
      </c>
    </row>
    <row r="100" spans="1:4" x14ac:dyDescent="0.25">
      <c r="A100" s="38"/>
      <c r="B100" s="53" t="str">
        <v>Shower Room</v>
      </c>
      <c r="C100" s="54"/>
      <c r="D100" s="52">
        <f>IF($B100="",NA(),COUNTIFS(Nov[Location],$B100))</f>
        <v>0</v>
      </c>
    </row>
    <row r="101" spans="1:4" x14ac:dyDescent="0.25">
      <c r="A101" s="38"/>
      <c r="B101" s="55" t="str">
        <v>Dining Room</v>
      </c>
      <c r="C101" s="56"/>
      <c r="D101" s="52">
        <f>IF($B101="",NA(),COUNTIFS(Nov[Location],$B101))</f>
        <v>0</v>
      </c>
    </row>
    <row r="102" spans="1:4" x14ac:dyDescent="0.25">
      <c r="A102" s="38"/>
      <c r="B102" s="57" t="str">
        <v/>
      </c>
      <c r="C102" s="58"/>
      <c r="D102" s="52" t="e">
        <f>IF($B102="",NA(),COUNTIFS(Nov[Location],$B102))</f>
        <v>#N/A</v>
      </c>
    </row>
    <row r="103" spans="1:4" x14ac:dyDescent="0.25">
      <c r="A103" s="38"/>
      <c r="B103" s="59" t="str">
        <v/>
      </c>
      <c r="C103" s="51"/>
      <c r="D103" s="52" t="e">
        <f>IF($B103="",NA(),COUNTIFS(Nov[Location],$B103))</f>
        <v>#N/A</v>
      </c>
    </row>
    <row r="104" spans="1:4" x14ac:dyDescent="0.25">
      <c r="A104" s="38"/>
      <c r="B104" s="53" t="str">
        <v/>
      </c>
      <c r="C104" s="60"/>
      <c r="D104" s="52" t="e">
        <f>IF($B104="",NA(),COUNTIFS(Nov[Location],$B104))</f>
        <v>#N/A</v>
      </c>
    </row>
    <row r="105" spans="1:4" ht="15.75" thickBot="1" x14ac:dyDescent="0.3">
      <c r="A105" s="38"/>
      <c r="B105" s="59" t="str">
        <v/>
      </c>
      <c r="C105" s="61"/>
      <c r="D105" s="52" t="e">
        <f>IF($B105="",NA(),COUNTIFS(Nov[Location],$B105))</f>
        <v>#N/A</v>
      </c>
    </row>
    <row r="106" spans="1:4" ht="15.75" thickBot="1" x14ac:dyDescent="0.3">
      <c r="B106" s="298" t="s">
        <v>16</v>
      </c>
      <c r="C106" s="299"/>
      <c r="D106" s="37">
        <f>_xlfn.AGGREGATE(9,6,D95:D105)</f>
        <v>0</v>
      </c>
    </row>
    <row r="107" spans="1:4" ht="15.75" thickBot="1" x14ac:dyDescent="0.3"/>
    <row r="108" spans="1:4" ht="21.4" customHeight="1" thickBot="1" x14ac:dyDescent="0.3">
      <c r="B108" s="282" t="str">
        <f>"Falls by Nursing Station "</f>
        <v xml:space="preserve">Falls by Nursing Station </v>
      </c>
      <c r="C108" s="283"/>
      <c r="D108" s="284"/>
    </row>
    <row r="109" spans="1:4" ht="15.75" x14ac:dyDescent="0.25">
      <c r="B109" s="293" t="s">
        <v>2</v>
      </c>
      <c r="C109" s="293"/>
      <c r="D109" s="28" t="s">
        <v>35</v>
      </c>
    </row>
    <row r="110" spans="1:4" x14ac:dyDescent="0.25">
      <c r="B110" s="62" cm="1">
        <f t="array" ref="B110:B120">IF(_xlfn._xlws.SORT(NS[Nurses Stations],1,1,TRUE)=0,"",(_xlfn._xlws.SORT(NS[Nurses Stations],1,1,TRUE)))</f>
        <v>1</v>
      </c>
      <c r="C110" s="63"/>
      <c r="D110" s="31">
        <f>IF($B110="",NA(),COUNTIFS(Nov[Station],$B110))</f>
        <v>0</v>
      </c>
    </row>
    <row r="111" spans="1:4" x14ac:dyDescent="0.25">
      <c r="B111" s="62">
        <v>2</v>
      </c>
      <c r="C111" s="63"/>
      <c r="D111" s="31">
        <f>IF($B111="",NA(),COUNTIFS(Nov[Station],$B111))</f>
        <v>0</v>
      </c>
    </row>
    <row r="112" spans="1:4" x14ac:dyDescent="0.25">
      <c r="B112" s="62">
        <v>3</v>
      </c>
      <c r="C112" s="63"/>
      <c r="D112" s="31">
        <f>IF($B112="",NA(),COUNTIFS(Nov[Station],$B112))</f>
        <v>0</v>
      </c>
    </row>
    <row r="113" spans="2:4" x14ac:dyDescent="0.25">
      <c r="B113" s="62">
        <v>4</v>
      </c>
      <c r="C113" s="63"/>
      <c r="D113" s="31">
        <f>IF($B113="",NA(),COUNTIFS(Nov[Station],$B113))</f>
        <v>0</v>
      </c>
    </row>
    <row r="114" spans="2:4" x14ac:dyDescent="0.25">
      <c r="B114" s="62">
        <v>5</v>
      </c>
      <c r="C114" s="63"/>
      <c r="D114" s="31">
        <f>IF($B114="",NA(),COUNTIFS(Nov[Station],$B114))</f>
        <v>0</v>
      </c>
    </row>
    <row r="115" spans="2:4" x14ac:dyDescent="0.25">
      <c r="B115" s="62" t="str">
        <v/>
      </c>
      <c r="C115" s="63"/>
      <c r="D115" s="31" t="e">
        <f>IF($B115="",NA(),COUNTIFS(Nov[Station],$B115))</f>
        <v>#N/A</v>
      </c>
    </row>
    <row r="116" spans="2:4" x14ac:dyDescent="0.25">
      <c r="B116" s="62" t="str">
        <v/>
      </c>
      <c r="C116" s="63"/>
      <c r="D116" s="31" t="e">
        <f>IF($B116="",NA(),COUNTIFS(Nov[Station],$B116))</f>
        <v>#N/A</v>
      </c>
    </row>
    <row r="117" spans="2:4" x14ac:dyDescent="0.25">
      <c r="B117" s="62" t="str">
        <v/>
      </c>
      <c r="C117" s="63"/>
      <c r="D117" s="31" t="e">
        <f>IF($B117="",NA(),COUNTIFS(Nov[Station],$B117))</f>
        <v>#N/A</v>
      </c>
    </row>
    <row r="118" spans="2:4" x14ac:dyDescent="0.25">
      <c r="B118" s="62" t="str">
        <v/>
      </c>
      <c r="C118" s="63"/>
      <c r="D118" s="31" t="e">
        <f>IF($B118="",NA(),COUNTIFS(Nov[Station],$B118))</f>
        <v>#N/A</v>
      </c>
    </row>
    <row r="119" spans="2:4" x14ac:dyDescent="0.25">
      <c r="B119" s="62" t="str">
        <v/>
      </c>
      <c r="C119" s="63"/>
      <c r="D119" s="31" t="e">
        <f>IF($B119="",NA(),COUNTIFS(Nov[Station],$B119))</f>
        <v>#N/A</v>
      </c>
    </row>
    <row r="120" spans="2:4" ht="15.75" thickBot="1" x14ac:dyDescent="0.3">
      <c r="B120" s="64" t="str">
        <v/>
      </c>
      <c r="C120" s="63"/>
      <c r="D120" s="31" t="e">
        <f>IF($B120="",NA(),COUNTIFS(Nov[Station],$B120))</f>
        <v>#N/A</v>
      </c>
    </row>
    <row r="121" spans="2:4" ht="15.6" customHeight="1" thickBot="1" x14ac:dyDescent="0.3">
      <c r="B121" s="287" t="s">
        <v>16</v>
      </c>
      <c r="C121" s="288"/>
      <c r="D121" s="37">
        <f>_xlfn.AGGREGATE(9,6,D110:D120)</f>
        <v>0</v>
      </c>
    </row>
    <row r="122" spans="2:4" ht="15.6" customHeight="1" thickBot="1" x14ac:dyDescent="0.3">
      <c r="B122" s="65"/>
      <c r="C122" s="66"/>
      <c r="D122" s="67"/>
    </row>
    <row r="123" spans="2:4" ht="21.95" customHeight="1" thickBot="1" x14ac:dyDescent="0.3">
      <c r="B123" s="282" t="str">
        <f>"Falls by Day of the Week "</f>
        <v xml:space="preserve">Falls by Day of the Week </v>
      </c>
      <c r="C123" s="283"/>
      <c r="D123" s="284"/>
    </row>
    <row r="124" spans="2:4" ht="15.75" x14ac:dyDescent="0.25">
      <c r="B124" s="293" t="s">
        <v>3</v>
      </c>
      <c r="C124" s="293"/>
      <c r="D124" s="28" t="s">
        <v>35</v>
      </c>
    </row>
    <row r="125" spans="2:4" x14ac:dyDescent="0.25">
      <c r="B125" s="294" t="s">
        <v>46</v>
      </c>
      <c r="C125" s="294"/>
      <c r="D125" s="31">
        <f>COUNTIFS(Nov[Day],$B125)</f>
        <v>0</v>
      </c>
    </row>
    <row r="126" spans="2:4" x14ac:dyDescent="0.25">
      <c r="B126" s="294" t="s">
        <v>47</v>
      </c>
      <c r="C126" s="294"/>
      <c r="D126" s="31">
        <f>COUNTIFS(Nov[Day],$B126)</f>
        <v>0</v>
      </c>
    </row>
    <row r="127" spans="2:4" x14ac:dyDescent="0.25">
      <c r="B127" s="294" t="s">
        <v>52</v>
      </c>
      <c r="C127" s="294"/>
      <c r="D127" s="31">
        <f>COUNTIFS(Nov[Day],$B127)</f>
        <v>0</v>
      </c>
    </row>
    <row r="128" spans="2:4" x14ac:dyDescent="0.25">
      <c r="B128" s="294" t="s">
        <v>48</v>
      </c>
      <c r="C128" s="294"/>
      <c r="D128" s="31">
        <f>COUNTIFS(Nov[Day],$B128)</f>
        <v>0</v>
      </c>
    </row>
    <row r="129" spans="2:4" x14ac:dyDescent="0.25">
      <c r="B129" s="294" t="s">
        <v>51</v>
      </c>
      <c r="C129" s="294"/>
      <c r="D129" s="31">
        <f>COUNTIFS(Nov[Day],$B129)</f>
        <v>0</v>
      </c>
    </row>
    <row r="130" spans="2:4" x14ac:dyDescent="0.25">
      <c r="B130" s="294" t="s">
        <v>49</v>
      </c>
      <c r="C130" s="294"/>
      <c r="D130" s="31">
        <f>COUNTIFS(Nov[Day],$B130)</f>
        <v>0</v>
      </c>
    </row>
    <row r="131" spans="2:4" ht="15.75" thickBot="1" x14ac:dyDescent="0.3">
      <c r="B131" s="294" t="s">
        <v>50</v>
      </c>
      <c r="C131" s="294"/>
      <c r="D131" s="34">
        <f>COUNTIFS(Nov[Day],$B131)</f>
        <v>0</v>
      </c>
    </row>
    <row r="132" spans="2:4" ht="15.6" customHeight="1" thickBot="1" x14ac:dyDescent="0.3">
      <c r="B132" s="287" t="s">
        <v>16</v>
      </c>
      <c r="C132" s="288"/>
      <c r="D132" s="35">
        <f>SUM(D125:D131)</f>
        <v>0</v>
      </c>
    </row>
    <row r="133" spans="2:4" ht="15.75" thickBot="1" x14ac:dyDescent="0.3"/>
    <row r="134" spans="2:4" ht="21.4" customHeight="1" thickBot="1" x14ac:dyDescent="0.3">
      <c r="B134" s="282" t="str">
        <f>"Falls by Shift"</f>
        <v>Falls by Shift</v>
      </c>
      <c r="C134" s="283"/>
      <c r="D134" s="284"/>
    </row>
    <row r="135" spans="2:4" ht="15.75" x14ac:dyDescent="0.25">
      <c r="B135" s="293" t="s">
        <v>34</v>
      </c>
      <c r="C135" s="293"/>
      <c r="D135" s="28" t="s">
        <v>35</v>
      </c>
    </row>
    <row r="136" spans="2:4" x14ac:dyDescent="0.25">
      <c r="B136" s="29" t="str" cm="1">
        <f t="array" ref="B136:B140">IF(_xlfn._xlws.SORT('Data Validation'!P3:P7,1,1,TRUE)=0,"",(_xlfn._xlws.SORT('Data Validation'!P3:P7,1,1,TRUE)))</f>
        <v>11-7</v>
      </c>
      <c r="C136" s="58"/>
      <c r="D136" s="31">
        <f>IF($B136="",NA(),COUNTIFS(Nov[Shift],$B136))</f>
        <v>0</v>
      </c>
    </row>
    <row r="137" spans="2:4" x14ac:dyDescent="0.25">
      <c r="B137" s="29" t="str">
        <v>11–7</v>
      </c>
      <c r="C137" s="58"/>
      <c r="D137" s="31">
        <f>IF($B137="",NA(),COUNTIFS(Nov[Shift],$B137))</f>
        <v>0</v>
      </c>
    </row>
    <row r="138" spans="2:4" x14ac:dyDescent="0.25">
      <c r="B138" s="29" t="str">
        <v>7–3</v>
      </c>
      <c r="C138" s="58"/>
      <c r="D138" s="31">
        <f>IF($B138="",NA(),COUNTIFS(Nov[Shift],$B138))</f>
        <v>0</v>
      </c>
    </row>
    <row r="139" spans="2:4" x14ac:dyDescent="0.25">
      <c r="B139" s="29" t="str">
        <v>3–11</v>
      </c>
      <c r="C139" s="58"/>
      <c r="D139" s="31">
        <f>IF($B139="",NA(),COUNTIFS(Nov[Shift],$B139))</f>
        <v>0</v>
      </c>
    </row>
    <row r="140" spans="2:4" ht="15.75" thickBot="1" x14ac:dyDescent="0.3">
      <c r="B140" s="29" t="str">
        <v/>
      </c>
      <c r="C140" s="68"/>
      <c r="D140" s="34" t="e">
        <f>IF($B140="",NA(),COUNTIFS(Nov[Shift],$B140))</f>
        <v>#N/A</v>
      </c>
    </row>
    <row r="141" spans="2:4" ht="15.75" thickBot="1" x14ac:dyDescent="0.3">
      <c r="B141" s="287" t="s">
        <v>16</v>
      </c>
      <c r="C141" s="288"/>
      <c r="D141" s="35">
        <f>_xlfn.AGGREGATE(9,6,D136:D140)</f>
        <v>0</v>
      </c>
    </row>
    <row r="142" spans="2:4" ht="15.75" thickBot="1" x14ac:dyDescent="0.3"/>
    <row r="143" spans="2:4" ht="21.4" customHeight="1" thickBot="1" x14ac:dyDescent="0.3">
      <c r="B143" s="282" t="str">
        <f>"Falls by Hour "</f>
        <v xml:space="preserve">Falls by Hour </v>
      </c>
      <c r="C143" s="283"/>
      <c r="D143" s="284"/>
    </row>
    <row r="144" spans="2:4" ht="15.75" x14ac:dyDescent="0.25">
      <c r="B144" s="293" t="s">
        <v>33</v>
      </c>
      <c r="C144" s="293"/>
      <c r="D144" s="28" t="s">
        <v>35</v>
      </c>
    </row>
    <row r="145" spans="2:4" x14ac:dyDescent="0.25">
      <c r="B145" s="294" t="s">
        <v>115</v>
      </c>
      <c r="C145" s="294"/>
      <c r="D145" s="31">
        <f>COUNTIFS(Nov[Hour],$B145)</f>
        <v>0</v>
      </c>
    </row>
    <row r="146" spans="2:4" x14ac:dyDescent="0.25">
      <c r="B146" s="294" t="s">
        <v>116</v>
      </c>
      <c r="C146" s="294"/>
      <c r="D146" s="31">
        <f>COUNTIFS(Nov[Hour],$B146)</f>
        <v>0</v>
      </c>
    </row>
    <row r="147" spans="2:4" x14ac:dyDescent="0.25">
      <c r="B147" s="294" t="s">
        <v>117</v>
      </c>
      <c r="C147" s="294"/>
      <c r="D147" s="31">
        <f>COUNTIFS(Nov[Hour],$B147)</f>
        <v>0</v>
      </c>
    </row>
    <row r="148" spans="2:4" x14ac:dyDescent="0.25">
      <c r="B148" s="294" t="s">
        <v>118</v>
      </c>
      <c r="C148" s="294"/>
      <c r="D148" s="31">
        <f>COUNTIFS(Nov[Hour],$B148)</f>
        <v>0</v>
      </c>
    </row>
    <row r="149" spans="2:4" x14ac:dyDescent="0.25">
      <c r="B149" s="294" t="s">
        <v>119</v>
      </c>
      <c r="C149" s="294"/>
      <c r="D149" s="31">
        <f>COUNTIFS(Nov[Hour],$B149)</f>
        <v>0</v>
      </c>
    </row>
    <row r="150" spans="2:4" x14ac:dyDescent="0.25">
      <c r="B150" s="294" t="s">
        <v>120</v>
      </c>
      <c r="C150" s="294"/>
      <c r="D150" s="31">
        <f>COUNTIFS(Nov[Hour],$B150)</f>
        <v>0</v>
      </c>
    </row>
    <row r="151" spans="2:4" x14ac:dyDescent="0.25">
      <c r="B151" s="294" t="s">
        <v>121</v>
      </c>
      <c r="C151" s="294"/>
      <c r="D151" s="31">
        <f>COUNTIFS(Nov[Hour],$B151)</f>
        <v>0</v>
      </c>
    </row>
    <row r="152" spans="2:4" x14ac:dyDescent="0.25">
      <c r="B152" s="294" t="s">
        <v>122</v>
      </c>
      <c r="C152" s="294"/>
      <c r="D152" s="31">
        <f>COUNTIFS(Nov[Hour],$B152)</f>
        <v>0</v>
      </c>
    </row>
    <row r="153" spans="2:4" x14ac:dyDescent="0.25">
      <c r="B153" s="294" t="s">
        <v>123</v>
      </c>
      <c r="C153" s="294"/>
      <c r="D153" s="31">
        <f>COUNTIFS(Nov[Hour],$B153)</f>
        <v>0</v>
      </c>
    </row>
    <row r="154" spans="2:4" x14ac:dyDescent="0.25">
      <c r="B154" s="294" t="s">
        <v>124</v>
      </c>
      <c r="C154" s="294"/>
      <c r="D154" s="31">
        <f>COUNTIFS(Nov[Hour],$B154)</f>
        <v>0</v>
      </c>
    </row>
    <row r="155" spans="2:4" x14ac:dyDescent="0.25">
      <c r="B155" s="294" t="s">
        <v>125</v>
      </c>
      <c r="C155" s="294"/>
      <c r="D155" s="31">
        <f>COUNTIFS(Nov[Hour],$B155)</f>
        <v>0</v>
      </c>
    </row>
    <row r="156" spans="2:4" x14ac:dyDescent="0.25">
      <c r="B156" s="294" t="s">
        <v>126</v>
      </c>
      <c r="C156" s="294"/>
      <c r="D156" s="31">
        <f>COUNTIFS(Nov[Hour],$B156)</f>
        <v>0</v>
      </c>
    </row>
    <row r="157" spans="2:4" x14ac:dyDescent="0.25">
      <c r="B157" s="294" t="s">
        <v>127</v>
      </c>
      <c r="C157" s="294"/>
      <c r="D157" s="31">
        <f>COUNTIFS(Nov[Hour],$B157)</f>
        <v>0</v>
      </c>
    </row>
    <row r="158" spans="2:4" x14ac:dyDescent="0.25">
      <c r="B158" s="294" t="s">
        <v>128</v>
      </c>
      <c r="C158" s="294"/>
      <c r="D158" s="31">
        <f>COUNTIFS(Nov[Hour],$B158)</f>
        <v>0</v>
      </c>
    </row>
    <row r="159" spans="2:4" x14ac:dyDescent="0.25">
      <c r="B159" s="294" t="s">
        <v>129</v>
      </c>
      <c r="C159" s="294"/>
      <c r="D159" s="31">
        <f>COUNTIFS(Nov[Hour],$B159)</f>
        <v>0</v>
      </c>
    </row>
    <row r="160" spans="2:4" x14ac:dyDescent="0.25">
      <c r="B160" s="294" t="s">
        <v>130</v>
      </c>
      <c r="C160" s="294"/>
      <c r="D160" s="31">
        <f>COUNTIFS(Nov[Hour],$B160)</f>
        <v>0</v>
      </c>
    </row>
    <row r="161" spans="1:8" x14ac:dyDescent="0.25">
      <c r="B161" s="294" t="s">
        <v>131</v>
      </c>
      <c r="C161" s="294"/>
      <c r="D161" s="31">
        <f>COUNTIFS(Nov[Hour],$B161)</f>
        <v>0</v>
      </c>
    </row>
    <row r="162" spans="1:8" x14ac:dyDescent="0.25">
      <c r="B162" s="294" t="s">
        <v>132</v>
      </c>
      <c r="C162" s="294"/>
      <c r="D162" s="31">
        <f>COUNTIFS(Nov[Hour],$B162)</f>
        <v>0</v>
      </c>
    </row>
    <row r="163" spans="1:8" x14ac:dyDescent="0.25">
      <c r="B163" s="294" t="s">
        <v>133</v>
      </c>
      <c r="C163" s="294"/>
      <c r="D163" s="31">
        <f>COUNTIFS(Nov[Hour],$B163)</f>
        <v>0</v>
      </c>
    </row>
    <row r="164" spans="1:8" x14ac:dyDescent="0.25">
      <c r="B164" s="294" t="s">
        <v>134</v>
      </c>
      <c r="C164" s="294"/>
      <c r="D164" s="31">
        <f>COUNTIFS(Nov[Hour],$B164)</f>
        <v>0</v>
      </c>
    </row>
    <row r="165" spans="1:8" x14ac:dyDescent="0.25">
      <c r="B165" s="294" t="s">
        <v>135</v>
      </c>
      <c r="C165" s="294"/>
      <c r="D165" s="31">
        <f>COUNTIFS(Nov[Hour],$B165)</f>
        <v>0</v>
      </c>
    </row>
    <row r="166" spans="1:8" x14ac:dyDescent="0.25">
      <c r="B166" s="294" t="s">
        <v>136</v>
      </c>
      <c r="C166" s="294"/>
      <c r="D166" s="31">
        <f>COUNTIFS(Nov[Hour],$B166)</f>
        <v>0</v>
      </c>
    </row>
    <row r="167" spans="1:8" x14ac:dyDescent="0.25">
      <c r="B167" s="294" t="s">
        <v>137</v>
      </c>
      <c r="C167" s="294"/>
      <c r="D167" s="31">
        <f>COUNTIFS(Nov[Hour],$B167)</f>
        <v>0</v>
      </c>
    </row>
    <row r="168" spans="1:8" ht="15.75" thickBot="1" x14ac:dyDescent="0.3">
      <c r="B168" s="294" t="s">
        <v>138</v>
      </c>
      <c r="C168" s="294"/>
      <c r="D168" s="34">
        <f>COUNTIFS(Nov[Hour],$B168)</f>
        <v>0</v>
      </c>
    </row>
    <row r="169" spans="1:8" ht="15.75" thickBot="1" x14ac:dyDescent="0.3">
      <c r="B169" s="287" t="s">
        <v>35</v>
      </c>
      <c r="C169" s="288"/>
      <c r="D169" s="35">
        <f>SUM(D145:D168)</f>
        <v>0</v>
      </c>
    </row>
    <row r="170" spans="1:8" ht="15.75" thickBot="1" x14ac:dyDescent="0.3"/>
    <row r="171" spans="1:8" ht="21.4" customHeight="1" thickBot="1" x14ac:dyDescent="0.3">
      <c r="B171" s="282" t="str">
        <f>"Falls by Contributing Factors"</f>
        <v>Falls by Contributing Factors</v>
      </c>
      <c r="C171" s="283"/>
      <c r="D171" s="283"/>
      <c r="E171" s="283"/>
      <c r="F171" s="283"/>
      <c r="G171" s="284"/>
    </row>
    <row r="172" spans="1:8" ht="15.6" customHeight="1" x14ac:dyDescent="0.25">
      <c r="A172" s="38"/>
      <c r="B172" s="290" t="s">
        <v>92</v>
      </c>
      <c r="C172" s="291"/>
      <c r="D172" s="291"/>
      <c r="E172" s="291"/>
      <c r="F172" s="292"/>
      <c r="G172" s="28" t="s">
        <v>35</v>
      </c>
    </row>
    <row r="173" spans="1:8" x14ac:dyDescent="0.25">
      <c r="A173" s="38"/>
      <c r="B173" s="44" t="str" cm="1">
        <f t="array" ref="B173:B196">IF(_xlfn._xlws.SORT(CF[Contributing Factors],1,1,TRUE)=0,"",(_xlfn._xlws.SORT(CF[Contributing Factors],1,1,TRUE)))</f>
        <v>Assisted/caregiver transfer</v>
      </c>
      <c r="C173" s="45"/>
      <c r="D173" s="45"/>
      <c r="E173" s="45"/>
      <c r="F173" s="46"/>
      <c r="G173" s="42">
        <f>IF($B173="",NA(),COUNTIFS(Nov[Contributing Factors],$B173))</f>
        <v>0</v>
      </c>
      <c r="H173" s="43"/>
    </row>
    <row r="174" spans="1:8" x14ac:dyDescent="0.25">
      <c r="A174" s="38"/>
      <c r="B174" s="39" t="str">
        <v>Bowel and bladder (B&amp;B) needs</v>
      </c>
      <c r="C174" s="40"/>
      <c r="D174" s="40"/>
      <c r="E174" s="40"/>
      <c r="F174" s="41"/>
      <c r="G174" s="42">
        <f>IF($B174="",NA(),COUNTIFS(Nov[Contributing Factors],$B174))</f>
        <v>0</v>
      </c>
    </row>
    <row r="175" spans="1:8" x14ac:dyDescent="0.25">
      <c r="A175" s="38"/>
      <c r="B175" s="44" t="str">
        <v>Behavioral or situational</v>
      </c>
      <c r="C175" s="45"/>
      <c r="D175" s="45"/>
      <c r="E175" s="45"/>
      <c r="F175" s="46"/>
      <c r="G175" s="42">
        <f>IF($B175="",NA(),COUNTIFS(Nov[Contributing Factors],$B175))</f>
        <v>0</v>
      </c>
    </row>
    <row r="176" spans="1:8" x14ac:dyDescent="0.25">
      <c r="A176" s="38"/>
      <c r="B176" s="39" t="str">
        <v>Change of condition</v>
      </c>
      <c r="C176" s="40"/>
      <c r="D176" s="40"/>
      <c r="E176" s="40"/>
      <c r="F176" s="41"/>
      <c r="G176" s="42">
        <f>IF($B176="",NA(),COUNTIFS(Nov[Contributing Factors],$B176))</f>
        <v>0</v>
      </c>
    </row>
    <row r="177" spans="1:7" x14ac:dyDescent="0.25">
      <c r="A177" s="38"/>
      <c r="B177" s="44" t="str">
        <v>Environmental factors</v>
      </c>
      <c r="C177" s="45"/>
      <c r="D177" s="45"/>
      <c r="E177" s="45"/>
      <c r="F177" s="46"/>
      <c r="G177" s="42">
        <f>IF($B177="",NA(),COUNTIFS(Nov[Contributing Factors],$B177))</f>
        <v>0</v>
      </c>
    </row>
    <row r="178" spans="1:7" x14ac:dyDescent="0.25">
      <c r="A178" s="38"/>
      <c r="B178" s="39" t="str">
        <v>Equipment malfunction</v>
      </c>
      <c r="C178" s="40"/>
      <c r="D178" s="40"/>
      <c r="E178" s="40"/>
      <c r="F178" s="41"/>
      <c r="G178" s="42">
        <f>IF($B178="",NA(),COUNTIFS(Nov[Contributing Factors],$B178))</f>
        <v>0</v>
      </c>
    </row>
    <row r="179" spans="1:7" x14ac:dyDescent="0.25">
      <c r="A179" s="38"/>
      <c r="B179" s="44" t="str">
        <v>Equipment or assistive device</v>
      </c>
      <c r="C179" s="45"/>
      <c r="D179" s="45"/>
      <c r="E179" s="45"/>
      <c r="F179" s="46"/>
      <c r="G179" s="42">
        <f>IF($B179="",NA(),COUNTIFS(Nov[Contributing Factors],$B179))</f>
        <v>0</v>
      </c>
    </row>
    <row r="180" spans="1:7" x14ac:dyDescent="0.25">
      <c r="A180" s="38"/>
      <c r="B180" s="39" t="str">
        <v>Medication related</v>
      </c>
      <c r="C180" s="40"/>
      <c r="D180" s="40"/>
      <c r="E180" s="40"/>
      <c r="F180" s="41"/>
      <c r="G180" s="42">
        <f>IF($B180="",NA(),COUNTIFS(Nov[Contributing Factors],$B180))</f>
        <v>0</v>
      </c>
    </row>
    <row r="181" spans="1:7" x14ac:dyDescent="0.25">
      <c r="A181" s="38"/>
      <c r="B181" s="44" t="str">
        <v>Process(s) not followed</v>
      </c>
      <c r="C181" s="45"/>
      <c r="D181" s="45"/>
      <c r="E181" s="45"/>
      <c r="F181" s="46"/>
      <c r="G181" s="42">
        <f>IF($B181="",NA(),COUNTIFS(Nov[Contributing Factors],$B181))</f>
        <v>0</v>
      </c>
    </row>
    <row r="182" spans="1:7" x14ac:dyDescent="0.25">
      <c r="A182" s="38"/>
      <c r="B182" s="39" t="str">
        <v>Resident health conditions</v>
      </c>
      <c r="C182" s="40"/>
      <c r="D182" s="40"/>
      <c r="E182" s="40"/>
      <c r="F182" s="41"/>
      <c r="G182" s="42">
        <f>IF($B182="",NA(),COUNTIFS(Nov[Contributing Factors],$B182))</f>
        <v>0</v>
      </c>
    </row>
    <row r="183" spans="1:7" x14ac:dyDescent="0.25">
      <c r="A183" s="38"/>
      <c r="B183" s="44" t="str">
        <v>Staff</v>
      </c>
      <c r="C183" s="45"/>
      <c r="D183" s="45"/>
      <c r="E183" s="45"/>
      <c r="F183" s="46"/>
      <c r="G183" s="42">
        <f>IF($B183="",NA(),COUNTIFS(Nov[Contributing Factors],$B183))</f>
        <v>0</v>
      </c>
    </row>
    <row r="184" spans="1:7" x14ac:dyDescent="0.25">
      <c r="A184" s="38"/>
      <c r="B184" s="39" t="str">
        <v/>
      </c>
      <c r="C184" s="40"/>
      <c r="D184" s="40"/>
      <c r="E184" s="40"/>
      <c r="F184" s="41"/>
      <c r="G184" s="42" t="e">
        <f>IF($B184="",NA(),COUNTIFS(Nov[Contributing Factors],$B184))</f>
        <v>#N/A</v>
      </c>
    </row>
    <row r="185" spans="1:7" x14ac:dyDescent="0.25">
      <c r="A185" s="38"/>
      <c r="B185" s="44" t="str">
        <v/>
      </c>
      <c r="C185" s="45"/>
      <c r="D185" s="45"/>
      <c r="E185" s="45"/>
      <c r="F185" s="46"/>
      <c r="G185" s="42" t="e">
        <f>IF($B185="",NA(),COUNTIFS(Nov[Contributing Factors],$B185))</f>
        <v>#N/A</v>
      </c>
    </row>
    <row r="186" spans="1:7" x14ac:dyDescent="0.25">
      <c r="A186" s="38"/>
      <c r="B186" s="39" t="str">
        <v/>
      </c>
      <c r="C186" s="40"/>
      <c r="D186" s="40"/>
      <c r="E186" s="40"/>
      <c r="F186" s="41"/>
      <c r="G186" s="42" t="e">
        <f>IF($B186="",NA(),COUNTIFS(Nov[Contributing Factors],$B186))</f>
        <v>#N/A</v>
      </c>
    </row>
    <row r="187" spans="1:7" x14ac:dyDescent="0.25">
      <c r="A187" s="38"/>
      <c r="B187" s="44" t="str">
        <v/>
      </c>
      <c r="C187" s="45"/>
      <c r="D187" s="45"/>
      <c r="E187" s="45"/>
      <c r="F187" s="46"/>
      <c r="G187" s="42" t="e">
        <f>IF($B187="",NA(),COUNTIFS(Nov[Contributing Factors],$B187))</f>
        <v>#N/A</v>
      </c>
    </row>
    <row r="188" spans="1:7" x14ac:dyDescent="0.25">
      <c r="A188" s="38"/>
      <c r="B188" s="39" t="str">
        <v/>
      </c>
      <c r="C188" s="40"/>
      <c r="D188" s="40"/>
      <c r="E188" s="40"/>
      <c r="F188" s="41"/>
      <c r="G188" s="42" t="e">
        <f>IF($B188="",NA(),COUNTIFS(Nov[Contributing Factors],$B188))</f>
        <v>#N/A</v>
      </c>
    </row>
    <row r="189" spans="1:7" x14ac:dyDescent="0.25">
      <c r="A189" s="38"/>
      <c r="B189" s="44" t="str">
        <v/>
      </c>
      <c r="C189" s="45"/>
      <c r="D189" s="45"/>
      <c r="E189" s="45"/>
      <c r="F189" s="46"/>
      <c r="G189" s="42" t="e">
        <f>IF($B189="",NA(),COUNTIFS(Nov[Contributing Factors],$B189))</f>
        <v>#N/A</v>
      </c>
    </row>
    <row r="190" spans="1:7" x14ac:dyDescent="0.25">
      <c r="A190" s="38"/>
      <c r="B190" s="39" t="str">
        <v/>
      </c>
      <c r="C190" s="40"/>
      <c r="D190" s="40"/>
      <c r="E190" s="40"/>
      <c r="F190" s="41"/>
      <c r="G190" s="42" t="e">
        <f>IF($B190="",NA(),COUNTIFS(Nov[Contributing Factors],$B190))</f>
        <v>#N/A</v>
      </c>
    </row>
    <row r="191" spans="1:7" x14ac:dyDescent="0.25">
      <c r="A191" s="38"/>
      <c r="B191" s="44" t="str">
        <v/>
      </c>
      <c r="C191" s="45"/>
      <c r="D191" s="45"/>
      <c r="E191" s="45"/>
      <c r="F191" s="46"/>
      <c r="G191" s="42" t="e">
        <f>IF($B191="",NA(),COUNTIFS(Nov[Contributing Factors],$B191))</f>
        <v>#N/A</v>
      </c>
    </row>
    <row r="192" spans="1:7" x14ac:dyDescent="0.25">
      <c r="A192" s="38"/>
      <c r="B192" s="39" t="str">
        <v/>
      </c>
      <c r="C192" s="40"/>
      <c r="D192" s="40"/>
      <c r="E192" s="40"/>
      <c r="F192" s="41"/>
      <c r="G192" s="42" t="e">
        <f>IF($B192="",NA(),COUNTIFS(Nov[Contributing Factors],$B192))</f>
        <v>#N/A</v>
      </c>
    </row>
    <row r="193" spans="1:7" x14ac:dyDescent="0.25">
      <c r="A193" s="38"/>
      <c r="B193" s="44" t="str">
        <v/>
      </c>
      <c r="C193" s="45"/>
      <c r="D193" s="45"/>
      <c r="E193" s="45"/>
      <c r="F193" s="46"/>
      <c r="G193" s="42" t="e">
        <f>IF($B193="",NA(),COUNTIFS(Nov[Contributing Factors],$B193))</f>
        <v>#N/A</v>
      </c>
    </row>
    <row r="194" spans="1:7" x14ac:dyDescent="0.25">
      <c r="A194" s="38"/>
      <c r="B194" s="39" t="str">
        <v/>
      </c>
      <c r="C194" s="40"/>
      <c r="D194" s="40"/>
      <c r="E194" s="40"/>
      <c r="F194" s="41"/>
      <c r="G194" s="42" t="e">
        <f>IF($B194="",NA(),COUNTIFS(Nov[Contributing Factors],$B194))</f>
        <v>#N/A</v>
      </c>
    </row>
    <row r="195" spans="1:7" x14ac:dyDescent="0.25">
      <c r="A195" s="38"/>
      <c r="B195" s="44" t="str">
        <v/>
      </c>
      <c r="C195" s="45"/>
      <c r="D195" s="45"/>
      <c r="E195" s="45"/>
      <c r="F195" s="46"/>
      <c r="G195" s="42" t="e">
        <f>IF($B195="",NA(),COUNTIFS(Nov[Contributing Factors],$B195))</f>
        <v>#N/A</v>
      </c>
    </row>
    <row r="196" spans="1:7" ht="15.75" thickBot="1" x14ac:dyDescent="0.3">
      <c r="A196" s="38"/>
      <c r="B196" s="39" t="str">
        <v/>
      </c>
      <c r="C196" s="40"/>
      <c r="D196" s="40"/>
      <c r="E196" s="40"/>
      <c r="F196" s="41"/>
      <c r="G196" s="42" t="e">
        <f>IF($B196="",NA(),COUNTIFS(Nov[Contributing Factors],$B196))</f>
        <v>#N/A</v>
      </c>
    </row>
    <row r="197" spans="1:7" ht="15.6" customHeight="1" thickBot="1" x14ac:dyDescent="0.3">
      <c r="B197" s="287" t="s">
        <v>35</v>
      </c>
      <c r="C197" s="288"/>
      <c r="D197" s="288"/>
      <c r="E197" s="288"/>
      <c r="F197" s="289"/>
      <c r="G197" s="37">
        <f>_xlfn.AGGREGATE(9,6,G173:G196)</f>
        <v>0</v>
      </c>
    </row>
  </sheetData>
  <sheetProtection algorithmName="SHA-512" hashValue="DBoI1sO65TkXNi74fk2zdRr4nkViAaomtBJ5bIo+Om/T7WyPqhn9OHOFiMO8pPmL1ZIgdDbGLmIUvILvBwW8iw==" saltValue="w4pqgcGre2gXtf8kEEyV1g==" spinCount="100000" sheet="1" formatCells="0" formatColumns="0" formatRows="0" sort="0" autoFilter="0"/>
  <mergeCells count="61">
    <mergeCell ref="F56:G56"/>
    <mergeCell ref="B51:D51"/>
    <mergeCell ref="F51:H51"/>
    <mergeCell ref="B52:C52"/>
    <mergeCell ref="F52:G52"/>
    <mergeCell ref="B55:C55"/>
    <mergeCell ref="B121:C121"/>
    <mergeCell ref="F58:H58"/>
    <mergeCell ref="F59:G59"/>
    <mergeCell ref="F63:G63"/>
    <mergeCell ref="B65:G65"/>
    <mergeCell ref="B66:F66"/>
    <mergeCell ref="B91:F91"/>
    <mergeCell ref="B93:D93"/>
    <mergeCell ref="B94:C94"/>
    <mergeCell ref="B106:C106"/>
    <mergeCell ref="B108:D108"/>
    <mergeCell ref="B109:C109"/>
    <mergeCell ref="B135:C135"/>
    <mergeCell ref="B123:D123"/>
    <mergeCell ref="B124:C124"/>
    <mergeCell ref="B125:C125"/>
    <mergeCell ref="B126:C126"/>
    <mergeCell ref="B127:C127"/>
    <mergeCell ref="B128:C128"/>
    <mergeCell ref="B129:C129"/>
    <mergeCell ref="B130:C130"/>
    <mergeCell ref="B131:C131"/>
    <mergeCell ref="B132:C132"/>
    <mergeCell ref="B134:D134"/>
    <mergeCell ref="B153:C153"/>
    <mergeCell ref="B141:C141"/>
    <mergeCell ref="B143:D143"/>
    <mergeCell ref="B144:C144"/>
    <mergeCell ref="B145:C145"/>
    <mergeCell ref="B146:C146"/>
    <mergeCell ref="B147:C147"/>
    <mergeCell ref="B148:C148"/>
    <mergeCell ref="B149:C149"/>
    <mergeCell ref="B150:C150"/>
    <mergeCell ref="B151:C151"/>
    <mergeCell ref="B152:C152"/>
    <mergeCell ref="B165:C165"/>
    <mergeCell ref="B154:C154"/>
    <mergeCell ref="B155:C155"/>
    <mergeCell ref="B156:C156"/>
    <mergeCell ref="B157:C157"/>
    <mergeCell ref="B158:C158"/>
    <mergeCell ref="B159:C159"/>
    <mergeCell ref="B160:C160"/>
    <mergeCell ref="B161:C161"/>
    <mergeCell ref="B162:C162"/>
    <mergeCell ref="B163:C163"/>
    <mergeCell ref="B164:C164"/>
    <mergeCell ref="B197:F197"/>
    <mergeCell ref="B166:C166"/>
    <mergeCell ref="B167:C167"/>
    <mergeCell ref="B168:C168"/>
    <mergeCell ref="B169:C169"/>
    <mergeCell ref="B171:G171"/>
    <mergeCell ref="B172:F172"/>
  </mergeCells>
  <conditionalFormatting sqref="C1">
    <cfRule type="expression" dxfId="76" priority="18">
      <formula>OR($C$1="",$C$1=0)</formula>
    </cfRule>
  </conditionalFormatting>
  <conditionalFormatting sqref="D1">
    <cfRule type="cellIs" dxfId="75" priority="19" operator="equal">
      <formula>"Enter year in Data Validation tab"</formula>
    </cfRule>
  </conditionalFormatting>
  <conditionalFormatting sqref="D4:D40">
    <cfRule type="expression" dxfId="74" priority="22">
      <formula>AND($C4&lt;&gt;"",$D4="")</formula>
    </cfRule>
  </conditionalFormatting>
  <conditionalFormatting sqref="D95:D105">
    <cfRule type="expression" dxfId="73" priority="9">
      <formula>ISERROR($D95)</formula>
    </cfRule>
  </conditionalFormatting>
  <conditionalFormatting sqref="D110:D120">
    <cfRule type="expression" dxfId="72" priority="10">
      <formula>ISERROR($D110)</formula>
    </cfRule>
  </conditionalFormatting>
  <conditionalFormatting sqref="D136:D140">
    <cfRule type="expression" dxfId="71" priority="1">
      <formula>ISERROR(D136)</formula>
    </cfRule>
  </conditionalFormatting>
  <conditionalFormatting sqref="E4:E40">
    <cfRule type="expression" dxfId="70" priority="21">
      <formula>AND($C4&lt;&gt;"",$E4="")</formula>
    </cfRule>
  </conditionalFormatting>
  <conditionalFormatting sqref="F4:F40">
    <cfRule type="expression" dxfId="69" priority="14">
      <formula>AND($C4&lt;&gt;"",$F4="")</formula>
    </cfRule>
  </conditionalFormatting>
  <conditionalFormatting sqref="G4:G40">
    <cfRule type="expression" dxfId="68" priority="13">
      <formula>AND($C4&lt;&gt;"",$G4="")</formula>
    </cfRule>
  </conditionalFormatting>
  <conditionalFormatting sqref="G67:G90">
    <cfRule type="expression" dxfId="67" priority="8">
      <formula>ISERROR($G67)</formula>
    </cfRule>
  </conditionalFormatting>
  <conditionalFormatting sqref="G173:G196">
    <cfRule type="expression" dxfId="66" priority="7">
      <formula>ISERROR($G173)</formula>
    </cfRule>
  </conditionalFormatting>
  <conditionalFormatting sqref="H4:H40">
    <cfRule type="expression" dxfId="65" priority="12">
      <formula>AND($C4&lt;&gt;"",$H4="")</formula>
    </cfRule>
  </conditionalFormatting>
  <conditionalFormatting sqref="I4:I40">
    <cfRule type="expression" dxfId="64" priority="11">
      <formula>AND($C4&lt;&gt;"",$I4="")</formula>
    </cfRule>
  </conditionalFormatting>
  <conditionalFormatting sqref="J4:J40">
    <cfRule type="expression" dxfId="63" priority="23">
      <formula>AND($C4&lt;&gt;"",$J4="")</formula>
    </cfRule>
  </conditionalFormatting>
  <conditionalFormatting sqref="L4:L40">
    <cfRule type="expression" dxfId="62" priority="20">
      <formula>AND($C4&lt;&gt;"",$L4="")</formula>
    </cfRule>
  </conditionalFormatting>
  <conditionalFormatting sqref="N4:N40">
    <cfRule type="expression" dxfId="61" priority="25">
      <formula>AND($C4&lt;&gt;"",$N4="")</formula>
    </cfRule>
  </conditionalFormatting>
  <conditionalFormatting sqref="O4:O40">
    <cfRule type="expression" dxfId="60" priority="4">
      <formula>AND($C4&lt;&gt;"",$O4="")</formula>
    </cfRule>
    <cfRule type="cellIs" dxfId="59" priority="15" operator="equal">
      <formula>"Intact (13-15)"</formula>
    </cfRule>
    <cfRule type="cellIs" dxfId="58" priority="16" operator="equal">
      <formula>"Moderate (8-12)"</formula>
    </cfRule>
    <cfRule type="cellIs" dxfId="57" priority="17" operator="equal">
      <formula>"Severe (1-7)"</formula>
    </cfRule>
  </conditionalFormatting>
  <conditionalFormatting sqref="P4:P40">
    <cfRule type="expression" dxfId="56" priority="5">
      <formula>AND($C4&lt;&gt;"",$P4="")</formula>
    </cfRule>
  </conditionalFormatting>
  <conditionalFormatting sqref="Q4:Q40">
    <cfRule type="expression" dxfId="55" priority="3">
      <formula>AND($C4&lt;&gt;"",$Q4="")</formula>
    </cfRule>
  </conditionalFormatting>
  <conditionalFormatting sqref="R4:R40">
    <cfRule type="expression" dxfId="54" priority="26">
      <formula>AND($C4&lt;&gt;"",$R4="")</formula>
    </cfRule>
  </conditionalFormatting>
  <conditionalFormatting sqref="S4:S40">
    <cfRule type="expression" dxfId="53" priority="6">
      <formula>AND($C4&lt;&gt;"",$S4="")</formula>
    </cfRule>
  </conditionalFormatting>
  <conditionalFormatting sqref="T4:T40">
    <cfRule type="expression" dxfId="52" priority="27">
      <formula>AND($C4&lt;&gt;"",$T4="")</formula>
    </cfRule>
  </conditionalFormatting>
  <conditionalFormatting sqref="U4:U40">
    <cfRule type="expression" dxfId="51" priority="24">
      <formula>AND($C4&lt;&gt;"",$U4="")</formula>
    </cfRule>
  </conditionalFormatting>
  <conditionalFormatting sqref="V4:V40">
    <cfRule type="expression" dxfId="50" priority="2">
      <formula>AND($C4&lt;&gt;"",$V4="")</formula>
    </cfRule>
  </conditionalFormatting>
  <dataValidations count="9">
    <dataValidation type="list" allowBlank="1" showInputMessage="1" showErrorMessage="1" sqref="R4:R40" xr:uid="{00000000-0002-0000-0C00-000000000000}">
      <formula1>DV_RCAComp</formula1>
    </dataValidation>
    <dataValidation type="list" allowBlank="1" showInputMessage="1" showErrorMessage="1" sqref="G4:G40" xr:uid="{00000000-0002-0000-0C00-000001000000}">
      <formula1>DV_FallCircumstances</formula1>
    </dataValidation>
    <dataValidation type="list" allowBlank="1" showInputMessage="1" showErrorMessage="1" sqref="P4:P40" xr:uid="{00000000-0002-0000-0C00-000002000000}">
      <formula1>DV_PriortoFall</formula1>
    </dataValidation>
    <dataValidation type="list" allowBlank="1" showInputMessage="1" showErrorMessage="1" sqref="F4:F40" xr:uid="{00000000-0002-0000-0C00-000003000000}">
      <formula1>DV_Witnessed</formula1>
    </dataValidation>
    <dataValidation type="list" allowBlank="1" showInputMessage="1" showErrorMessage="1" sqref="N4:N40" xr:uid="{00000000-0002-0000-0C00-000004000000}">
      <formula1>DV_BIMSScore</formula1>
    </dataValidation>
    <dataValidation type="list" allowBlank="1" showInputMessage="1" showErrorMessage="1" sqref="L4:L40" xr:uid="{00000000-0002-0000-0C00-000005000000}">
      <formula1>DV_Shifts</formula1>
    </dataValidation>
    <dataValidation type="list" allowBlank="1" showInputMessage="1" showErrorMessage="1" sqref="J4:J40" xr:uid="{00000000-0002-0000-0C00-000006000000}">
      <formula1>DV_Station</formula1>
    </dataValidation>
    <dataValidation type="list" allowBlank="1" showInputMessage="1" showErrorMessage="1" sqref="I4:I40" xr:uid="{00000000-0002-0000-0C00-000007000000}">
      <formula1>DV_Location</formula1>
    </dataValidation>
    <dataValidation type="list" allowBlank="1" showInputMessage="1" showErrorMessage="1" sqref="H4:H40" xr:uid="{00000000-0002-0000-0C00-000008000000}">
      <formula1>DV_FallType</formula1>
    </dataValidation>
  </dataValidations>
  <printOptions horizontalCentered="1"/>
  <pageMargins left="0.15" right="0.15" top="0.5" bottom="0.25" header="0.3" footer="0.3"/>
  <pageSetup scale="59" fitToHeight="0" orientation="landscape" r:id="rId1"/>
  <rowBreaks count="3" manualBreakCount="3">
    <brk id="49" max="16383" man="1"/>
    <brk id="91" max="16383" man="1"/>
    <brk id="141" max="16383" man="1"/>
  </rowBreaks>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C00-000009000000}">
          <x14:formula1>
            <xm:f>'Data Validation'!$K$3:$K$26</xm:f>
          </x14:formula1>
          <xm:sqref>S4:S40</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V197"/>
  <sheetViews>
    <sheetView showGridLines="0" zoomScaleNormal="100" zoomScaleSheetLayoutView="98" workbookViewId="0">
      <selection activeCell="B4" sqref="B4"/>
    </sheetView>
  </sheetViews>
  <sheetFormatPr defaultRowHeight="15" x14ac:dyDescent="0.25"/>
  <cols>
    <col min="1" max="1" width="1.28515625" customWidth="1"/>
    <col min="2" max="2" width="5.85546875" customWidth="1"/>
    <col min="3" max="3" width="17.140625" customWidth="1"/>
    <col min="4" max="4" width="9.28515625" customWidth="1"/>
    <col min="5" max="5" width="11" customWidth="1"/>
    <col min="6" max="6" width="8" customWidth="1"/>
    <col min="7" max="7" width="12.140625" customWidth="1"/>
    <col min="8" max="8" width="10.5703125" customWidth="1"/>
    <col min="9" max="9" width="7.7109375" customWidth="1"/>
    <col min="10" max="10" width="6" customWidth="1"/>
    <col min="11" max="11" width="4.7109375" customWidth="1"/>
    <col min="12" max="12" width="9.28515625" customWidth="1"/>
    <col min="13" max="14" width="4.7109375" customWidth="1"/>
    <col min="15" max="15" width="12.140625" customWidth="1"/>
    <col min="16" max="17" width="23.7109375" customWidth="1"/>
    <col min="18" max="18" width="8.7109375" customWidth="1"/>
    <col min="19" max="19" width="23.7109375" customWidth="1"/>
    <col min="20" max="22" width="11.7109375" customWidth="1"/>
    <col min="23" max="24" width="10.7109375" customWidth="1"/>
  </cols>
  <sheetData>
    <row r="1" spans="1:22" ht="18.75" customHeight="1" x14ac:dyDescent="0.25">
      <c r="B1" s="13" t="s">
        <v>28</v>
      </c>
      <c r="C1" s="14">
        <f>'Data Validation'!$C$4</f>
        <v>0</v>
      </c>
      <c r="D1" s="15" t="str">
        <f>IF(OR($C$1="",$C$1=0),"Enter Year in Data Validation tab",'Data Validation'!$C$2&amp;" December ")</f>
        <v>Enter Year in Data Validation tab</v>
      </c>
      <c r="E1" s="16"/>
      <c r="F1" s="16"/>
      <c r="G1" s="16"/>
      <c r="H1" s="16"/>
      <c r="I1" s="16"/>
      <c r="J1" s="16"/>
      <c r="K1" s="16"/>
      <c r="L1" s="16"/>
      <c r="M1" s="16"/>
      <c r="N1" s="4"/>
      <c r="O1" s="16"/>
      <c r="P1" s="16"/>
      <c r="Q1" s="16"/>
      <c r="R1" s="17" t="s">
        <v>59</v>
      </c>
      <c r="S1" s="14" t="str">
        <f>IF(COUNTIFS(Dec[Resident Name],"&lt;&gt;")=0,"No Data",COUNTIFS(Dec[Resident Name],"&lt;&gt;"))</f>
        <v>No Data</v>
      </c>
      <c r="T1" s="17" t="s">
        <v>62</v>
      </c>
      <c r="U1" s="14" t="str">
        <f>'Fall Rate and Census'!$AI$36</f>
        <v>No Data</v>
      </c>
    </row>
    <row r="2" spans="1:22" ht="8.1" customHeight="1" x14ac:dyDescent="0.25">
      <c r="B2" s="18"/>
      <c r="C2" s="16"/>
      <c r="D2" s="16"/>
      <c r="E2" s="16"/>
      <c r="F2" s="16"/>
      <c r="G2" s="16"/>
      <c r="H2" s="16"/>
      <c r="I2" s="16"/>
      <c r="J2" s="16"/>
      <c r="K2" s="16"/>
      <c r="L2" s="16"/>
      <c r="M2" s="16"/>
      <c r="N2" s="16"/>
      <c r="O2" s="16"/>
      <c r="P2" s="16"/>
      <c r="Q2" s="16"/>
      <c r="R2" s="16"/>
    </row>
    <row r="3" spans="1:22" ht="22.35" customHeight="1" x14ac:dyDescent="0.25">
      <c r="B3" s="19" t="s">
        <v>104</v>
      </c>
      <c r="C3" s="19" t="s">
        <v>105</v>
      </c>
      <c r="D3" s="20" t="s">
        <v>0</v>
      </c>
      <c r="E3" s="20" t="s">
        <v>89</v>
      </c>
      <c r="F3" s="20" t="s">
        <v>84</v>
      </c>
      <c r="G3" s="20" t="s">
        <v>100</v>
      </c>
      <c r="H3" s="20" t="s">
        <v>90</v>
      </c>
      <c r="I3" s="20" t="s">
        <v>1</v>
      </c>
      <c r="J3" s="20" t="s">
        <v>2</v>
      </c>
      <c r="K3" s="20" t="s">
        <v>3</v>
      </c>
      <c r="L3" s="20" t="s">
        <v>33</v>
      </c>
      <c r="M3" s="20" t="s">
        <v>34</v>
      </c>
      <c r="N3" s="20" t="s">
        <v>26</v>
      </c>
      <c r="O3" s="20" t="s">
        <v>30</v>
      </c>
      <c r="P3" s="19" t="s">
        <v>158</v>
      </c>
      <c r="Q3" s="19" t="s">
        <v>80</v>
      </c>
      <c r="R3" s="20" t="s">
        <v>81</v>
      </c>
      <c r="S3" s="20" t="s">
        <v>92</v>
      </c>
      <c r="T3" s="12" t="s">
        <v>95</v>
      </c>
      <c r="U3" s="12" t="s">
        <v>94</v>
      </c>
      <c r="V3" s="12" t="s">
        <v>96</v>
      </c>
    </row>
    <row r="4" spans="1:22" ht="20.85" customHeight="1" x14ac:dyDescent="0.25">
      <c r="A4" s="21"/>
      <c r="B4" s="266"/>
      <c r="C4" s="5"/>
      <c r="D4" s="263"/>
      <c r="E4" s="263"/>
      <c r="F4" s="266"/>
      <c r="G4" s="267"/>
      <c r="H4" s="2"/>
      <c r="I4" s="2"/>
      <c r="J4" s="2"/>
      <c r="K4" s="24" t="str">
        <f>IF(Dec[[#This Row],[Date of Incident]]="","",TEXT(Dec[[#This Row],[Date of Incident]],"ddd"))</f>
        <v/>
      </c>
      <c r="L4" s="1"/>
      <c r="M4" s="24" t="str">
        <f>IFERROR(VLOOKUP(Dec[[#This Row],[Hour]],Shifts[],2,FALSE),"")</f>
        <v/>
      </c>
      <c r="N4" s="2"/>
      <c r="O4" s="24" t="str">
        <f>IFERROR(VLOOKUP(Dec[[#This Row],[BIMS Score]],BIMS[],2,FALSE),"")</f>
        <v/>
      </c>
      <c r="P4" s="3"/>
      <c r="Q4" s="3"/>
      <c r="R4" s="2"/>
      <c r="S4" s="168"/>
      <c r="T4" s="3"/>
      <c r="U4" s="3"/>
      <c r="V4" s="3"/>
    </row>
    <row r="5" spans="1:22" ht="20.85" customHeight="1" x14ac:dyDescent="0.25">
      <c r="A5" s="21"/>
      <c r="B5" s="266"/>
      <c r="C5" s="5"/>
      <c r="D5" s="263"/>
      <c r="E5" s="263"/>
      <c r="F5" s="266"/>
      <c r="G5" s="267"/>
      <c r="H5" s="2"/>
      <c r="I5" s="2"/>
      <c r="J5" s="2"/>
      <c r="K5" s="24" t="str">
        <f>IF(Dec[[#This Row],[Date of Incident]]="","",TEXT(Dec[[#This Row],[Date of Incident]],"ddd"))</f>
        <v/>
      </c>
      <c r="L5" s="1"/>
      <c r="M5" s="24" t="str">
        <f>IFERROR(VLOOKUP(Dec[[#This Row],[Hour]],Shifts[],2,FALSE),"")</f>
        <v/>
      </c>
      <c r="N5" s="2"/>
      <c r="O5" s="24" t="str">
        <f>IFERROR(VLOOKUP(Dec[[#This Row],[BIMS Score]],BIMS[],2,FALSE),"")</f>
        <v/>
      </c>
      <c r="P5" s="3"/>
      <c r="Q5" s="3"/>
      <c r="R5" s="2"/>
      <c r="S5" s="168"/>
      <c r="T5" s="3"/>
      <c r="U5" s="3"/>
      <c r="V5" s="3"/>
    </row>
    <row r="6" spans="1:22" ht="20.85" customHeight="1" x14ac:dyDescent="0.25">
      <c r="A6" s="21"/>
      <c r="B6" s="266"/>
      <c r="C6" s="5"/>
      <c r="D6" s="263"/>
      <c r="E6" s="263"/>
      <c r="F6" s="266"/>
      <c r="G6" s="267"/>
      <c r="H6" s="2"/>
      <c r="I6" s="2"/>
      <c r="J6" s="2"/>
      <c r="K6" s="24" t="str">
        <f>IF(Dec[[#This Row],[Date of Incident]]="","",TEXT(Dec[[#This Row],[Date of Incident]],"ddd"))</f>
        <v/>
      </c>
      <c r="L6" s="1"/>
      <c r="M6" s="24" t="str">
        <f>IFERROR(VLOOKUP(Dec[[#This Row],[Hour]],Shifts[],2,FALSE),"")</f>
        <v/>
      </c>
      <c r="N6" s="2"/>
      <c r="O6" s="24" t="str">
        <f>IFERROR(VLOOKUP(Dec[[#This Row],[BIMS Score]],BIMS[],2,FALSE),"")</f>
        <v/>
      </c>
      <c r="P6" s="3"/>
      <c r="Q6" s="3"/>
      <c r="R6" s="2"/>
      <c r="S6" s="168"/>
      <c r="T6" s="3"/>
      <c r="U6" s="3"/>
      <c r="V6" s="3"/>
    </row>
    <row r="7" spans="1:22" ht="20.85" customHeight="1" x14ac:dyDescent="0.25">
      <c r="A7" s="21"/>
      <c r="B7" s="266"/>
      <c r="C7" s="5"/>
      <c r="D7" s="263"/>
      <c r="E7" s="263"/>
      <c r="F7" s="266"/>
      <c r="G7" s="267"/>
      <c r="H7" s="2"/>
      <c r="I7" s="2"/>
      <c r="J7" s="2"/>
      <c r="K7" s="24" t="str">
        <f>IF(Dec[[#This Row],[Date of Incident]]="","",TEXT(Dec[[#This Row],[Date of Incident]],"ddd"))</f>
        <v/>
      </c>
      <c r="L7" s="1"/>
      <c r="M7" s="24" t="str">
        <f>IFERROR(VLOOKUP(Dec[[#This Row],[Hour]],Shifts[],2,FALSE),"")</f>
        <v/>
      </c>
      <c r="N7" s="2"/>
      <c r="O7" s="24" t="str">
        <f>IFERROR(VLOOKUP(Dec[[#This Row],[BIMS Score]],BIMS[],2,FALSE),"")</f>
        <v/>
      </c>
      <c r="P7" s="3"/>
      <c r="Q7" s="3"/>
      <c r="R7" s="2"/>
      <c r="S7" s="168"/>
      <c r="T7" s="3"/>
      <c r="U7" s="3"/>
      <c r="V7" s="3"/>
    </row>
    <row r="8" spans="1:22" ht="20.85" customHeight="1" x14ac:dyDescent="0.25">
      <c r="A8" s="21"/>
      <c r="B8" s="266"/>
      <c r="C8" s="5"/>
      <c r="D8" s="263"/>
      <c r="E8" s="263"/>
      <c r="F8" s="266"/>
      <c r="G8" s="267"/>
      <c r="H8" s="2"/>
      <c r="I8" s="2"/>
      <c r="J8" s="2"/>
      <c r="K8" s="24" t="str">
        <f>IF(Dec[[#This Row],[Date of Incident]]="","",TEXT(Dec[[#This Row],[Date of Incident]],"ddd"))</f>
        <v/>
      </c>
      <c r="L8" s="1"/>
      <c r="M8" s="24" t="str">
        <f>IFERROR(VLOOKUP(Dec[[#This Row],[Hour]],Shifts[],2,FALSE),"")</f>
        <v/>
      </c>
      <c r="N8" s="2"/>
      <c r="O8" s="24" t="str">
        <f>IFERROR(VLOOKUP(Dec[[#This Row],[BIMS Score]],BIMS[],2,FALSE),"")</f>
        <v/>
      </c>
      <c r="P8" s="3"/>
      <c r="Q8" s="3"/>
      <c r="R8" s="2"/>
      <c r="S8" s="168"/>
      <c r="T8" s="3"/>
      <c r="U8" s="3"/>
      <c r="V8" s="3"/>
    </row>
    <row r="9" spans="1:22" ht="20.85" customHeight="1" x14ac:dyDescent="0.25">
      <c r="A9" s="21"/>
      <c r="B9" s="266"/>
      <c r="C9" s="5"/>
      <c r="D9" s="263"/>
      <c r="E9" s="263"/>
      <c r="F9" s="266"/>
      <c r="G9" s="267"/>
      <c r="H9" s="2"/>
      <c r="I9" s="2"/>
      <c r="J9" s="2"/>
      <c r="K9" s="24" t="str">
        <f>IF(Dec[[#This Row],[Date of Incident]]="","",TEXT(Dec[[#This Row],[Date of Incident]],"ddd"))</f>
        <v/>
      </c>
      <c r="L9" s="1"/>
      <c r="M9" s="24" t="str">
        <f>IFERROR(VLOOKUP(Dec[[#This Row],[Hour]],Shifts[],2,FALSE),"")</f>
        <v/>
      </c>
      <c r="N9" s="2"/>
      <c r="O9" s="24" t="str">
        <f>IFERROR(VLOOKUP(Dec[[#This Row],[BIMS Score]],BIMS[],2,FALSE),"")</f>
        <v/>
      </c>
      <c r="P9" s="3"/>
      <c r="Q9" s="3"/>
      <c r="R9" s="2"/>
      <c r="S9" s="168"/>
      <c r="T9" s="3"/>
      <c r="U9" s="3"/>
      <c r="V9" s="3"/>
    </row>
    <row r="10" spans="1:22" ht="20.85" customHeight="1" x14ac:dyDescent="0.25">
      <c r="A10" s="21"/>
      <c r="B10" s="266"/>
      <c r="C10" s="5"/>
      <c r="D10" s="263"/>
      <c r="E10" s="263"/>
      <c r="F10" s="266"/>
      <c r="G10" s="267"/>
      <c r="H10" s="2"/>
      <c r="I10" s="2"/>
      <c r="J10" s="2"/>
      <c r="K10" s="24" t="str">
        <f>IF(Dec[[#This Row],[Date of Incident]]="","",TEXT(Dec[[#This Row],[Date of Incident]],"ddd"))</f>
        <v/>
      </c>
      <c r="L10" s="1"/>
      <c r="M10" s="24" t="str">
        <f>IFERROR(VLOOKUP(Dec[[#This Row],[Hour]],Shifts[],2,FALSE),"")</f>
        <v/>
      </c>
      <c r="N10" s="2"/>
      <c r="O10" s="24" t="str">
        <f>IFERROR(VLOOKUP(Dec[[#This Row],[BIMS Score]],BIMS[],2,FALSE),"")</f>
        <v/>
      </c>
      <c r="P10" s="3"/>
      <c r="Q10" s="3"/>
      <c r="R10" s="2"/>
      <c r="S10" s="168"/>
      <c r="T10" s="3"/>
      <c r="U10" s="3"/>
      <c r="V10" s="3"/>
    </row>
    <row r="11" spans="1:22" ht="20.85" customHeight="1" x14ac:dyDescent="0.25">
      <c r="A11" s="21"/>
      <c r="B11" s="266"/>
      <c r="C11" s="5"/>
      <c r="D11" s="263"/>
      <c r="E11" s="263"/>
      <c r="F11" s="266"/>
      <c r="G11" s="267"/>
      <c r="H11" s="2"/>
      <c r="I11" s="2"/>
      <c r="J11" s="2"/>
      <c r="K11" s="24" t="str">
        <f>IF(Dec[[#This Row],[Date of Incident]]="","",TEXT(Dec[[#This Row],[Date of Incident]],"ddd"))</f>
        <v/>
      </c>
      <c r="L11" s="1"/>
      <c r="M11" s="24" t="str">
        <f>IFERROR(VLOOKUP(Dec[[#This Row],[Hour]],Shifts[],2,FALSE),"")</f>
        <v/>
      </c>
      <c r="N11" s="2"/>
      <c r="O11" s="24" t="str">
        <f>IFERROR(VLOOKUP(Dec[[#This Row],[BIMS Score]],BIMS[],2,FALSE),"")</f>
        <v/>
      </c>
      <c r="P11" s="3"/>
      <c r="Q11" s="3"/>
      <c r="R11" s="2"/>
      <c r="S11" s="168"/>
      <c r="T11" s="3"/>
      <c r="U11" s="3"/>
      <c r="V11" s="3"/>
    </row>
    <row r="12" spans="1:22" ht="20.85" customHeight="1" x14ac:dyDescent="0.25">
      <c r="A12" s="21"/>
      <c r="B12" s="267"/>
      <c r="C12" s="5"/>
      <c r="D12" s="264"/>
      <c r="E12" s="263"/>
      <c r="F12" s="267"/>
      <c r="G12" s="267"/>
      <c r="H12" s="2"/>
      <c r="I12" s="2"/>
      <c r="J12" s="2"/>
      <c r="K12" s="24" t="str">
        <f>IF(Dec[[#This Row],[Date of Incident]]="","",TEXT(Dec[[#This Row],[Date of Incident]],"ddd"))</f>
        <v/>
      </c>
      <c r="L12" s="1"/>
      <c r="M12" s="24" t="str">
        <f>IFERROR(VLOOKUP(Dec[[#This Row],[Hour]],Shifts[],2,FALSE),"")</f>
        <v/>
      </c>
      <c r="N12" s="2"/>
      <c r="O12" s="24" t="str">
        <f>IFERROR(VLOOKUP(Dec[[#This Row],[BIMS Score]],BIMS[],2,FALSE),"")</f>
        <v/>
      </c>
      <c r="P12" s="3"/>
      <c r="Q12" s="3"/>
      <c r="R12" s="2"/>
      <c r="S12" s="168"/>
      <c r="T12" s="3"/>
      <c r="U12" s="3"/>
      <c r="V12" s="3"/>
    </row>
    <row r="13" spans="1:22" ht="20.85" customHeight="1" x14ac:dyDescent="0.25">
      <c r="A13" s="21"/>
      <c r="B13" s="267"/>
      <c r="C13" s="5"/>
      <c r="D13" s="264"/>
      <c r="E13" s="263"/>
      <c r="F13" s="267"/>
      <c r="G13" s="267"/>
      <c r="H13" s="2"/>
      <c r="I13" s="2"/>
      <c r="J13" s="2"/>
      <c r="K13" s="24" t="str">
        <f>IF(Dec[[#This Row],[Date of Incident]]="","",TEXT(Dec[[#This Row],[Date of Incident]],"ddd"))</f>
        <v/>
      </c>
      <c r="L13" s="1"/>
      <c r="M13" s="24" t="str">
        <f>IFERROR(VLOOKUP(Dec[[#This Row],[Hour]],Shifts[],2,FALSE),"")</f>
        <v/>
      </c>
      <c r="N13" s="2"/>
      <c r="O13" s="24" t="str">
        <f>IFERROR(VLOOKUP(Dec[[#This Row],[BIMS Score]],BIMS[],2,FALSE),"")</f>
        <v/>
      </c>
      <c r="P13" s="3"/>
      <c r="Q13" s="3"/>
      <c r="R13" s="2"/>
      <c r="S13" s="168"/>
      <c r="T13" s="3"/>
      <c r="U13" s="3"/>
      <c r="V13" s="3"/>
    </row>
    <row r="14" spans="1:22" ht="20.85" customHeight="1" x14ac:dyDescent="0.25">
      <c r="A14" s="21"/>
      <c r="B14" s="267"/>
      <c r="C14" s="5"/>
      <c r="D14" s="264"/>
      <c r="E14" s="263"/>
      <c r="F14" s="267"/>
      <c r="G14" s="267"/>
      <c r="H14" s="2"/>
      <c r="I14" s="2"/>
      <c r="J14" s="2"/>
      <c r="K14" s="24" t="str">
        <f>IF(Dec[[#This Row],[Date of Incident]]="","",TEXT(Dec[[#This Row],[Date of Incident]],"ddd"))</f>
        <v/>
      </c>
      <c r="L14" s="1"/>
      <c r="M14" s="24" t="str">
        <f>IFERROR(VLOOKUP(Dec[[#This Row],[Hour]],Shifts[],2,FALSE),"")</f>
        <v/>
      </c>
      <c r="N14" s="2"/>
      <c r="O14" s="24" t="str">
        <f>IFERROR(VLOOKUP(Dec[[#This Row],[BIMS Score]],BIMS[],2,FALSE),"")</f>
        <v/>
      </c>
      <c r="P14" s="3"/>
      <c r="Q14" s="3"/>
      <c r="R14" s="2"/>
      <c r="S14" s="168"/>
      <c r="T14" s="3"/>
      <c r="U14" s="3"/>
      <c r="V14" s="3"/>
    </row>
    <row r="15" spans="1:22" ht="20.85" customHeight="1" x14ac:dyDescent="0.25">
      <c r="A15" s="21"/>
      <c r="B15" s="267"/>
      <c r="C15" s="5"/>
      <c r="D15" s="264"/>
      <c r="E15" s="263"/>
      <c r="F15" s="267"/>
      <c r="G15" s="267"/>
      <c r="H15" s="2"/>
      <c r="I15" s="2"/>
      <c r="J15" s="2"/>
      <c r="K15" s="24" t="str">
        <f>IF(Dec[[#This Row],[Date of Incident]]="","",TEXT(Dec[[#This Row],[Date of Incident]],"ddd"))</f>
        <v/>
      </c>
      <c r="L15" s="1"/>
      <c r="M15" s="24" t="str">
        <f>IFERROR(VLOOKUP(Dec[[#This Row],[Hour]],Shifts[],2,FALSE),"")</f>
        <v/>
      </c>
      <c r="N15" s="2"/>
      <c r="O15" s="24" t="str">
        <f>IFERROR(VLOOKUP(Dec[[#This Row],[BIMS Score]],BIMS[],2,FALSE),"")</f>
        <v/>
      </c>
      <c r="P15" s="3"/>
      <c r="Q15" s="3"/>
      <c r="R15" s="2"/>
      <c r="S15" s="168"/>
      <c r="T15" s="3"/>
      <c r="U15" s="3"/>
      <c r="V15" s="3"/>
    </row>
    <row r="16" spans="1:22" ht="20.85" customHeight="1" x14ac:dyDescent="0.25">
      <c r="A16" s="21"/>
      <c r="B16" s="267"/>
      <c r="C16" s="3"/>
      <c r="D16" s="264"/>
      <c r="E16" s="264"/>
      <c r="F16" s="267"/>
      <c r="G16" s="267"/>
      <c r="H16" s="2"/>
      <c r="I16" s="2"/>
      <c r="J16" s="2"/>
      <c r="K16" s="24" t="str">
        <f>IF(Dec[[#This Row],[Date of Incident]]="","",TEXT(Dec[[#This Row],[Date of Incident]],"ddd"))</f>
        <v/>
      </c>
      <c r="L16" s="1"/>
      <c r="M16" s="24" t="str">
        <f>IFERROR(VLOOKUP(Dec[[#This Row],[Hour]],Shifts[],2,FALSE),"")</f>
        <v/>
      </c>
      <c r="N16" s="2"/>
      <c r="O16" s="24" t="str">
        <f>IFERROR(VLOOKUP(Dec[[#This Row],[BIMS Score]],BIMS[],2,FALSE),"")</f>
        <v/>
      </c>
      <c r="P16" s="3"/>
      <c r="Q16" s="3"/>
      <c r="R16" s="2"/>
      <c r="S16" s="168"/>
      <c r="T16" s="3"/>
      <c r="U16" s="3"/>
      <c r="V16" s="3"/>
    </row>
    <row r="17" spans="1:22" ht="20.85" customHeight="1" x14ac:dyDescent="0.25">
      <c r="A17" s="21"/>
      <c r="B17" s="267"/>
      <c r="C17" s="3"/>
      <c r="D17" s="264"/>
      <c r="E17" s="264"/>
      <c r="F17" s="267"/>
      <c r="G17" s="267"/>
      <c r="H17" s="2"/>
      <c r="I17" s="2"/>
      <c r="J17" s="2"/>
      <c r="K17" s="24" t="str">
        <f>IF(Dec[[#This Row],[Date of Incident]]="","",TEXT(Dec[[#This Row],[Date of Incident]],"ddd"))</f>
        <v/>
      </c>
      <c r="L17" s="1"/>
      <c r="M17" s="24" t="str">
        <f>IFERROR(VLOOKUP(Dec[[#This Row],[Hour]],Shifts[],2,FALSE),"")</f>
        <v/>
      </c>
      <c r="N17" s="2"/>
      <c r="O17" s="24" t="str">
        <f>IFERROR(VLOOKUP(Dec[[#This Row],[BIMS Score]],BIMS[],2,FALSE),"")</f>
        <v/>
      </c>
      <c r="P17" s="3"/>
      <c r="Q17" s="3"/>
      <c r="R17" s="2"/>
      <c r="S17" s="168"/>
      <c r="T17" s="3"/>
      <c r="U17" s="3"/>
      <c r="V17" s="3"/>
    </row>
    <row r="18" spans="1:22" ht="20.85" customHeight="1" x14ac:dyDescent="0.25">
      <c r="A18" s="21"/>
      <c r="B18" s="267"/>
      <c r="C18" s="3"/>
      <c r="D18" s="264"/>
      <c r="E18" s="264"/>
      <c r="F18" s="267"/>
      <c r="G18" s="267"/>
      <c r="H18" s="2"/>
      <c r="I18" s="2"/>
      <c r="J18" s="2"/>
      <c r="K18" s="24" t="str">
        <f>IF(Dec[[#This Row],[Date of Incident]]="","",TEXT(Dec[[#This Row],[Date of Incident]],"ddd"))</f>
        <v/>
      </c>
      <c r="L18" s="1"/>
      <c r="M18" s="24" t="str">
        <f>IFERROR(VLOOKUP(Dec[[#This Row],[Hour]],Shifts[],2,FALSE),"")</f>
        <v/>
      </c>
      <c r="N18" s="2"/>
      <c r="O18" s="24" t="str">
        <f>IFERROR(VLOOKUP(Dec[[#This Row],[BIMS Score]],BIMS[],2,FALSE),"")</f>
        <v/>
      </c>
      <c r="P18" s="3"/>
      <c r="Q18" s="3"/>
      <c r="R18" s="2"/>
      <c r="S18" s="168"/>
      <c r="T18" s="3"/>
      <c r="U18" s="3"/>
      <c r="V18" s="3"/>
    </row>
    <row r="19" spans="1:22" ht="20.85" customHeight="1" x14ac:dyDescent="0.25">
      <c r="A19" s="21"/>
      <c r="B19" s="267"/>
      <c r="C19" s="3"/>
      <c r="D19" s="264"/>
      <c r="E19" s="264"/>
      <c r="F19" s="267"/>
      <c r="G19" s="267"/>
      <c r="H19" s="2"/>
      <c r="I19" s="2"/>
      <c r="J19" s="2"/>
      <c r="K19" s="24" t="str">
        <f>IF(Dec[[#This Row],[Date of Incident]]="","",TEXT(Dec[[#This Row],[Date of Incident]],"ddd"))</f>
        <v/>
      </c>
      <c r="L19" s="1"/>
      <c r="M19" s="24" t="str">
        <f>IFERROR(VLOOKUP(Dec[[#This Row],[Hour]],Shifts[],2,FALSE),"")</f>
        <v/>
      </c>
      <c r="N19" s="2"/>
      <c r="O19" s="24" t="str">
        <f>IFERROR(VLOOKUP(Dec[[#This Row],[BIMS Score]],BIMS[],2,FALSE),"")</f>
        <v/>
      </c>
      <c r="P19" s="3"/>
      <c r="Q19" s="3"/>
      <c r="R19" s="2"/>
      <c r="S19" s="168"/>
      <c r="T19" s="3"/>
      <c r="U19" s="3"/>
      <c r="V19" s="3"/>
    </row>
    <row r="20" spans="1:22" ht="20.85" customHeight="1" x14ac:dyDescent="0.25">
      <c r="A20" s="21"/>
      <c r="B20" s="267"/>
      <c r="C20" s="3"/>
      <c r="D20" s="264"/>
      <c r="E20" s="264"/>
      <c r="F20" s="267"/>
      <c r="G20" s="267"/>
      <c r="H20" s="2"/>
      <c r="I20" s="2"/>
      <c r="J20" s="2"/>
      <c r="K20" s="24" t="str">
        <f>IF(Dec[[#This Row],[Date of Incident]]="","",TEXT(Dec[[#This Row],[Date of Incident]],"ddd"))</f>
        <v/>
      </c>
      <c r="L20" s="1"/>
      <c r="M20" s="24" t="str">
        <f>IFERROR(VLOOKUP(Dec[[#This Row],[Hour]],Shifts[],2,FALSE),"")</f>
        <v/>
      </c>
      <c r="N20" s="2"/>
      <c r="O20" s="24" t="str">
        <f>IFERROR(VLOOKUP(Dec[[#This Row],[BIMS Score]],BIMS[],2,FALSE),"")</f>
        <v/>
      </c>
      <c r="P20" s="3"/>
      <c r="Q20" s="3"/>
      <c r="R20" s="2"/>
      <c r="S20" s="168"/>
      <c r="T20" s="3"/>
      <c r="U20" s="3"/>
      <c r="V20" s="3"/>
    </row>
    <row r="21" spans="1:22" ht="20.85" customHeight="1" x14ac:dyDescent="0.25">
      <c r="A21" s="21"/>
      <c r="B21" s="267"/>
      <c r="C21" s="3"/>
      <c r="D21" s="264"/>
      <c r="E21" s="264"/>
      <c r="F21" s="267"/>
      <c r="G21" s="267"/>
      <c r="H21" s="2"/>
      <c r="I21" s="2"/>
      <c r="J21" s="2"/>
      <c r="K21" s="24" t="str">
        <f>IF(Dec[[#This Row],[Date of Incident]]="","",TEXT(Dec[[#This Row],[Date of Incident]],"ddd"))</f>
        <v/>
      </c>
      <c r="L21" s="1"/>
      <c r="M21" s="24" t="str">
        <f>IFERROR(VLOOKUP(Dec[[#This Row],[Hour]],Shifts[],2,FALSE),"")</f>
        <v/>
      </c>
      <c r="N21" s="2"/>
      <c r="O21" s="24" t="str">
        <f>IFERROR(VLOOKUP(Dec[[#This Row],[BIMS Score]],BIMS[],2,FALSE),"")</f>
        <v/>
      </c>
      <c r="P21" s="3"/>
      <c r="Q21" s="3"/>
      <c r="R21" s="2"/>
      <c r="S21" s="168"/>
      <c r="T21" s="3"/>
      <c r="U21" s="3"/>
      <c r="V21" s="3"/>
    </row>
    <row r="22" spans="1:22" ht="20.85" customHeight="1" x14ac:dyDescent="0.25">
      <c r="A22" s="21"/>
      <c r="B22" s="267"/>
      <c r="C22" s="3"/>
      <c r="D22" s="264"/>
      <c r="E22" s="264"/>
      <c r="F22" s="267"/>
      <c r="G22" s="267"/>
      <c r="H22" s="2"/>
      <c r="I22" s="2"/>
      <c r="J22" s="2"/>
      <c r="K22" s="24" t="str">
        <f>IF(Dec[[#This Row],[Date of Incident]]="","",TEXT(Dec[[#This Row],[Date of Incident]],"ddd"))</f>
        <v/>
      </c>
      <c r="L22" s="1"/>
      <c r="M22" s="24" t="str">
        <f>IFERROR(VLOOKUP(Dec[[#This Row],[Hour]],Shifts[],2,FALSE),"")</f>
        <v/>
      </c>
      <c r="N22" s="1"/>
      <c r="O22" s="24" t="str">
        <f>IFERROR(VLOOKUP(Dec[[#This Row],[BIMS Score]],BIMS[],2,FALSE),"")</f>
        <v/>
      </c>
      <c r="P22" s="3"/>
      <c r="Q22" s="3"/>
      <c r="R22" s="2"/>
      <c r="S22" s="168"/>
      <c r="T22" s="3"/>
      <c r="U22" s="3"/>
      <c r="V22" s="3"/>
    </row>
    <row r="23" spans="1:22" ht="20.85" customHeight="1" x14ac:dyDescent="0.25">
      <c r="A23" s="21"/>
      <c r="B23" s="267"/>
      <c r="C23" s="3"/>
      <c r="D23" s="264"/>
      <c r="E23" s="264"/>
      <c r="F23" s="267"/>
      <c r="G23" s="267"/>
      <c r="H23" s="2"/>
      <c r="I23" s="2"/>
      <c r="J23" s="2"/>
      <c r="K23" s="24" t="str">
        <f>IF(Dec[[#This Row],[Date of Incident]]="","",TEXT(Dec[[#This Row],[Date of Incident]],"ddd"))</f>
        <v/>
      </c>
      <c r="L23" s="1"/>
      <c r="M23" s="24" t="str">
        <f>IFERROR(VLOOKUP(Dec[[#This Row],[Hour]],Shifts[],2,FALSE),"")</f>
        <v/>
      </c>
      <c r="N23" s="1"/>
      <c r="O23" s="24" t="str">
        <f>IFERROR(VLOOKUP(Dec[[#This Row],[BIMS Score]],BIMS[],2,FALSE),"")</f>
        <v/>
      </c>
      <c r="P23" s="3"/>
      <c r="Q23" s="3"/>
      <c r="R23" s="2"/>
      <c r="S23" s="168"/>
      <c r="T23" s="3"/>
      <c r="U23" s="3"/>
      <c r="V23" s="3"/>
    </row>
    <row r="24" spans="1:22" s="10" customFormat="1" ht="20.85" customHeight="1" x14ac:dyDescent="0.25">
      <c r="A24" s="26"/>
      <c r="B24" s="266"/>
      <c r="C24" s="5"/>
      <c r="D24" s="263"/>
      <c r="E24" s="263"/>
      <c r="F24" s="267"/>
      <c r="G24" s="267"/>
      <c r="H24" s="1"/>
      <c r="I24" s="1"/>
      <c r="J24" s="1"/>
      <c r="K24" s="24" t="str">
        <f>IF(Dec[[#This Row],[Date of Incident]]="","",TEXT(Dec[[#This Row],[Date of Incident]],"ddd"))</f>
        <v/>
      </c>
      <c r="L24" s="1"/>
      <c r="M24" s="24" t="str">
        <f>IFERROR(VLOOKUP(Dec[[#This Row],[Hour]],Shifts[],2,FALSE),"")</f>
        <v/>
      </c>
      <c r="N24" s="1"/>
      <c r="O24" s="24" t="str">
        <f>IFERROR(VLOOKUP(Dec[[#This Row],[BIMS Score]],BIMS[],2,FALSE),"")</f>
        <v/>
      </c>
      <c r="P24" s="3"/>
      <c r="Q24" s="3"/>
      <c r="R24" s="2"/>
      <c r="S24" s="168"/>
      <c r="T24" s="5"/>
      <c r="U24" s="5"/>
      <c r="V24" s="3"/>
    </row>
    <row r="25" spans="1:22" ht="20.85" customHeight="1" x14ac:dyDescent="0.25">
      <c r="A25" s="21"/>
      <c r="B25" s="266"/>
      <c r="C25" s="5"/>
      <c r="D25" s="263"/>
      <c r="E25" s="263"/>
      <c r="F25" s="267"/>
      <c r="G25" s="267"/>
      <c r="H25" s="1"/>
      <c r="I25" s="1"/>
      <c r="J25" s="1"/>
      <c r="K25" s="24" t="str">
        <f>IF(Dec[[#This Row],[Date of Incident]]="","",TEXT(Dec[[#This Row],[Date of Incident]],"ddd"))</f>
        <v/>
      </c>
      <c r="L25" s="1"/>
      <c r="M25" s="24" t="str">
        <f>IFERROR(VLOOKUP(Dec[[#This Row],[Hour]],Shifts[],2,FALSE),"")</f>
        <v/>
      </c>
      <c r="N25" s="1"/>
      <c r="O25" s="24" t="str">
        <f>IFERROR(VLOOKUP(Dec[[#This Row],[BIMS Score]],BIMS[],2,FALSE),"")</f>
        <v/>
      </c>
      <c r="P25" s="3"/>
      <c r="Q25" s="3"/>
      <c r="R25" s="2"/>
      <c r="S25" s="168"/>
      <c r="T25" s="5"/>
      <c r="U25" s="5"/>
      <c r="V25" s="3"/>
    </row>
    <row r="26" spans="1:22" ht="20.85" customHeight="1" x14ac:dyDescent="0.25">
      <c r="A26" s="21"/>
      <c r="B26" s="266"/>
      <c r="C26" s="5"/>
      <c r="D26" s="263"/>
      <c r="E26" s="263"/>
      <c r="F26" s="267"/>
      <c r="G26" s="267"/>
      <c r="H26" s="1"/>
      <c r="I26" s="1"/>
      <c r="J26" s="1"/>
      <c r="K26" s="24" t="str">
        <f>IF(Dec[[#This Row],[Date of Incident]]="","",TEXT(Dec[[#This Row],[Date of Incident]],"ddd"))</f>
        <v/>
      </c>
      <c r="L26" s="1"/>
      <c r="M26" s="24" t="str">
        <f>IFERROR(VLOOKUP(Dec[[#This Row],[Hour]],Shifts[],2,FALSE),"")</f>
        <v/>
      </c>
      <c r="N26" s="1"/>
      <c r="O26" s="24" t="str">
        <f>IFERROR(VLOOKUP(Dec[[#This Row],[BIMS Score]],BIMS[],2,FALSE),"")</f>
        <v/>
      </c>
      <c r="P26" s="3"/>
      <c r="Q26" s="3"/>
      <c r="R26" s="2"/>
      <c r="S26" s="168"/>
      <c r="T26" s="5"/>
      <c r="U26" s="5"/>
      <c r="V26" s="3"/>
    </row>
    <row r="27" spans="1:22" ht="20.85" customHeight="1" x14ac:dyDescent="0.25">
      <c r="A27" s="21"/>
      <c r="B27" s="266"/>
      <c r="C27" s="5"/>
      <c r="D27" s="263"/>
      <c r="E27" s="263"/>
      <c r="F27" s="267"/>
      <c r="G27" s="267"/>
      <c r="H27" s="1"/>
      <c r="I27" s="1"/>
      <c r="J27" s="1"/>
      <c r="K27" s="24" t="str">
        <f>IF(Dec[[#This Row],[Date of Incident]]="","",TEXT(Dec[[#This Row],[Date of Incident]],"ddd"))</f>
        <v/>
      </c>
      <c r="L27" s="1"/>
      <c r="M27" s="24" t="str">
        <f>IFERROR(VLOOKUP(Dec[[#This Row],[Hour]],Shifts[],2,FALSE),"")</f>
        <v/>
      </c>
      <c r="N27" s="1"/>
      <c r="O27" s="24" t="str">
        <f>IFERROR(VLOOKUP(Dec[[#This Row],[BIMS Score]],BIMS[],2,FALSE),"")</f>
        <v/>
      </c>
      <c r="P27" s="3"/>
      <c r="Q27" s="3"/>
      <c r="R27" s="2"/>
      <c r="S27" s="168"/>
      <c r="T27" s="5"/>
      <c r="U27" s="5"/>
      <c r="V27" s="3"/>
    </row>
    <row r="28" spans="1:22" ht="20.85" customHeight="1" x14ac:dyDescent="0.25">
      <c r="A28" s="21"/>
      <c r="B28" s="266"/>
      <c r="C28" s="5"/>
      <c r="D28" s="263"/>
      <c r="E28" s="263"/>
      <c r="F28" s="267"/>
      <c r="G28" s="267"/>
      <c r="H28" s="1"/>
      <c r="I28" s="1"/>
      <c r="J28" s="1"/>
      <c r="K28" s="24" t="str">
        <f>IF(Dec[[#This Row],[Date of Incident]]="","",TEXT(Dec[[#This Row],[Date of Incident]],"ddd"))</f>
        <v/>
      </c>
      <c r="L28" s="1"/>
      <c r="M28" s="24" t="str">
        <f>IFERROR(VLOOKUP(Dec[[#This Row],[Hour]],Shifts[],2,FALSE),"")</f>
        <v/>
      </c>
      <c r="N28" s="1"/>
      <c r="O28" s="24" t="str">
        <f>IFERROR(VLOOKUP(Dec[[#This Row],[BIMS Score]],BIMS[],2,FALSE),"")</f>
        <v/>
      </c>
      <c r="P28" s="3"/>
      <c r="Q28" s="3"/>
      <c r="R28" s="2"/>
      <c r="S28" s="168"/>
      <c r="T28" s="5"/>
      <c r="U28" s="5"/>
      <c r="V28" s="3"/>
    </row>
    <row r="29" spans="1:22" ht="20.85" customHeight="1" x14ac:dyDescent="0.25">
      <c r="B29" s="266"/>
      <c r="C29" s="5"/>
      <c r="D29" s="263"/>
      <c r="E29" s="263"/>
      <c r="F29" s="267"/>
      <c r="G29" s="267"/>
      <c r="H29" s="1"/>
      <c r="I29" s="1"/>
      <c r="J29" s="1"/>
      <c r="K29" s="27" t="str">
        <f>IF(Dec[[#This Row],[Date of Incident]]="","",TEXT(Dec[[#This Row],[Date of Incident]],"ddd"))</f>
        <v/>
      </c>
      <c r="L29" s="1"/>
      <c r="M29" s="27" t="str">
        <f>IFERROR(VLOOKUP(Dec[[#This Row],[Hour]],Shifts[],2,FALSE),"")</f>
        <v/>
      </c>
      <c r="N29" s="2"/>
      <c r="O29" s="24" t="str">
        <f>IFERROR(VLOOKUP(Dec[[#This Row],[BIMS Score]],BIMS[],2,FALSE),"")</f>
        <v/>
      </c>
      <c r="P29" s="3"/>
      <c r="Q29" s="3"/>
      <c r="R29" s="2"/>
      <c r="S29" s="168"/>
      <c r="T29" s="5"/>
      <c r="U29" s="5"/>
      <c r="V29" s="5"/>
    </row>
    <row r="30" spans="1:22" ht="20.85" customHeight="1" x14ac:dyDescent="0.25">
      <c r="B30" s="266"/>
      <c r="C30" s="5"/>
      <c r="D30" s="263"/>
      <c r="E30" s="263"/>
      <c r="F30" s="267"/>
      <c r="G30" s="267"/>
      <c r="H30" s="1"/>
      <c r="I30" s="1"/>
      <c r="J30" s="1"/>
      <c r="K30" s="27" t="str">
        <f>IF(Dec[[#This Row],[Date of Incident]]="","",TEXT(Dec[[#This Row],[Date of Incident]],"ddd"))</f>
        <v/>
      </c>
      <c r="L30" s="1"/>
      <c r="M30" s="27" t="str">
        <f>IFERROR(VLOOKUP(Dec[[#This Row],[Hour]],Shifts[],2,FALSE),"")</f>
        <v/>
      </c>
      <c r="N30" s="2"/>
      <c r="O30" s="24" t="str">
        <f>IFERROR(VLOOKUP(Dec[[#This Row],[BIMS Score]],BIMS[],2,FALSE),"")</f>
        <v/>
      </c>
      <c r="P30" s="3"/>
      <c r="Q30" s="3"/>
      <c r="R30" s="2"/>
      <c r="S30" s="168"/>
      <c r="T30" s="5"/>
      <c r="U30" s="5"/>
      <c r="V30" s="5"/>
    </row>
    <row r="31" spans="1:22" ht="20.85" customHeight="1" x14ac:dyDescent="0.25">
      <c r="B31" s="266"/>
      <c r="C31" s="5"/>
      <c r="D31" s="263"/>
      <c r="E31" s="263"/>
      <c r="F31" s="267"/>
      <c r="G31" s="267"/>
      <c r="H31" s="1"/>
      <c r="I31" s="1"/>
      <c r="J31" s="1"/>
      <c r="K31" s="27" t="str">
        <f>IF(Dec[[#This Row],[Date of Incident]]="","",TEXT(Dec[[#This Row],[Date of Incident]],"ddd"))</f>
        <v/>
      </c>
      <c r="L31" s="1"/>
      <c r="M31" s="27" t="str">
        <f>IFERROR(VLOOKUP(Dec[[#This Row],[Hour]],Shifts[],2,FALSE),"")</f>
        <v/>
      </c>
      <c r="N31" s="2"/>
      <c r="O31" s="24" t="str">
        <f>IFERROR(VLOOKUP(Dec[[#This Row],[BIMS Score]],BIMS[],2,FALSE),"")</f>
        <v/>
      </c>
      <c r="P31" s="3"/>
      <c r="Q31" s="3"/>
      <c r="R31" s="2"/>
      <c r="S31" s="168"/>
      <c r="T31" s="5"/>
      <c r="U31" s="5"/>
      <c r="V31" s="5"/>
    </row>
    <row r="32" spans="1:22" ht="20.85" customHeight="1" x14ac:dyDescent="0.25">
      <c r="B32" s="266"/>
      <c r="C32" s="5"/>
      <c r="D32" s="263"/>
      <c r="E32" s="263"/>
      <c r="F32" s="267"/>
      <c r="G32" s="267"/>
      <c r="H32" s="1"/>
      <c r="I32" s="1"/>
      <c r="J32" s="1"/>
      <c r="K32" s="27" t="str">
        <f>IF(Dec[[#This Row],[Date of Incident]]="","",TEXT(Dec[[#This Row],[Date of Incident]],"ddd"))</f>
        <v/>
      </c>
      <c r="L32" s="1"/>
      <c r="M32" s="27" t="str">
        <f>IFERROR(VLOOKUP(Dec[[#This Row],[Hour]],Shifts[],2,FALSE),"")</f>
        <v/>
      </c>
      <c r="N32" s="2"/>
      <c r="O32" s="24" t="str">
        <f>IFERROR(VLOOKUP(Dec[[#This Row],[BIMS Score]],BIMS[],2,FALSE),"")</f>
        <v/>
      </c>
      <c r="P32" s="3"/>
      <c r="Q32" s="3"/>
      <c r="R32" s="2"/>
      <c r="S32" s="168"/>
      <c r="T32" s="5"/>
      <c r="U32" s="5"/>
      <c r="V32" s="5"/>
    </row>
    <row r="33" spans="2:22" ht="20.85" customHeight="1" x14ac:dyDescent="0.25">
      <c r="B33" s="266"/>
      <c r="C33" s="5"/>
      <c r="D33" s="263"/>
      <c r="E33" s="263"/>
      <c r="F33" s="267"/>
      <c r="G33" s="267"/>
      <c r="H33" s="1"/>
      <c r="I33" s="1"/>
      <c r="J33" s="1"/>
      <c r="K33" s="27" t="str">
        <f>IF(Dec[[#This Row],[Date of Incident]]="","",TEXT(Dec[[#This Row],[Date of Incident]],"ddd"))</f>
        <v/>
      </c>
      <c r="L33" s="1"/>
      <c r="M33" s="27" t="str">
        <f>IFERROR(VLOOKUP(Dec[[#This Row],[Hour]],Shifts[],2,FALSE),"")</f>
        <v/>
      </c>
      <c r="N33" s="2"/>
      <c r="O33" s="24" t="str">
        <f>IFERROR(VLOOKUP(Dec[[#This Row],[BIMS Score]],BIMS[],2,FALSE),"")</f>
        <v/>
      </c>
      <c r="P33" s="3"/>
      <c r="Q33" s="3"/>
      <c r="R33" s="2"/>
      <c r="S33" s="168"/>
      <c r="T33" s="5"/>
      <c r="U33" s="5"/>
      <c r="V33" s="5"/>
    </row>
    <row r="34" spans="2:22" ht="20.85" customHeight="1" x14ac:dyDescent="0.25">
      <c r="B34" s="266"/>
      <c r="C34" s="5"/>
      <c r="D34" s="263"/>
      <c r="E34" s="263"/>
      <c r="F34" s="267"/>
      <c r="G34" s="267"/>
      <c r="H34" s="1"/>
      <c r="I34" s="1"/>
      <c r="J34" s="1"/>
      <c r="K34" s="27" t="str">
        <f>IF(Dec[[#This Row],[Date of Incident]]="","",TEXT(Dec[[#This Row],[Date of Incident]],"ddd"))</f>
        <v/>
      </c>
      <c r="L34" s="1"/>
      <c r="M34" s="27" t="str">
        <f>IFERROR(VLOOKUP(Dec[[#This Row],[Hour]],Shifts[],2,FALSE),"")</f>
        <v/>
      </c>
      <c r="N34" s="2"/>
      <c r="O34" s="24" t="str">
        <f>IFERROR(VLOOKUP(Dec[[#This Row],[BIMS Score]],BIMS[],2,FALSE),"")</f>
        <v/>
      </c>
      <c r="P34" s="3"/>
      <c r="Q34" s="3"/>
      <c r="R34" s="2"/>
      <c r="S34" s="168"/>
      <c r="T34" s="5"/>
      <c r="U34" s="5"/>
      <c r="V34" s="5"/>
    </row>
    <row r="35" spans="2:22" ht="20.85" customHeight="1" x14ac:dyDescent="0.25">
      <c r="B35" s="266"/>
      <c r="C35" s="5"/>
      <c r="D35" s="263"/>
      <c r="E35" s="263"/>
      <c r="F35" s="267"/>
      <c r="G35" s="267"/>
      <c r="H35" s="1"/>
      <c r="I35" s="1"/>
      <c r="J35" s="1"/>
      <c r="K35" s="27" t="str">
        <f>IF(Dec[[#This Row],[Date of Incident]]="","",TEXT(Dec[[#This Row],[Date of Incident]],"ddd"))</f>
        <v/>
      </c>
      <c r="L35" s="1"/>
      <c r="M35" s="27" t="str">
        <f>IFERROR(VLOOKUP(Dec[[#This Row],[Hour]],Shifts[],2,FALSE),"")</f>
        <v/>
      </c>
      <c r="N35" s="2"/>
      <c r="O35" s="24" t="str">
        <f>IFERROR(VLOOKUP(Dec[[#This Row],[BIMS Score]],BIMS[],2,FALSE),"")</f>
        <v/>
      </c>
      <c r="P35" s="3"/>
      <c r="Q35" s="3"/>
      <c r="R35" s="2"/>
      <c r="S35" s="168"/>
      <c r="T35" s="5"/>
      <c r="U35" s="5"/>
      <c r="V35" s="5"/>
    </row>
    <row r="36" spans="2:22" ht="20.85" customHeight="1" x14ac:dyDescent="0.25">
      <c r="B36" s="266"/>
      <c r="C36" s="5"/>
      <c r="D36" s="263"/>
      <c r="E36" s="263"/>
      <c r="F36" s="267"/>
      <c r="G36" s="267"/>
      <c r="H36" s="1"/>
      <c r="I36" s="1"/>
      <c r="J36" s="1"/>
      <c r="K36" s="27" t="str">
        <f>IF(Dec[[#This Row],[Date of Incident]]="","",TEXT(Dec[[#This Row],[Date of Incident]],"ddd"))</f>
        <v/>
      </c>
      <c r="L36" s="1"/>
      <c r="M36" s="27" t="str">
        <f>IFERROR(VLOOKUP(Dec[[#This Row],[Hour]],Shifts[],2,FALSE),"")</f>
        <v/>
      </c>
      <c r="N36" s="2"/>
      <c r="O36" s="24" t="str">
        <f>IFERROR(VLOOKUP(Dec[[#This Row],[BIMS Score]],BIMS[],2,FALSE),"")</f>
        <v/>
      </c>
      <c r="P36" s="3"/>
      <c r="Q36" s="3"/>
      <c r="R36" s="2"/>
      <c r="S36" s="168"/>
      <c r="T36" s="5"/>
      <c r="U36" s="5"/>
      <c r="V36" s="5"/>
    </row>
    <row r="37" spans="2:22" ht="20.85" customHeight="1" x14ac:dyDescent="0.25">
      <c r="B37" s="266"/>
      <c r="C37" s="5"/>
      <c r="D37" s="263"/>
      <c r="E37" s="263"/>
      <c r="F37" s="267"/>
      <c r="G37" s="267"/>
      <c r="H37" s="1"/>
      <c r="I37" s="1"/>
      <c r="J37" s="1"/>
      <c r="K37" s="27" t="str">
        <f>IF(Dec[[#This Row],[Date of Incident]]="","",TEXT(Dec[[#This Row],[Date of Incident]],"ddd"))</f>
        <v/>
      </c>
      <c r="L37" s="1"/>
      <c r="M37" s="27" t="str">
        <f>IFERROR(VLOOKUP(Dec[[#This Row],[Hour]],Shifts[],2,FALSE),"")</f>
        <v/>
      </c>
      <c r="N37" s="2"/>
      <c r="O37" s="24" t="str">
        <f>IFERROR(VLOOKUP(Dec[[#This Row],[BIMS Score]],BIMS[],2,FALSE),"")</f>
        <v/>
      </c>
      <c r="P37" s="3"/>
      <c r="Q37" s="3"/>
      <c r="R37" s="2"/>
      <c r="S37" s="168"/>
      <c r="T37" s="5"/>
      <c r="U37" s="5"/>
      <c r="V37" s="5"/>
    </row>
    <row r="38" spans="2:22" ht="20.85" customHeight="1" x14ac:dyDescent="0.25">
      <c r="B38" s="266"/>
      <c r="C38" s="5"/>
      <c r="D38" s="263"/>
      <c r="E38" s="263"/>
      <c r="F38" s="267"/>
      <c r="G38" s="267"/>
      <c r="H38" s="1"/>
      <c r="I38" s="1"/>
      <c r="J38" s="1"/>
      <c r="K38" s="27" t="str">
        <f>IF(Dec[[#This Row],[Date of Incident]]="","",TEXT(Dec[[#This Row],[Date of Incident]],"ddd"))</f>
        <v/>
      </c>
      <c r="L38" s="1"/>
      <c r="M38" s="27" t="str">
        <f>IFERROR(VLOOKUP(Dec[[#This Row],[Hour]],Shifts[],2,FALSE),"")</f>
        <v/>
      </c>
      <c r="N38" s="2"/>
      <c r="O38" s="24" t="str">
        <f>IFERROR(VLOOKUP(Dec[[#This Row],[BIMS Score]],BIMS[],2,FALSE),"")</f>
        <v/>
      </c>
      <c r="P38" s="3"/>
      <c r="Q38" s="3"/>
      <c r="R38" s="2"/>
      <c r="S38" s="168"/>
      <c r="T38" s="5"/>
      <c r="U38" s="5"/>
      <c r="V38" s="5"/>
    </row>
    <row r="39" spans="2:22" ht="20.85" customHeight="1" x14ac:dyDescent="0.25">
      <c r="B39" s="266"/>
      <c r="C39" s="5"/>
      <c r="D39" s="263"/>
      <c r="E39" s="263"/>
      <c r="F39" s="267"/>
      <c r="G39" s="267"/>
      <c r="H39" s="1"/>
      <c r="I39" s="1"/>
      <c r="J39" s="1"/>
      <c r="K39" s="27" t="str">
        <f>IF(Dec[[#This Row],[Date of Incident]]="","",TEXT(Dec[[#This Row],[Date of Incident]],"ddd"))</f>
        <v/>
      </c>
      <c r="L39" s="1"/>
      <c r="M39" s="27" t="str">
        <f>IFERROR(VLOOKUP(Dec[[#This Row],[Hour]],Shifts[],2,FALSE),"")</f>
        <v/>
      </c>
      <c r="N39" s="2"/>
      <c r="O39" s="24" t="str">
        <f>IFERROR(VLOOKUP(Dec[[#This Row],[BIMS Score]],BIMS[],2,FALSE),"")</f>
        <v/>
      </c>
      <c r="P39" s="3"/>
      <c r="Q39" s="3"/>
      <c r="R39" s="2"/>
      <c r="S39" s="168"/>
      <c r="T39" s="5"/>
      <c r="U39" s="5"/>
      <c r="V39" s="5"/>
    </row>
    <row r="40" spans="2:22" ht="20.85" customHeight="1" x14ac:dyDescent="0.25">
      <c r="B40" s="266"/>
      <c r="C40" s="5"/>
      <c r="D40" s="263"/>
      <c r="E40" s="263"/>
      <c r="F40" s="267"/>
      <c r="G40" s="267"/>
      <c r="H40" s="1"/>
      <c r="I40" s="1"/>
      <c r="J40" s="1"/>
      <c r="K40" s="27" t="str">
        <f>IF(Dec[[#This Row],[Date of Incident]]="","",TEXT(Dec[[#This Row],[Date of Incident]],"ddd"))</f>
        <v/>
      </c>
      <c r="L40" s="1"/>
      <c r="M40" s="27" t="str">
        <f>IFERROR(VLOOKUP(Dec[[#This Row],[Hour]],Shifts[],2,FALSE),"")</f>
        <v/>
      </c>
      <c r="N40" s="2"/>
      <c r="O40" s="24" t="str">
        <f>IFERROR(VLOOKUP(Dec[[#This Row],[BIMS Score]],BIMS[],2,FALSE),"")</f>
        <v/>
      </c>
      <c r="P40" s="3"/>
      <c r="Q40" s="3"/>
      <c r="R40" s="2"/>
      <c r="S40" s="168"/>
      <c r="T40" s="5"/>
      <c r="U40" s="5"/>
      <c r="V40" s="5"/>
    </row>
    <row r="41" spans="2:22" x14ac:dyDescent="0.25">
      <c r="B41" s="26"/>
      <c r="C41" s="21"/>
      <c r="D41" s="22"/>
      <c r="E41" s="23"/>
      <c r="F41" s="26"/>
      <c r="G41" s="26"/>
      <c r="H41" s="26"/>
      <c r="I41" s="26"/>
      <c r="J41" s="26"/>
      <c r="K41" s="26"/>
      <c r="L41" s="26"/>
      <c r="M41" s="26"/>
      <c r="N41" s="20"/>
      <c r="O41" s="25"/>
      <c r="P41" s="21"/>
      <c r="Q41" s="21"/>
      <c r="R41" s="25"/>
    </row>
    <row r="42" spans="2:22" x14ac:dyDescent="0.25">
      <c r="B42" s="26"/>
      <c r="C42" s="21"/>
      <c r="D42" s="22"/>
      <c r="E42" s="23"/>
      <c r="F42" s="26"/>
      <c r="G42" s="26"/>
      <c r="H42" s="26"/>
      <c r="I42" s="26"/>
      <c r="J42" s="26"/>
      <c r="K42" s="26"/>
      <c r="L42" s="26"/>
      <c r="M42" s="26"/>
      <c r="N42" s="20"/>
      <c r="O42" s="25"/>
      <c r="P42" s="21"/>
      <c r="Q42" s="21"/>
      <c r="R42" s="25"/>
    </row>
    <row r="43" spans="2:22" x14ac:dyDescent="0.25">
      <c r="B43" s="26"/>
      <c r="C43" s="21"/>
      <c r="D43" s="22"/>
      <c r="E43" s="23"/>
      <c r="F43" s="26"/>
      <c r="G43" s="26"/>
      <c r="H43" s="26"/>
      <c r="I43" s="26"/>
      <c r="J43" s="26"/>
      <c r="K43" s="26"/>
      <c r="L43" s="26"/>
      <c r="M43" s="26"/>
      <c r="N43" s="20"/>
      <c r="O43" s="25"/>
      <c r="P43" s="21"/>
      <c r="Q43" s="21"/>
      <c r="R43" s="25"/>
    </row>
    <row r="44" spans="2:22" x14ac:dyDescent="0.25">
      <c r="B44" s="26"/>
      <c r="C44" s="21"/>
      <c r="D44" s="22"/>
      <c r="E44" s="23"/>
      <c r="F44" s="26"/>
      <c r="G44" s="26"/>
      <c r="H44" s="26"/>
      <c r="I44" s="26"/>
      <c r="J44" s="26"/>
      <c r="K44" s="26"/>
      <c r="L44" s="26"/>
      <c r="M44" s="26"/>
      <c r="N44" s="20"/>
      <c r="O44" s="25"/>
      <c r="P44" s="21"/>
      <c r="Q44" s="21"/>
      <c r="R44" s="25"/>
    </row>
    <row r="45" spans="2:22" x14ac:dyDescent="0.25">
      <c r="B45" s="26"/>
      <c r="C45" s="21"/>
      <c r="D45" s="22"/>
      <c r="E45" s="23"/>
      <c r="F45" s="26"/>
      <c r="G45" s="26"/>
      <c r="H45" s="26"/>
      <c r="I45" s="26"/>
      <c r="J45" s="26"/>
      <c r="K45" s="26"/>
      <c r="L45" s="26"/>
      <c r="M45" s="26"/>
      <c r="N45" s="20"/>
      <c r="O45" s="25"/>
      <c r="P45" s="21"/>
      <c r="Q45" s="21"/>
      <c r="R45" s="25"/>
    </row>
    <row r="46" spans="2:22" x14ac:dyDescent="0.25">
      <c r="B46" s="26"/>
      <c r="C46" s="21"/>
      <c r="D46" s="22"/>
      <c r="E46" s="23"/>
      <c r="F46" s="26"/>
      <c r="G46" s="26"/>
      <c r="H46" s="26"/>
      <c r="I46" s="26"/>
      <c r="J46" s="26"/>
      <c r="K46" s="26"/>
      <c r="L46" s="26"/>
      <c r="M46" s="26"/>
      <c r="N46" s="20"/>
      <c r="O46" s="25"/>
      <c r="P46" s="21"/>
      <c r="Q46" s="21"/>
      <c r="R46" s="25"/>
    </row>
    <row r="47" spans="2:22" x14ac:dyDescent="0.25">
      <c r="B47" s="26"/>
      <c r="C47" s="21"/>
      <c r="D47" s="22"/>
      <c r="E47" s="23"/>
      <c r="F47" s="26"/>
      <c r="G47" s="26"/>
      <c r="H47" s="26"/>
      <c r="I47" s="26"/>
      <c r="J47" s="26"/>
      <c r="K47" s="26"/>
      <c r="L47" s="26"/>
      <c r="M47" s="26"/>
      <c r="N47" s="20"/>
      <c r="O47" s="25"/>
      <c r="P47" s="21"/>
      <c r="Q47" s="21"/>
      <c r="R47" s="25"/>
    </row>
    <row r="48" spans="2:22" x14ac:dyDescent="0.25">
      <c r="B48" s="26"/>
      <c r="C48" s="21"/>
      <c r="D48" s="22"/>
      <c r="E48" s="23"/>
      <c r="F48" s="26"/>
      <c r="G48" s="26"/>
      <c r="H48" s="26"/>
      <c r="I48" s="26"/>
      <c r="J48" s="26"/>
      <c r="K48" s="26"/>
      <c r="L48" s="26"/>
      <c r="M48" s="26"/>
      <c r="N48" s="20"/>
      <c r="O48" s="25"/>
      <c r="P48" s="21"/>
      <c r="Q48" s="21"/>
      <c r="R48" s="25"/>
    </row>
    <row r="49" spans="1:18" x14ac:dyDescent="0.25">
      <c r="B49" s="26"/>
      <c r="C49" s="21"/>
      <c r="D49" s="22"/>
      <c r="E49" s="23"/>
      <c r="F49" s="26"/>
      <c r="G49" s="26"/>
      <c r="H49" s="26"/>
      <c r="I49" s="26"/>
      <c r="J49" s="26"/>
      <c r="K49" s="26"/>
      <c r="L49" s="26"/>
      <c r="M49" s="26"/>
      <c r="N49" s="20"/>
      <c r="O49" s="25"/>
      <c r="P49" s="21"/>
      <c r="Q49" s="21"/>
      <c r="R49" s="25"/>
    </row>
    <row r="50" spans="1:18" ht="15.75" thickBot="1" x14ac:dyDescent="0.3">
      <c r="B50" s="26"/>
      <c r="C50" s="21"/>
      <c r="D50" s="22"/>
      <c r="E50" s="23"/>
      <c r="F50" s="26"/>
      <c r="G50" s="26"/>
      <c r="H50" s="26"/>
      <c r="I50" s="26"/>
      <c r="Q50" s="21"/>
    </row>
    <row r="51" spans="1:18" ht="22.35" customHeight="1" thickBot="1" x14ac:dyDescent="0.3">
      <c r="B51" s="282" t="s">
        <v>85</v>
      </c>
      <c r="C51" s="283"/>
      <c r="D51" s="284"/>
      <c r="F51" s="282" t="s">
        <v>100</v>
      </c>
      <c r="G51" s="283"/>
      <c r="H51" s="284"/>
    </row>
    <row r="52" spans="1:18" ht="15.6" customHeight="1" x14ac:dyDescent="0.25">
      <c r="B52" s="285" t="s">
        <v>83</v>
      </c>
      <c r="C52" s="286"/>
      <c r="D52" s="28" t="s">
        <v>35</v>
      </c>
      <c r="F52" s="285" t="s">
        <v>83</v>
      </c>
      <c r="G52" s="286"/>
      <c r="H52" s="28" t="s">
        <v>35</v>
      </c>
    </row>
    <row r="53" spans="1:18" x14ac:dyDescent="0.25">
      <c r="B53" s="29" t="s">
        <v>41</v>
      </c>
      <c r="C53" s="30"/>
      <c r="D53" s="31">
        <f>COUNTIFS(Dec[Witnessed
Fall?],$B53)</f>
        <v>0</v>
      </c>
      <c r="F53" s="29" t="s">
        <v>79</v>
      </c>
      <c r="G53" s="30"/>
      <c r="H53" s="31">
        <f>COUNTIFS(Dec[Fall Circumstances],$F53)</f>
        <v>0</v>
      </c>
    </row>
    <row r="54" spans="1:18" ht="15.75" thickBot="1" x14ac:dyDescent="0.3">
      <c r="B54" s="32" t="s">
        <v>42</v>
      </c>
      <c r="C54" s="33"/>
      <c r="D54" s="34">
        <f>COUNTIFS(Dec[Witnessed
Fall?],$B54)</f>
        <v>0</v>
      </c>
      <c r="F54" s="29" t="s">
        <v>101</v>
      </c>
      <c r="G54" s="30"/>
      <c r="H54" s="31">
        <f>COUNTIFS(Dec[Fall Circumstances],$F54)</f>
        <v>0</v>
      </c>
    </row>
    <row r="55" spans="1:18" ht="15.6" customHeight="1" thickBot="1" x14ac:dyDescent="0.3">
      <c r="B55" s="287" t="s">
        <v>16</v>
      </c>
      <c r="C55" s="288"/>
      <c r="D55" s="35">
        <f>SUM(D53:D54)</f>
        <v>0</v>
      </c>
      <c r="F55" s="32" t="s">
        <v>102</v>
      </c>
      <c r="G55" s="33"/>
      <c r="H55" s="36">
        <f>COUNTIFS(Dec[Fall Circumstances],$F55)</f>
        <v>0</v>
      </c>
    </row>
    <row r="56" spans="1:18" ht="15.6" customHeight="1" thickBot="1" x14ac:dyDescent="0.3">
      <c r="A56" s="26"/>
      <c r="B56" s="21"/>
      <c r="C56" s="22"/>
      <c r="D56" s="26"/>
      <c r="F56" s="287" t="s">
        <v>16</v>
      </c>
      <c r="G56" s="288"/>
      <c r="H56" s="37">
        <f>SUM(H53:H55)</f>
        <v>0</v>
      </c>
    </row>
    <row r="57" spans="1:18" ht="15.75" thickBot="1" x14ac:dyDescent="0.3">
      <c r="A57" s="26"/>
      <c r="B57" s="21"/>
      <c r="C57" s="22"/>
      <c r="D57" s="26"/>
      <c r="F57" s="26"/>
      <c r="G57" s="21"/>
      <c r="H57" s="22"/>
      <c r="L57" s="21"/>
      <c r="O57" s="22"/>
    </row>
    <row r="58" spans="1:18" ht="15.75" thickBot="1" x14ac:dyDescent="0.3">
      <c r="A58" s="26"/>
      <c r="B58" s="21"/>
      <c r="C58" s="22"/>
      <c r="D58" s="26"/>
      <c r="F58" s="282" t="s">
        <v>103</v>
      </c>
      <c r="G58" s="283"/>
      <c r="H58" s="284"/>
      <c r="L58" s="21"/>
      <c r="O58" s="22"/>
    </row>
    <row r="59" spans="1:18" x14ac:dyDescent="0.25">
      <c r="A59" s="26"/>
      <c r="B59" s="21"/>
      <c r="C59" s="22"/>
      <c r="D59" s="26"/>
      <c r="F59" s="285" t="s">
        <v>26</v>
      </c>
      <c r="G59" s="286"/>
      <c r="H59" s="28" t="s">
        <v>35</v>
      </c>
      <c r="L59" s="21"/>
      <c r="O59" s="22"/>
    </row>
    <row r="60" spans="1:18" ht="15.6" customHeight="1" x14ac:dyDescent="0.25">
      <c r="F60" s="29" t="s">
        <v>142</v>
      </c>
      <c r="G60" s="30"/>
      <c r="H60" s="31">
        <f>COUNTIFS(Dec[Cognitive Impairment],$F60)</f>
        <v>0</v>
      </c>
    </row>
    <row r="61" spans="1:18" x14ac:dyDescent="0.25">
      <c r="F61" s="29" t="s">
        <v>143</v>
      </c>
      <c r="G61" s="30"/>
      <c r="H61" s="31">
        <f>COUNTIFS(Dec[Cognitive Impairment],$F61)</f>
        <v>0</v>
      </c>
    </row>
    <row r="62" spans="1:18" ht="15.75" thickBot="1" x14ac:dyDescent="0.3">
      <c r="F62" s="32" t="s">
        <v>144</v>
      </c>
      <c r="G62" s="33"/>
      <c r="H62" s="31">
        <f>COUNTIFS(Dec[Cognitive Impairment],$F62)</f>
        <v>0</v>
      </c>
    </row>
    <row r="63" spans="1:18" ht="15.75" thickBot="1" x14ac:dyDescent="0.3">
      <c r="F63" s="287" t="s">
        <v>16</v>
      </c>
      <c r="G63" s="288"/>
      <c r="H63" s="37">
        <f>SUM(H60:H62)</f>
        <v>0</v>
      </c>
    </row>
    <row r="64" spans="1:18" ht="15.75" thickBot="1" x14ac:dyDescent="0.3"/>
    <row r="65" spans="1:8" ht="21.4" customHeight="1" thickBot="1" x14ac:dyDescent="0.3">
      <c r="B65" s="282" t="s">
        <v>78</v>
      </c>
      <c r="C65" s="283"/>
      <c r="D65" s="283"/>
      <c r="E65" s="283"/>
      <c r="F65" s="283"/>
      <c r="G65" s="284"/>
    </row>
    <row r="66" spans="1:8" ht="15.6" customHeight="1" x14ac:dyDescent="0.25">
      <c r="A66" s="38"/>
      <c r="B66" s="290" t="s">
        <v>86</v>
      </c>
      <c r="C66" s="291"/>
      <c r="D66" s="291"/>
      <c r="E66" s="291"/>
      <c r="F66" s="292"/>
      <c r="G66" s="28" t="s">
        <v>35</v>
      </c>
    </row>
    <row r="67" spans="1:8" x14ac:dyDescent="0.25">
      <c r="A67" s="38"/>
      <c r="B67" s="39" t="str" cm="1">
        <f t="array" ref="B67:B90">IF(_xlfn._xlws.SORT(PriortoFall[What was the resident doing prior to fall?],1,1,TRUE)=0,"",(_xlfn._xlws.SORT(PriortoFall[What was the resident doing prior to fall?],1,1,TRUE)))</f>
        <v>Ambulating with assistive device (walker, cane, wheelchair)</v>
      </c>
      <c r="C67" s="40"/>
      <c r="D67" s="40"/>
      <c r="E67" s="40"/>
      <c r="F67" s="41"/>
      <c r="G67" s="42">
        <f>IF($B67="",NA(),COUNTIFS(Dec[What was resident doing prior to fall?],$B67))</f>
        <v>0</v>
      </c>
      <c r="H67" s="43"/>
    </row>
    <row r="68" spans="1:8" x14ac:dyDescent="0.25">
      <c r="A68" s="38"/>
      <c r="B68" s="44" t="str">
        <v>Ambulating with staff assistance</v>
      </c>
      <c r="C68" s="45"/>
      <c r="D68" s="45"/>
      <c r="E68" s="45"/>
      <c r="F68" s="46"/>
      <c r="G68" s="42">
        <f>IF($B68="",NA(),COUNTIFS(Dec[What was resident doing prior to fall?],$B68))</f>
        <v>0</v>
      </c>
    </row>
    <row r="69" spans="1:8" x14ac:dyDescent="0.25">
      <c r="A69" s="38"/>
      <c r="B69" s="39" t="str">
        <v>Ambulating without assistance or assistive device</v>
      </c>
      <c r="C69" s="40"/>
      <c r="D69" s="40"/>
      <c r="E69" s="40"/>
      <c r="F69" s="41"/>
      <c r="G69" s="42">
        <f>IF($B69="",NA(),COUNTIFS(Dec[What was resident doing prior to fall?],$B69))</f>
        <v>0</v>
      </c>
    </row>
    <row r="70" spans="1:8" x14ac:dyDescent="0.25">
      <c r="A70" s="38"/>
      <c r="B70" s="44" t="str">
        <v>Changing position (e.g., in bed, chair)</v>
      </c>
      <c r="C70" s="45"/>
      <c r="D70" s="45"/>
      <c r="E70" s="45"/>
      <c r="F70" s="46"/>
      <c r="G70" s="42">
        <f>IF($B70="",NA(),COUNTIFS(Dec[What was resident doing prior to fall?],$B70))</f>
        <v>0</v>
      </c>
    </row>
    <row r="71" spans="1:8" x14ac:dyDescent="0.25">
      <c r="A71" s="38"/>
      <c r="B71" s="44" t="str">
        <v>Dressing or undressing</v>
      </c>
      <c r="C71" s="45"/>
      <c r="D71" s="45"/>
      <c r="E71" s="45"/>
      <c r="F71" s="46"/>
      <c r="G71" s="42">
        <f>IF($B71="",NA(),COUNTIFS(Dec[What was resident doing prior to fall?],$B71))</f>
        <v>0</v>
      </c>
    </row>
    <row r="72" spans="1:8" x14ac:dyDescent="0.25">
      <c r="A72" s="38"/>
      <c r="B72" s="44" t="str">
        <v>Other activity</v>
      </c>
      <c r="C72" s="45"/>
      <c r="D72" s="45"/>
      <c r="E72" s="45"/>
      <c r="F72" s="46"/>
      <c r="G72" s="42">
        <f>IF($B72="",NA(),COUNTIFS(Dec[What was resident doing prior to fall?],$B72))</f>
        <v>0</v>
      </c>
    </row>
    <row r="73" spans="1:8" x14ac:dyDescent="0.25">
      <c r="A73" s="38"/>
      <c r="B73" s="44" t="str">
        <v>Reaching for an item</v>
      </c>
      <c r="C73" s="45"/>
      <c r="D73" s="45"/>
      <c r="E73" s="45"/>
      <c r="F73" s="46"/>
      <c r="G73" s="42">
        <f>IF($B73="",NA(),COUNTIFS(Dec[What was resident doing prior to fall?],$B73))</f>
        <v>0</v>
      </c>
    </row>
    <row r="74" spans="1:8" x14ac:dyDescent="0.25">
      <c r="A74" s="38"/>
      <c r="B74" s="44" t="str">
        <v>Showering or bathing</v>
      </c>
      <c r="C74" s="45"/>
      <c r="D74" s="45"/>
      <c r="E74" s="45"/>
      <c r="F74" s="46"/>
      <c r="G74" s="42">
        <f>IF($B74="",NA(),COUNTIFS(Dec[What was resident doing prior to fall?],$B74))</f>
        <v>0</v>
      </c>
    </row>
    <row r="75" spans="1:8" x14ac:dyDescent="0.25">
      <c r="A75" s="38"/>
      <c r="B75" s="44" t="str">
        <v>Toileting</v>
      </c>
      <c r="C75" s="45"/>
      <c r="D75" s="45"/>
      <c r="E75" s="45"/>
      <c r="F75" s="46"/>
      <c r="G75" s="42">
        <f>IF($B75="",NA(),COUNTIFS(Dec[What was resident doing prior to fall?],$B75))</f>
        <v>0</v>
      </c>
    </row>
    <row r="76" spans="1:8" x14ac:dyDescent="0.25">
      <c r="A76" s="38"/>
      <c r="B76" s="44" t="str">
        <v>Transferring to or from bed, chair, wheelchair, etc.</v>
      </c>
      <c r="C76" s="45"/>
      <c r="D76" s="45"/>
      <c r="E76" s="45"/>
      <c r="F76" s="46"/>
      <c r="G76" s="42">
        <f>IF($B76="",NA(),COUNTIFS(Dec[What was resident doing prior to fall?],$B76))</f>
        <v>0</v>
      </c>
    </row>
    <row r="77" spans="1:8" x14ac:dyDescent="0.25">
      <c r="A77" s="38"/>
      <c r="B77" s="39" t="str">
        <v>Unknown</v>
      </c>
      <c r="C77" s="40"/>
      <c r="D77" s="40"/>
      <c r="E77" s="40"/>
      <c r="F77" s="41"/>
      <c r="G77" s="42">
        <f>IF($B77="",NA(),COUNTIFS(Dec[What was resident doing prior to fall?],$B77))</f>
        <v>0</v>
      </c>
    </row>
    <row r="78" spans="1:8" x14ac:dyDescent="0.25">
      <c r="A78" s="38"/>
      <c r="B78" s="44" t="str">
        <v/>
      </c>
      <c r="C78" s="45"/>
      <c r="D78" s="45"/>
      <c r="E78" s="45"/>
      <c r="F78" s="46"/>
      <c r="G78" s="42" t="e">
        <f>IF($B78="",NA(),COUNTIFS(Dec[What was resident doing prior to fall?],$B78))</f>
        <v>#N/A</v>
      </c>
    </row>
    <row r="79" spans="1:8" x14ac:dyDescent="0.25">
      <c r="A79" s="38"/>
      <c r="B79" s="39" t="str">
        <v/>
      </c>
      <c r="C79" s="40"/>
      <c r="D79" s="40"/>
      <c r="E79" s="40"/>
      <c r="F79" s="41"/>
      <c r="G79" s="42" t="e">
        <f>IF($B79="",NA(),COUNTIFS(Dec[What was resident doing prior to fall?],$B79))</f>
        <v>#N/A</v>
      </c>
    </row>
    <row r="80" spans="1:8" x14ac:dyDescent="0.25">
      <c r="A80" s="38"/>
      <c r="B80" s="44" t="str">
        <v/>
      </c>
      <c r="C80" s="45"/>
      <c r="D80" s="45"/>
      <c r="E80" s="45"/>
      <c r="F80" s="46"/>
      <c r="G80" s="42" t="e">
        <f>IF($B80="",NA(),COUNTIFS(Dec[What was resident doing prior to fall?],$B80))</f>
        <v>#N/A</v>
      </c>
    </row>
    <row r="81" spans="1:7" x14ac:dyDescent="0.25">
      <c r="A81" s="38"/>
      <c r="B81" s="39" t="str">
        <v/>
      </c>
      <c r="C81" s="40"/>
      <c r="D81" s="40"/>
      <c r="E81" s="40"/>
      <c r="F81" s="41"/>
      <c r="G81" s="42" t="e">
        <f>IF($B81="",NA(),COUNTIFS(Dec[What was resident doing prior to fall?],$B81))</f>
        <v>#N/A</v>
      </c>
    </row>
    <row r="82" spans="1:7" x14ac:dyDescent="0.25">
      <c r="A82" s="38"/>
      <c r="B82" s="44" t="str">
        <v/>
      </c>
      <c r="C82" s="45"/>
      <c r="D82" s="45"/>
      <c r="E82" s="45"/>
      <c r="F82" s="46"/>
      <c r="G82" s="42" t="e">
        <f>IF($B82="",NA(),COUNTIFS(Dec[What was resident doing prior to fall?],$B82))</f>
        <v>#N/A</v>
      </c>
    </row>
    <row r="83" spans="1:7" x14ac:dyDescent="0.25">
      <c r="A83" s="38"/>
      <c r="B83" s="39" t="str">
        <v/>
      </c>
      <c r="C83" s="40"/>
      <c r="D83" s="40"/>
      <c r="E83" s="40"/>
      <c r="F83" s="41"/>
      <c r="G83" s="42" t="e">
        <f>IF($B83="",NA(),COUNTIFS(Dec[What was resident doing prior to fall?],$B83))</f>
        <v>#N/A</v>
      </c>
    </row>
    <row r="84" spans="1:7" x14ac:dyDescent="0.25">
      <c r="A84" s="38"/>
      <c r="B84" s="44" t="str">
        <v/>
      </c>
      <c r="C84" s="45"/>
      <c r="D84" s="45"/>
      <c r="E84" s="45"/>
      <c r="F84" s="46"/>
      <c r="G84" s="42" t="e">
        <f>IF($B84="",NA(),COUNTIFS(Dec[What was resident doing prior to fall?],$B84))</f>
        <v>#N/A</v>
      </c>
    </row>
    <row r="85" spans="1:7" x14ac:dyDescent="0.25">
      <c r="A85" s="38"/>
      <c r="B85" s="44" t="str">
        <v/>
      </c>
      <c r="C85" s="45"/>
      <c r="D85" s="45"/>
      <c r="E85" s="45"/>
      <c r="F85" s="46"/>
      <c r="G85" s="42" t="e">
        <f>IF($B85="",NA(),COUNTIFS(Dec[What was resident doing prior to fall?],$B85))</f>
        <v>#N/A</v>
      </c>
    </row>
    <row r="86" spans="1:7" x14ac:dyDescent="0.25">
      <c r="A86" s="38"/>
      <c r="B86" s="39" t="str">
        <v/>
      </c>
      <c r="C86" s="40"/>
      <c r="D86" s="40"/>
      <c r="E86" s="40"/>
      <c r="F86" s="41"/>
      <c r="G86" s="42" t="e">
        <f>IF($B86="",NA(),COUNTIFS(Dec[What was resident doing prior to fall?],$B86))</f>
        <v>#N/A</v>
      </c>
    </row>
    <row r="87" spans="1:7" x14ac:dyDescent="0.25">
      <c r="A87" s="38"/>
      <c r="B87" s="44" t="str">
        <v/>
      </c>
      <c r="C87" s="45"/>
      <c r="D87" s="45"/>
      <c r="E87" s="45"/>
      <c r="F87" s="46"/>
      <c r="G87" s="42" t="e">
        <f>IF($B87="",NA(),COUNTIFS(Dec[What was resident doing prior to fall?],$B87))</f>
        <v>#N/A</v>
      </c>
    </row>
    <row r="88" spans="1:7" x14ac:dyDescent="0.25">
      <c r="A88" s="38"/>
      <c r="B88" s="39" t="str">
        <v/>
      </c>
      <c r="C88" s="40"/>
      <c r="D88" s="40"/>
      <c r="E88" s="40"/>
      <c r="F88" s="41"/>
      <c r="G88" s="42" t="e">
        <f>IF($B88="",NA(),COUNTIFS(Dec[What was resident doing prior to fall?],$B88))</f>
        <v>#N/A</v>
      </c>
    </row>
    <row r="89" spans="1:7" x14ac:dyDescent="0.25">
      <c r="A89" s="38"/>
      <c r="B89" s="44" t="str">
        <v/>
      </c>
      <c r="C89" s="45"/>
      <c r="D89" s="45"/>
      <c r="E89" s="45"/>
      <c r="F89" s="46"/>
      <c r="G89" s="42" t="e">
        <f>IF($B89="",NA(),COUNTIFS(Dec[What was resident doing prior to fall?],$B89))</f>
        <v>#N/A</v>
      </c>
    </row>
    <row r="90" spans="1:7" ht="15.75" thickBot="1" x14ac:dyDescent="0.3">
      <c r="A90" s="38"/>
      <c r="B90" s="47" t="str">
        <v/>
      </c>
      <c r="C90" s="47"/>
      <c r="D90" s="47"/>
      <c r="E90" s="47"/>
      <c r="F90" s="48"/>
      <c r="G90" s="42" t="e">
        <f>IF($B90="",NA(),COUNTIFS(Dec[What was resident doing prior to fall?],$B90))</f>
        <v>#N/A</v>
      </c>
    </row>
    <row r="91" spans="1:7" ht="15.6" customHeight="1" thickBot="1" x14ac:dyDescent="0.3">
      <c r="B91" s="287" t="s">
        <v>35</v>
      </c>
      <c r="C91" s="288"/>
      <c r="D91" s="288"/>
      <c r="E91" s="288"/>
      <c r="F91" s="289"/>
      <c r="G91" s="37">
        <f>_xlfn.AGGREGATE(9,6,G67:G90)</f>
        <v>0</v>
      </c>
    </row>
    <row r="92" spans="1:7" ht="15.75" thickBot="1" x14ac:dyDescent="0.3"/>
    <row r="93" spans="1:7" ht="22.35" customHeight="1" thickBot="1" x14ac:dyDescent="0.3">
      <c r="B93" s="295" t="s">
        <v>173</v>
      </c>
      <c r="C93" s="296"/>
      <c r="D93" s="297"/>
    </row>
    <row r="94" spans="1:7" x14ac:dyDescent="0.25">
      <c r="A94" s="38"/>
      <c r="B94" s="300" t="s">
        <v>1</v>
      </c>
      <c r="C94" s="301"/>
      <c r="D94" s="49" t="s">
        <v>35</v>
      </c>
    </row>
    <row r="95" spans="1:7" x14ac:dyDescent="0.25">
      <c r="A95" s="38"/>
      <c r="B95" s="50" t="str" cm="1">
        <f t="array" ref="B95:B105">IF(_xlfn._xlws.SORT(Location[Location],1,1,TRUE)=0,"",(_xlfn._xlws.SORT(Location[Location],1,1,TRUE)))</f>
        <v>Activity Room</v>
      </c>
      <c r="C95" s="51"/>
      <c r="D95" s="52">
        <f>IF($B95="",NA(),COUNTIFS(Dec[Location],$B95))</f>
        <v>0</v>
      </c>
    </row>
    <row r="96" spans="1:7" x14ac:dyDescent="0.25">
      <c r="A96" s="38"/>
      <c r="B96" s="50" t="str">
        <v>Bedroom</v>
      </c>
      <c r="C96" s="51"/>
      <c r="D96" s="52">
        <f>IF($B96="",NA(),COUNTIFS(Dec[Location],$B96))</f>
        <v>0</v>
      </c>
    </row>
    <row r="97" spans="1:4" x14ac:dyDescent="0.25">
      <c r="A97" s="38"/>
      <c r="B97" s="50" t="str">
        <v>Bathroom</v>
      </c>
      <c r="C97" s="51"/>
      <c r="D97" s="52">
        <f>IF($B97="",NA(),COUNTIFS(Dec[Location],$B97))</f>
        <v>0</v>
      </c>
    </row>
    <row r="98" spans="1:4" x14ac:dyDescent="0.25">
      <c r="A98" s="38"/>
      <c r="B98" s="50" t="str">
        <v>Hallway</v>
      </c>
      <c r="C98" s="51"/>
      <c r="D98" s="52">
        <f>IF($B98="",NA(),COUNTIFS(Dec[Location],$B98))</f>
        <v>0</v>
      </c>
    </row>
    <row r="99" spans="1:4" x14ac:dyDescent="0.25">
      <c r="A99" s="38"/>
      <c r="B99" s="50" t="str">
        <v>Offsite</v>
      </c>
      <c r="C99" s="51"/>
      <c r="D99" s="52">
        <f>IF($B99="",NA(),COUNTIFS(Dec[Location],$B99))</f>
        <v>0</v>
      </c>
    </row>
    <row r="100" spans="1:4" x14ac:dyDescent="0.25">
      <c r="A100" s="38"/>
      <c r="B100" s="53" t="str">
        <v>Shower Room</v>
      </c>
      <c r="C100" s="54"/>
      <c r="D100" s="52">
        <f>IF($B100="",NA(),COUNTIFS(Dec[Location],$B100))</f>
        <v>0</v>
      </c>
    </row>
    <row r="101" spans="1:4" x14ac:dyDescent="0.25">
      <c r="A101" s="38"/>
      <c r="B101" s="55" t="str">
        <v>Dining Room</v>
      </c>
      <c r="C101" s="56"/>
      <c r="D101" s="52">
        <f>IF($B101="",NA(),COUNTIFS(Dec[Location],$B101))</f>
        <v>0</v>
      </c>
    </row>
    <row r="102" spans="1:4" x14ac:dyDescent="0.25">
      <c r="A102" s="38"/>
      <c r="B102" s="57" t="str">
        <v/>
      </c>
      <c r="C102" s="58"/>
      <c r="D102" s="52" t="e">
        <f>IF($B102="",NA(),COUNTIFS(Dec[Location],$B102))</f>
        <v>#N/A</v>
      </c>
    </row>
    <row r="103" spans="1:4" x14ac:dyDescent="0.25">
      <c r="A103" s="38"/>
      <c r="B103" s="59" t="str">
        <v/>
      </c>
      <c r="C103" s="51"/>
      <c r="D103" s="52" t="e">
        <f>IF($B103="",NA(),COUNTIFS(Dec[Location],$B103))</f>
        <v>#N/A</v>
      </c>
    </row>
    <row r="104" spans="1:4" x14ac:dyDescent="0.25">
      <c r="A104" s="38"/>
      <c r="B104" s="53" t="str">
        <v/>
      </c>
      <c r="C104" s="60"/>
      <c r="D104" s="52" t="e">
        <f>IF($B104="",NA(),COUNTIFS(Dec[Location],$B104))</f>
        <v>#N/A</v>
      </c>
    </row>
    <row r="105" spans="1:4" ht="15.75" thickBot="1" x14ac:dyDescent="0.3">
      <c r="A105" s="38"/>
      <c r="B105" s="59" t="str">
        <v/>
      </c>
      <c r="C105" s="61"/>
      <c r="D105" s="52" t="e">
        <f>IF($B105="",NA(),COUNTIFS(Dec[Location],$B105))</f>
        <v>#N/A</v>
      </c>
    </row>
    <row r="106" spans="1:4" ht="15.75" thickBot="1" x14ac:dyDescent="0.3">
      <c r="B106" s="298" t="s">
        <v>16</v>
      </c>
      <c r="C106" s="299"/>
      <c r="D106" s="37">
        <f>_xlfn.AGGREGATE(9,6,D95:D105)</f>
        <v>0</v>
      </c>
    </row>
    <row r="107" spans="1:4" ht="15.75" thickBot="1" x14ac:dyDescent="0.3"/>
    <row r="108" spans="1:4" ht="21.4" customHeight="1" thickBot="1" x14ac:dyDescent="0.3">
      <c r="B108" s="282" t="str">
        <f>"Falls by Nursing Station "</f>
        <v xml:space="preserve">Falls by Nursing Station </v>
      </c>
      <c r="C108" s="283"/>
      <c r="D108" s="284"/>
    </row>
    <row r="109" spans="1:4" ht="15.75" x14ac:dyDescent="0.25">
      <c r="B109" s="293" t="s">
        <v>2</v>
      </c>
      <c r="C109" s="293"/>
      <c r="D109" s="28" t="s">
        <v>35</v>
      </c>
    </row>
    <row r="110" spans="1:4" x14ac:dyDescent="0.25">
      <c r="B110" s="62" cm="1">
        <f t="array" ref="B110:B120">IF(_xlfn._xlws.SORT(NS[Nurses Stations],1,1,TRUE)=0,"",(_xlfn._xlws.SORT(NS[Nurses Stations],1,1,TRUE)))</f>
        <v>1</v>
      </c>
      <c r="C110" s="63"/>
      <c r="D110" s="31">
        <f>IF($B110="",NA(),COUNTIFS(Dec[Station],$B110))</f>
        <v>0</v>
      </c>
    </row>
    <row r="111" spans="1:4" x14ac:dyDescent="0.25">
      <c r="B111" s="62">
        <v>2</v>
      </c>
      <c r="C111" s="63"/>
      <c r="D111" s="31">
        <f>IF($B111="",NA(),COUNTIFS(Dec[Station],$B111))</f>
        <v>0</v>
      </c>
    </row>
    <row r="112" spans="1:4" x14ac:dyDescent="0.25">
      <c r="B112" s="62">
        <v>3</v>
      </c>
      <c r="C112" s="63"/>
      <c r="D112" s="31">
        <f>IF($B112="",NA(),COUNTIFS(Dec[Station],$B112))</f>
        <v>0</v>
      </c>
    </row>
    <row r="113" spans="2:4" x14ac:dyDescent="0.25">
      <c r="B113" s="62">
        <v>4</v>
      </c>
      <c r="C113" s="63"/>
      <c r="D113" s="31">
        <f>IF($B113="",NA(),COUNTIFS(Dec[Station],$B113))</f>
        <v>0</v>
      </c>
    </row>
    <row r="114" spans="2:4" x14ac:dyDescent="0.25">
      <c r="B114" s="62">
        <v>5</v>
      </c>
      <c r="C114" s="63"/>
      <c r="D114" s="31">
        <f>IF($B114="",NA(),COUNTIFS(Dec[Station],$B114))</f>
        <v>0</v>
      </c>
    </row>
    <row r="115" spans="2:4" x14ac:dyDescent="0.25">
      <c r="B115" s="62" t="str">
        <v/>
      </c>
      <c r="C115" s="63"/>
      <c r="D115" s="31" t="e">
        <f>IF($B115="",NA(),COUNTIFS(Dec[Station],$B115))</f>
        <v>#N/A</v>
      </c>
    </row>
    <row r="116" spans="2:4" x14ac:dyDescent="0.25">
      <c r="B116" s="62" t="str">
        <v/>
      </c>
      <c r="C116" s="63"/>
      <c r="D116" s="31" t="e">
        <f>IF($B116="",NA(),COUNTIFS(Dec[Station],$B116))</f>
        <v>#N/A</v>
      </c>
    </row>
    <row r="117" spans="2:4" x14ac:dyDescent="0.25">
      <c r="B117" s="62" t="str">
        <v/>
      </c>
      <c r="C117" s="63"/>
      <c r="D117" s="31" t="e">
        <f>IF($B117="",NA(),COUNTIFS(Dec[Station],$B117))</f>
        <v>#N/A</v>
      </c>
    </row>
    <row r="118" spans="2:4" x14ac:dyDescent="0.25">
      <c r="B118" s="62" t="str">
        <v/>
      </c>
      <c r="C118" s="63"/>
      <c r="D118" s="31" t="e">
        <f>IF($B118="",NA(),COUNTIFS(Dec[Station],$B118))</f>
        <v>#N/A</v>
      </c>
    </row>
    <row r="119" spans="2:4" x14ac:dyDescent="0.25">
      <c r="B119" s="62" t="str">
        <v/>
      </c>
      <c r="C119" s="63"/>
      <c r="D119" s="31" t="e">
        <f>IF($B119="",NA(),COUNTIFS(Dec[Station],$B119))</f>
        <v>#N/A</v>
      </c>
    </row>
    <row r="120" spans="2:4" ht="15.75" thickBot="1" x14ac:dyDescent="0.3">
      <c r="B120" s="64" t="str">
        <v/>
      </c>
      <c r="C120" s="63"/>
      <c r="D120" s="31" t="e">
        <f>IF($B120="",NA(),COUNTIFS(Dec[Station],$B120))</f>
        <v>#N/A</v>
      </c>
    </row>
    <row r="121" spans="2:4" ht="15.6" customHeight="1" thickBot="1" x14ac:dyDescent="0.3">
      <c r="B121" s="287" t="s">
        <v>16</v>
      </c>
      <c r="C121" s="288"/>
      <c r="D121" s="37">
        <f>_xlfn.AGGREGATE(9,6,D110:D120)</f>
        <v>0</v>
      </c>
    </row>
    <row r="122" spans="2:4" ht="15.6" customHeight="1" thickBot="1" x14ac:dyDescent="0.3">
      <c r="B122" s="65"/>
      <c r="C122" s="66"/>
      <c r="D122" s="67"/>
    </row>
    <row r="123" spans="2:4" ht="21.95" customHeight="1" thickBot="1" x14ac:dyDescent="0.3">
      <c r="B123" s="282" t="str">
        <f>"Falls by Day of the Week "</f>
        <v xml:space="preserve">Falls by Day of the Week </v>
      </c>
      <c r="C123" s="283"/>
      <c r="D123" s="284"/>
    </row>
    <row r="124" spans="2:4" ht="15.75" x14ac:dyDescent="0.25">
      <c r="B124" s="293" t="s">
        <v>3</v>
      </c>
      <c r="C124" s="293"/>
      <c r="D124" s="28" t="s">
        <v>35</v>
      </c>
    </row>
    <row r="125" spans="2:4" x14ac:dyDescent="0.25">
      <c r="B125" s="294" t="s">
        <v>46</v>
      </c>
      <c r="C125" s="294"/>
      <c r="D125" s="31">
        <f>COUNTIFS(Dec[Day],$B125)</f>
        <v>0</v>
      </c>
    </row>
    <row r="126" spans="2:4" x14ac:dyDescent="0.25">
      <c r="B126" s="294" t="s">
        <v>47</v>
      </c>
      <c r="C126" s="294"/>
      <c r="D126" s="31">
        <f>COUNTIFS(Dec[Day],$B126)</f>
        <v>0</v>
      </c>
    </row>
    <row r="127" spans="2:4" x14ac:dyDescent="0.25">
      <c r="B127" s="294" t="s">
        <v>52</v>
      </c>
      <c r="C127" s="294"/>
      <c r="D127" s="31">
        <f>COUNTIFS(Dec[Day],$B127)</f>
        <v>0</v>
      </c>
    </row>
    <row r="128" spans="2:4" x14ac:dyDescent="0.25">
      <c r="B128" s="294" t="s">
        <v>48</v>
      </c>
      <c r="C128" s="294"/>
      <c r="D128" s="31">
        <f>COUNTIFS(Dec[Day],$B128)</f>
        <v>0</v>
      </c>
    </row>
    <row r="129" spans="2:4" x14ac:dyDescent="0.25">
      <c r="B129" s="294" t="s">
        <v>51</v>
      </c>
      <c r="C129" s="294"/>
      <c r="D129" s="31">
        <f>COUNTIFS(Dec[Day],$B129)</f>
        <v>0</v>
      </c>
    </row>
    <row r="130" spans="2:4" x14ac:dyDescent="0.25">
      <c r="B130" s="294" t="s">
        <v>49</v>
      </c>
      <c r="C130" s="294"/>
      <c r="D130" s="31">
        <f>COUNTIFS(Dec[Day],$B130)</f>
        <v>0</v>
      </c>
    </row>
    <row r="131" spans="2:4" ht="15.75" thickBot="1" x14ac:dyDescent="0.3">
      <c r="B131" s="294" t="s">
        <v>50</v>
      </c>
      <c r="C131" s="294"/>
      <c r="D131" s="34">
        <f>COUNTIFS(Dec[Day],$B131)</f>
        <v>0</v>
      </c>
    </row>
    <row r="132" spans="2:4" ht="15.6" customHeight="1" thickBot="1" x14ac:dyDescent="0.3">
      <c r="B132" s="287" t="s">
        <v>16</v>
      </c>
      <c r="C132" s="288"/>
      <c r="D132" s="35">
        <f>SUM(D125:D131)</f>
        <v>0</v>
      </c>
    </row>
    <row r="133" spans="2:4" ht="15.75" thickBot="1" x14ac:dyDescent="0.3"/>
    <row r="134" spans="2:4" ht="21.4" customHeight="1" thickBot="1" x14ac:dyDescent="0.3">
      <c r="B134" s="282" t="str">
        <f>"Falls by Shift"</f>
        <v>Falls by Shift</v>
      </c>
      <c r="C134" s="283"/>
      <c r="D134" s="284"/>
    </row>
    <row r="135" spans="2:4" ht="15.75" x14ac:dyDescent="0.25">
      <c r="B135" s="293" t="s">
        <v>34</v>
      </c>
      <c r="C135" s="293"/>
      <c r="D135" s="28" t="s">
        <v>35</v>
      </c>
    </row>
    <row r="136" spans="2:4" x14ac:dyDescent="0.25">
      <c r="B136" s="29" t="str" cm="1">
        <f t="array" ref="B136:B140">IF(_xlfn._xlws.SORT('Data Validation'!P3:P7,1,1,TRUE)=0,"",(_xlfn._xlws.SORT('Data Validation'!P3:P7,1,1,TRUE)))</f>
        <v>11-7</v>
      </c>
      <c r="C136" s="58"/>
      <c r="D136" s="31">
        <f>IF($B136="",NA(),COUNTIFS(Dec[Shift],$B136))</f>
        <v>0</v>
      </c>
    </row>
    <row r="137" spans="2:4" x14ac:dyDescent="0.25">
      <c r="B137" s="29" t="str">
        <v>11–7</v>
      </c>
      <c r="C137" s="58"/>
      <c r="D137" s="31">
        <f>IF($B137="",NA(),COUNTIFS(Dec[Shift],$B137))</f>
        <v>0</v>
      </c>
    </row>
    <row r="138" spans="2:4" x14ac:dyDescent="0.25">
      <c r="B138" s="29" t="str">
        <v>7–3</v>
      </c>
      <c r="C138" s="58"/>
      <c r="D138" s="31">
        <f>IF($B138="",NA(),COUNTIFS(Dec[Shift],$B138))</f>
        <v>0</v>
      </c>
    </row>
    <row r="139" spans="2:4" x14ac:dyDescent="0.25">
      <c r="B139" s="29" t="str">
        <v>3–11</v>
      </c>
      <c r="C139" s="58"/>
      <c r="D139" s="31">
        <f>IF($B139="",NA(),COUNTIFS(Dec[Shift],$B139))</f>
        <v>0</v>
      </c>
    </row>
    <row r="140" spans="2:4" ht="15.75" thickBot="1" x14ac:dyDescent="0.3">
      <c r="B140" s="29" t="str">
        <v/>
      </c>
      <c r="C140" s="68"/>
      <c r="D140" s="34" t="e">
        <f>IF($B140="",NA(),COUNTIFS(Dec[Shift],$B140))</f>
        <v>#N/A</v>
      </c>
    </row>
    <row r="141" spans="2:4" ht="15.75" thickBot="1" x14ac:dyDescent="0.3">
      <c r="B141" s="287" t="s">
        <v>16</v>
      </c>
      <c r="C141" s="288"/>
      <c r="D141" s="35">
        <f>_xlfn.AGGREGATE(9,6,D136:D140)</f>
        <v>0</v>
      </c>
    </row>
    <row r="142" spans="2:4" ht="15.75" thickBot="1" x14ac:dyDescent="0.3"/>
    <row r="143" spans="2:4" ht="21.4" customHeight="1" thickBot="1" x14ac:dyDescent="0.3">
      <c r="B143" s="282" t="str">
        <f>"Falls by Hour "</f>
        <v xml:space="preserve">Falls by Hour </v>
      </c>
      <c r="C143" s="283"/>
      <c r="D143" s="284"/>
    </row>
    <row r="144" spans="2:4" ht="15.75" x14ac:dyDescent="0.25">
      <c r="B144" s="293" t="s">
        <v>33</v>
      </c>
      <c r="C144" s="293"/>
      <c r="D144" s="28" t="s">
        <v>35</v>
      </c>
    </row>
    <row r="145" spans="2:4" x14ac:dyDescent="0.25">
      <c r="B145" s="294" t="s">
        <v>115</v>
      </c>
      <c r="C145" s="294"/>
      <c r="D145" s="31">
        <f>COUNTIFS(Dec[Hour],$B145)</f>
        <v>0</v>
      </c>
    </row>
    <row r="146" spans="2:4" x14ac:dyDescent="0.25">
      <c r="B146" s="294" t="s">
        <v>116</v>
      </c>
      <c r="C146" s="294"/>
      <c r="D146" s="31">
        <f>COUNTIFS(Dec[Hour],$B146)</f>
        <v>0</v>
      </c>
    </row>
    <row r="147" spans="2:4" x14ac:dyDescent="0.25">
      <c r="B147" s="294" t="s">
        <v>117</v>
      </c>
      <c r="C147" s="294"/>
      <c r="D147" s="31">
        <f>COUNTIFS(Dec[Hour],$B147)</f>
        <v>0</v>
      </c>
    </row>
    <row r="148" spans="2:4" x14ac:dyDescent="0.25">
      <c r="B148" s="294" t="s">
        <v>118</v>
      </c>
      <c r="C148" s="294"/>
      <c r="D148" s="31">
        <f>COUNTIFS(Dec[Hour],$B148)</f>
        <v>0</v>
      </c>
    </row>
    <row r="149" spans="2:4" x14ac:dyDescent="0.25">
      <c r="B149" s="294" t="s">
        <v>119</v>
      </c>
      <c r="C149" s="294"/>
      <c r="D149" s="31">
        <f>COUNTIFS(Dec[Hour],$B149)</f>
        <v>0</v>
      </c>
    </row>
    <row r="150" spans="2:4" x14ac:dyDescent="0.25">
      <c r="B150" s="294" t="s">
        <v>120</v>
      </c>
      <c r="C150" s="294"/>
      <c r="D150" s="31">
        <f>COUNTIFS(Dec[Hour],$B150)</f>
        <v>0</v>
      </c>
    </row>
    <row r="151" spans="2:4" x14ac:dyDescent="0.25">
      <c r="B151" s="294" t="s">
        <v>121</v>
      </c>
      <c r="C151" s="294"/>
      <c r="D151" s="31">
        <f>COUNTIFS(Dec[Hour],$B151)</f>
        <v>0</v>
      </c>
    </row>
    <row r="152" spans="2:4" x14ac:dyDescent="0.25">
      <c r="B152" s="294" t="s">
        <v>122</v>
      </c>
      <c r="C152" s="294"/>
      <c r="D152" s="31">
        <f>COUNTIFS(Dec[Hour],$B152)</f>
        <v>0</v>
      </c>
    </row>
    <row r="153" spans="2:4" x14ac:dyDescent="0.25">
      <c r="B153" s="294" t="s">
        <v>123</v>
      </c>
      <c r="C153" s="294"/>
      <c r="D153" s="31">
        <f>COUNTIFS(Dec[Hour],$B153)</f>
        <v>0</v>
      </c>
    </row>
    <row r="154" spans="2:4" x14ac:dyDescent="0.25">
      <c r="B154" s="294" t="s">
        <v>124</v>
      </c>
      <c r="C154" s="294"/>
      <c r="D154" s="31">
        <f>COUNTIFS(Dec[Hour],$B154)</f>
        <v>0</v>
      </c>
    </row>
    <row r="155" spans="2:4" x14ac:dyDescent="0.25">
      <c r="B155" s="294" t="s">
        <v>125</v>
      </c>
      <c r="C155" s="294"/>
      <c r="D155" s="31">
        <f>COUNTIFS(Dec[Hour],$B155)</f>
        <v>0</v>
      </c>
    </row>
    <row r="156" spans="2:4" x14ac:dyDescent="0.25">
      <c r="B156" s="294" t="s">
        <v>126</v>
      </c>
      <c r="C156" s="294"/>
      <c r="D156" s="31">
        <f>COUNTIFS(Dec[Hour],$B156)</f>
        <v>0</v>
      </c>
    </row>
    <row r="157" spans="2:4" x14ac:dyDescent="0.25">
      <c r="B157" s="294" t="s">
        <v>127</v>
      </c>
      <c r="C157" s="294"/>
      <c r="D157" s="31">
        <f>COUNTIFS(Dec[Hour],$B157)</f>
        <v>0</v>
      </c>
    </row>
    <row r="158" spans="2:4" x14ac:dyDescent="0.25">
      <c r="B158" s="294" t="s">
        <v>128</v>
      </c>
      <c r="C158" s="294"/>
      <c r="D158" s="31">
        <f>COUNTIFS(Dec[Hour],$B158)</f>
        <v>0</v>
      </c>
    </row>
    <row r="159" spans="2:4" x14ac:dyDescent="0.25">
      <c r="B159" s="294" t="s">
        <v>129</v>
      </c>
      <c r="C159" s="294"/>
      <c r="D159" s="31">
        <f>COUNTIFS(Dec[Hour],$B159)</f>
        <v>0</v>
      </c>
    </row>
    <row r="160" spans="2:4" x14ac:dyDescent="0.25">
      <c r="B160" s="294" t="s">
        <v>130</v>
      </c>
      <c r="C160" s="294"/>
      <c r="D160" s="31">
        <f>COUNTIFS(Dec[Hour],$B160)</f>
        <v>0</v>
      </c>
    </row>
    <row r="161" spans="1:8" x14ac:dyDescent="0.25">
      <c r="B161" s="294" t="s">
        <v>131</v>
      </c>
      <c r="C161" s="294"/>
      <c r="D161" s="31">
        <f>COUNTIFS(Dec[Hour],$B161)</f>
        <v>0</v>
      </c>
    </row>
    <row r="162" spans="1:8" x14ac:dyDescent="0.25">
      <c r="B162" s="294" t="s">
        <v>132</v>
      </c>
      <c r="C162" s="294"/>
      <c r="D162" s="31">
        <f>COUNTIFS(Dec[Hour],$B162)</f>
        <v>0</v>
      </c>
    </row>
    <row r="163" spans="1:8" x14ac:dyDescent="0.25">
      <c r="B163" s="294" t="s">
        <v>133</v>
      </c>
      <c r="C163" s="294"/>
      <c r="D163" s="31">
        <f>COUNTIFS(Dec[Hour],$B163)</f>
        <v>0</v>
      </c>
    </row>
    <row r="164" spans="1:8" x14ac:dyDescent="0.25">
      <c r="B164" s="294" t="s">
        <v>134</v>
      </c>
      <c r="C164" s="294"/>
      <c r="D164" s="31">
        <f>COUNTIFS(Dec[Hour],$B164)</f>
        <v>0</v>
      </c>
    </row>
    <row r="165" spans="1:8" x14ac:dyDescent="0.25">
      <c r="B165" s="294" t="s">
        <v>135</v>
      </c>
      <c r="C165" s="294"/>
      <c r="D165" s="31">
        <f>COUNTIFS(Dec[Hour],$B165)</f>
        <v>0</v>
      </c>
    </row>
    <row r="166" spans="1:8" x14ac:dyDescent="0.25">
      <c r="B166" s="294" t="s">
        <v>136</v>
      </c>
      <c r="C166" s="294"/>
      <c r="D166" s="31">
        <f>COUNTIFS(Dec[Hour],$B166)</f>
        <v>0</v>
      </c>
    </row>
    <row r="167" spans="1:8" x14ac:dyDescent="0.25">
      <c r="B167" s="294" t="s">
        <v>137</v>
      </c>
      <c r="C167" s="294"/>
      <c r="D167" s="31">
        <f>COUNTIFS(Dec[Hour],$B167)</f>
        <v>0</v>
      </c>
    </row>
    <row r="168" spans="1:8" ht="15.75" thickBot="1" x14ac:dyDescent="0.3">
      <c r="B168" s="294" t="s">
        <v>138</v>
      </c>
      <c r="C168" s="294"/>
      <c r="D168" s="34">
        <f>COUNTIFS(Dec[Hour],$B168)</f>
        <v>0</v>
      </c>
    </row>
    <row r="169" spans="1:8" ht="15.75" thickBot="1" x14ac:dyDescent="0.3">
      <c r="B169" s="287" t="s">
        <v>35</v>
      </c>
      <c r="C169" s="288"/>
      <c r="D169" s="35">
        <f>SUM(D145:D168)</f>
        <v>0</v>
      </c>
    </row>
    <row r="170" spans="1:8" ht="15.75" thickBot="1" x14ac:dyDescent="0.3"/>
    <row r="171" spans="1:8" ht="21.4" customHeight="1" thickBot="1" x14ac:dyDescent="0.3">
      <c r="B171" s="282" t="str">
        <f>"Falls by Contributing Factors"</f>
        <v>Falls by Contributing Factors</v>
      </c>
      <c r="C171" s="283"/>
      <c r="D171" s="283"/>
      <c r="E171" s="283"/>
      <c r="F171" s="283"/>
      <c r="G171" s="284"/>
    </row>
    <row r="172" spans="1:8" ht="15.6" customHeight="1" x14ac:dyDescent="0.25">
      <c r="A172" s="38"/>
      <c r="B172" s="290" t="s">
        <v>92</v>
      </c>
      <c r="C172" s="291"/>
      <c r="D172" s="291"/>
      <c r="E172" s="291"/>
      <c r="F172" s="292"/>
      <c r="G172" s="28" t="s">
        <v>35</v>
      </c>
    </row>
    <row r="173" spans="1:8" x14ac:dyDescent="0.25">
      <c r="A173" s="38"/>
      <c r="B173" s="44" t="str" cm="1">
        <f t="array" ref="B173:B196">IF(_xlfn._xlws.SORT(CF[Contributing Factors],1,1,TRUE)=0,"",(_xlfn._xlws.SORT(CF[Contributing Factors],1,1,TRUE)))</f>
        <v>Assisted/caregiver transfer</v>
      </c>
      <c r="C173" s="45"/>
      <c r="D173" s="45"/>
      <c r="E173" s="45"/>
      <c r="F173" s="46"/>
      <c r="G173" s="42">
        <f>IF($B173="",NA(),COUNTIFS(Dec[Contributing Factors],$B173))</f>
        <v>0</v>
      </c>
      <c r="H173" s="43"/>
    </row>
    <row r="174" spans="1:8" x14ac:dyDescent="0.25">
      <c r="A174" s="38"/>
      <c r="B174" s="39" t="str">
        <v>Bowel and bladder (B&amp;B) needs</v>
      </c>
      <c r="C174" s="40"/>
      <c r="D174" s="40"/>
      <c r="E174" s="40"/>
      <c r="F174" s="41"/>
      <c r="G174" s="42">
        <f>IF($B174="",NA(),COUNTIFS(Dec[Contributing Factors],$B174))</f>
        <v>0</v>
      </c>
    </row>
    <row r="175" spans="1:8" x14ac:dyDescent="0.25">
      <c r="A175" s="38"/>
      <c r="B175" s="44" t="str">
        <v>Behavioral or situational</v>
      </c>
      <c r="C175" s="45"/>
      <c r="D175" s="45"/>
      <c r="E175" s="45"/>
      <c r="F175" s="46"/>
      <c r="G175" s="42">
        <f>IF($B175="",NA(),COUNTIFS(Dec[Contributing Factors],$B175))</f>
        <v>0</v>
      </c>
    </row>
    <row r="176" spans="1:8" x14ac:dyDescent="0.25">
      <c r="A176" s="38"/>
      <c r="B176" s="39" t="str">
        <v>Change of condition</v>
      </c>
      <c r="C176" s="40"/>
      <c r="D176" s="40"/>
      <c r="E176" s="40"/>
      <c r="F176" s="41"/>
      <c r="G176" s="42">
        <f>IF($B176="",NA(),COUNTIFS(Dec[Contributing Factors],$B176))</f>
        <v>0</v>
      </c>
    </row>
    <row r="177" spans="1:7" x14ac:dyDescent="0.25">
      <c r="A177" s="38"/>
      <c r="B177" s="44" t="str">
        <v>Environmental factors</v>
      </c>
      <c r="C177" s="45"/>
      <c r="D177" s="45"/>
      <c r="E177" s="45"/>
      <c r="F177" s="46"/>
      <c r="G177" s="42">
        <f>IF($B177="",NA(),COUNTIFS(Dec[Contributing Factors],$B177))</f>
        <v>0</v>
      </c>
    </row>
    <row r="178" spans="1:7" x14ac:dyDescent="0.25">
      <c r="A178" s="38"/>
      <c r="B178" s="39" t="str">
        <v>Equipment malfunction</v>
      </c>
      <c r="C178" s="40"/>
      <c r="D178" s="40"/>
      <c r="E178" s="40"/>
      <c r="F178" s="41"/>
      <c r="G178" s="42">
        <f>IF($B178="",NA(),COUNTIFS(Dec[Contributing Factors],$B178))</f>
        <v>0</v>
      </c>
    </row>
    <row r="179" spans="1:7" x14ac:dyDescent="0.25">
      <c r="A179" s="38"/>
      <c r="B179" s="44" t="str">
        <v>Equipment or assistive device</v>
      </c>
      <c r="C179" s="45"/>
      <c r="D179" s="45"/>
      <c r="E179" s="45"/>
      <c r="F179" s="46"/>
      <c r="G179" s="42">
        <f>IF($B179="",NA(),COUNTIFS(Dec[Contributing Factors],$B179))</f>
        <v>0</v>
      </c>
    </row>
    <row r="180" spans="1:7" x14ac:dyDescent="0.25">
      <c r="A180" s="38"/>
      <c r="B180" s="39" t="str">
        <v>Medication related</v>
      </c>
      <c r="C180" s="40"/>
      <c r="D180" s="40"/>
      <c r="E180" s="40"/>
      <c r="F180" s="41"/>
      <c r="G180" s="42">
        <f>IF($B180="",NA(),COUNTIFS(Dec[Contributing Factors],$B180))</f>
        <v>0</v>
      </c>
    </row>
    <row r="181" spans="1:7" x14ac:dyDescent="0.25">
      <c r="A181" s="38"/>
      <c r="B181" s="44" t="str">
        <v>Process(s) not followed</v>
      </c>
      <c r="C181" s="45"/>
      <c r="D181" s="45"/>
      <c r="E181" s="45"/>
      <c r="F181" s="46"/>
      <c r="G181" s="42">
        <f>IF($B181="",NA(),COUNTIFS(Dec[Contributing Factors],$B181))</f>
        <v>0</v>
      </c>
    </row>
    <row r="182" spans="1:7" x14ac:dyDescent="0.25">
      <c r="A182" s="38"/>
      <c r="B182" s="39" t="str">
        <v>Resident health conditions</v>
      </c>
      <c r="C182" s="40"/>
      <c r="D182" s="40"/>
      <c r="E182" s="40"/>
      <c r="F182" s="41"/>
      <c r="G182" s="42">
        <f>IF($B182="",NA(),COUNTIFS(Dec[Contributing Factors],$B182))</f>
        <v>0</v>
      </c>
    </row>
    <row r="183" spans="1:7" x14ac:dyDescent="0.25">
      <c r="A183" s="38"/>
      <c r="B183" s="44" t="str">
        <v>Staff</v>
      </c>
      <c r="C183" s="45"/>
      <c r="D183" s="45"/>
      <c r="E183" s="45"/>
      <c r="F183" s="46"/>
      <c r="G183" s="42">
        <f>IF($B183="",NA(),COUNTIFS(Dec[Contributing Factors],$B183))</f>
        <v>0</v>
      </c>
    </row>
    <row r="184" spans="1:7" x14ac:dyDescent="0.25">
      <c r="A184" s="38"/>
      <c r="B184" s="39" t="str">
        <v/>
      </c>
      <c r="C184" s="40"/>
      <c r="D184" s="40"/>
      <c r="E184" s="40"/>
      <c r="F184" s="41"/>
      <c r="G184" s="42" t="e">
        <f>IF($B184="",NA(),COUNTIFS(Dec[Contributing Factors],$B184))</f>
        <v>#N/A</v>
      </c>
    </row>
    <row r="185" spans="1:7" x14ac:dyDescent="0.25">
      <c r="A185" s="38"/>
      <c r="B185" s="44" t="str">
        <v/>
      </c>
      <c r="C185" s="45"/>
      <c r="D185" s="45"/>
      <c r="E185" s="45"/>
      <c r="F185" s="46"/>
      <c r="G185" s="42" t="e">
        <f>IF($B185="",NA(),COUNTIFS(Dec[Contributing Factors],$B185))</f>
        <v>#N/A</v>
      </c>
    </row>
    <row r="186" spans="1:7" x14ac:dyDescent="0.25">
      <c r="A186" s="38"/>
      <c r="B186" s="39" t="str">
        <v/>
      </c>
      <c r="C186" s="40"/>
      <c r="D186" s="40"/>
      <c r="E186" s="40"/>
      <c r="F186" s="41"/>
      <c r="G186" s="42" t="e">
        <f>IF($B186="",NA(),COUNTIFS(Dec[Contributing Factors],$B186))</f>
        <v>#N/A</v>
      </c>
    </row>
    <row r="187" spans="1:7" x14ac:dyDescent="0.25">
      <c r="A187" s="38"/>
      <c r="B187" s="44" t="str">
        <v/>
      </c>
      <c r="C187" s="45"/>
      <c r="D187" s="45"/>
      <c r="E187" s="45"/>
      <c r="F187" s="46"/>
      <c r="G187" s="42" t="e">
        <f>IF($B187="",NA(),COUNTIFS(Dec[Contributing Factors],$B187))</f>
        <v>#N/A</v>
      </c>
    </row>
    <row r="188" spans="1:7" x14ac:dyDescent="0.25">
      <c r="A188" s="38"/>
      <c r="B188" s="39" t="str">
        <v/>
      </c>
      <c r="C188" s="40"/>
      <c r="D188" s="40"/>
      <c r="E188" s="40"/>
      <c r="F188" s="41"/>
      <c r="G188" s="42" t="e">
        <f>IF($B188="",NA(),COUNTIFS(Dec[Contributing Factors],$B188))</f>
        <v>#N/A</v>
      </c>
    </row>
    <row r="189" spans="1:7" x14ac:dyDescent="0.25">
      <c r="A189" s="38"/>
      <c r="B189" s="44" t="str">
        <v/>
      </c>
      <c r="C189" s="45"/>
      <c r="D189" s="45"/>
      <c r="E189" s="45"/>
      <c r="F189" s="46"/>
      <c r="G189" s="42" t="e">
        <f>IF($B189="",NA(),COUNTIFS(Dec[Contributing Factors],$B189))</f>
        <v>#N/A</v>
      </c>
    </row>
    <row r="190" spans="1:7" x14ac:dyDescent="0.25">
      <c r="A190" s="38"/>
      <c r="B190" s="39" t="str">
        <v/>
      </c>
      <c r="C190" s="40"/>
      <c r="D190" s="40"/>
      <c r="E190" s="40"/>
      <c r="F190" s="41"/>
      <c r="G190" s="42" t="e">
        <f>IF($B190="",NA(),COUNTIFS(Dec[Contributing Factors],$B190))</f>
        <v>#N/A</v>
      </c>
    </row>
    <row r="191" spans="1:7" x14ac:dyDescent="0.25">
      <c r="A191" s="38"/>
      <c r="B191" s="44" t="str">
        <v/>
      </c>
      <c r="C191" s="45"/>
      <c r="D191" s="45"/>
      <c r="E191" s="45"/>
      <c r="F191" s="46"/>
      <c r="G191" s="42" t="e">
        <f>IF($B191="",NA(),COUNTIFS(Dec[Contributing Factors],$B191))</f>
        <v>#N/A</v>
      </c>
    </row>
    <row r="192" spans="1:7" x14ac:dyDescent="0.25">
      <c r="A192" s="38"/>
      <c r="B192" s="39" t="str">
        <v/>
      </c>
      <c r="C192" s="40"/>
      <c r="D192" s="40"/>
      <c r="E192" s="40"/>
      <c r="F192" s="41"/>
      <c r="G192" s="42" t="e">
        <f>IF($B192="",NA(),COUNTIFS(Dec[Contributing Factors],$B192))</f>
        <v>#N/A</v>
      </c>
    </row>
    <row r="193" spans="1:7" x14ac:dyDescent="0.25">
      <c r="A193" s="38"/>
      <c r="B193" s="44" t="str">
        <v/>
      </c>
      <c r="C193" s="45"/>
      <c r="D193" s="45"/>
      <c r="E193" s="45"/>
      <c r="F193" s="46"/>
      <c r="G193" s="42" t="e">
        <f>IF($B193="",NA(),COUNTIFS(Dec[Contributing Factors],$B193))</f>
        <v>#N/A</v>
      </c>
    </row>
    <row r="194" spans="1:7" x14ac:dyDescent="0.25">
      <c r="A194" s="38"/>
      <c r="B194" s="39" t="str">
        <v/>
      </c>
      <c r="C194" s="40"/>
      <c r="D194" s="40"/>
      <c r="E194" s="40"/>
      <c r="F194" s="41"/>
      <c r="G194" s="42" t="e">
        <f>IF($B194="",NA(),COUNTIFS(Dec[Contributing Factors],$B194))</f>
        <v>#N/A</v>
      </c>
    </row>
    <row r="195" spans="1:7" x14ac:dyDescent="0.25">
      <c r="A195" s="38"/>
      <c r="B195" s="44" t="str">
        <v/>
      </c>
      <c r="C195" s="45"/>
      <c r="D195" s="45"/>
      <c r="E195" s="45"/>
      <c r="F195" s="46"/>
      <c r="G195" s="42" t="e">
        <f>IF($B195="",NA(),COUNTIFS(Dec[Contributing Factors],$B195))</f>
        <v>#N/A</v>
      </c>
    </row>
    <row r="196" spans="1:7" ht="15.75" thickBot="1" x14ac:dyDescent="0.3">
      <c r="A196" s="38"/>
      <c r="B196" s="39" t="str">
        <v/>
      </c>
      <c r="C196" s="40"/>
      <c r="D196" s="40"/>
      <c r="E196" s="40"/>
      <c r="F196" s="41"/>
      <c r="G196" s="42" t="e">
        <f>IF($B196="",NA(),COUNTIFS(Dec[Contributing Factors],$B196))</f>
        <v>#N/A</v>
      </c>
    </row>
    <row r="197" spans="1:7" ht="15.6" customHeight="1" thickBot="1" x14ac:dyDescent="0.3">
      <c r="B197" s="287" t="s">
        <v>35</v>
      </c>
      <c r="C197" s="288"/>
      <c r="D197" s="288"/>
      <c r="E197" s="288"/>
      <c r="F197" s="289"/>
      <c r="G197" s="37">
        <f>_xlfn.AGGREGATE(9,6,G173:G196)</f>
        <v>0</v>
      </c>
    </row>
  </sheetData>
  <sheetProtection algorithmName="SHA-512" hashValue="UvDqo4SSLIPMHh8PjciQYqgAKocbnjb9O9XuAlSD8R9mpQNz94IlluYpaNZDIlWrbjt7MqkWDEYrB2ou0VtNfA==" saltValue="aCDoP3djuyZ/HGNULAQKRw==" spinCount="100000" sheet="1" formatCells="0" formatColumns="0" formatRows="0" sort="0" autoFilter="0"/>
  <mergeCells count="61">
    <mergeCell ref="F56:G56"/>
    <mergeCell ref="B51:D51"/>
    <mergeCell ref="F51:H51"/>
    <mergeCell ref="B52:C52"/>
    <mergeCell ref="F52:G52"/>
    <mergeCell ref="B55:C55"/>
    <mergeCell ref="B121:C121"/>
    <mergeCell ref="F58:H58"/>
    <mergeCell ref="F59:G59"/>
    <mergeCell ref="F63:G63"/>
    <mergeCell ref="B65:G65"/>
    <mergeCell ref="B66:F66"/>
    <mergeCell ref="B91:F91"/>
    <mergeCell ref="B93:D93"/>
    <mergeCell ref="B94:C94"/>
    <mergeCell ref="B106:C106"/>
    <mergeCell ref="B108:D108"/>
    <mergeCell ref="B109:C109"/>
    <mergeCell ref="B135:C135"/>
    <mergeCell ref="B123:D123"/>
    <mergeCell ref="B124:C124"/>
    <mergeCell ref="B125:C125"/>
    <mergeCell ref="B126:C126"/>
    <mergeCell ref="B127:C127"/>
    <mergeCell ref="B128:C128"/>
    <mergeCell ref="B129:C129"/>
    <mergeCell ref="B130:C130"/>
    <mergeCell ref="B131:C131"/>
    <mergeCell ref="B132:C132"/>
    <mergeCell ref="B134:D134"/>
    <mergeCell ref="B153:C153"/>
    <mergeCell ref="B141:C141"/>
    <mergeCell ref="B143:D143"/>
    <mergeCell ref="B144:C144"/>
    <mergeCell ref="B145:C145"/>
    <mergeCell ref="B146:C146"/>
    <mergeCell ref="B147:C147"/>
    <mergeCell ref="B148:C148"/>
    <mergeCell ref="B149:C149"/>
    <mergeCell ref="B150:C150"/>
    <mergeCell ref="B151:C151"/>
    <mergeCell ref="B152:C152"/>
    <mergeCell ref="B165:C165"/>
    <mergeCell ref="B154:C154"/>
    <mergeCell ref="B155:C155"/>
    <mergeCell ref="B156:C156"/>
    <mergeCell ref="B157:C157"/>
    <mergeCell ref="B158:C158"/>
    <mergeCell ref="B159:C159"/>
    <mergeCell ref="B160:C160"/>
    <mergeCell ref="B161:C161"/>
    <mergeCell ref="B162:C162"/>
    <mergeCell ref="B163:C163"/>
    <mergeCell ref="B164:C164"/>
    <mergeCell ref="B197:F197"/>
    <mergeCell ref="B166:C166"/>
    <mergeCell ref="B167:C167"/>
    <mergeCell ref="B168:C168"/>
    <mergeCell ref="B169:C169"/>
    <mergeCell ref="B171:G171"/>
    <mergeCell ref="B172:F172"/>
  </mergeCells>
  <conditionalFormatting sqref="C1">
    <cfRule type="expression" dxfId="49" priority="18">
      <formula>OR($C$1="",$C$1=0)</formula>
    </cfRule>
  </conditionalFormatting>
  <conditionalFormatting sqref="D1">
    <cfRule type="cellIs" dxfId="48" priority="19" operator="equal">
      <formula>"Enter year in Data Validation tab"</formula>
    </cfRule>
  </conditionalFormatting>
  <conditionalFormatting sqref="D4:D40">
    <cfRule type="expression" dxfId="47" priority="22">
      <formula>AND($C4&lt;&gt;"",$D4="")</formula>
    </cfRule>
  </conditionalFormatting>
  <conditionalFormatting sqref="D95:D105">
    <cfRule type="expression" dxfId="46" priority="9">
      <formula>ISERROR($D95)</formula>
    </cfRule>
  </conditionalFormatting>
  <conditionalFormatting sqref="D110:D120">
    <cfRule type="expression" dxfId="45" priority="10">
      <formula>ISERROR($D110)</formula>
    </cfRule>
  </conditionalFormatting>
  <conditionalFormatting sqref="D136:D140">
    <cfRule type="expression" dxfId="44" priority="1">
      <formula>ISERROR(D136)</formula>
    </cfRule>
  </conditionalFormatting>
  <conditionalFormatting sqref="E4:E40">
    <cfRule type="expression" dxfId="43" priority="21">
      <formula>AND($C4&lt;&gt;"",$E4="")</formula>
    </cfRule>
  </conditionalFormatting>
  <conditionalFormatting sqref="F4:F40">
    <cfRule type="expression" dxfId="42" priority="14">
      <formula>AND($C4&lt;&gt;"",$F4="")</formula>
    </cfRule>
  </conditionalFormatting>
  <conditionalFormatting sqref="G4:G40">
    <cfRule type="expression" dxfId="41" priority="13">
      <formula>AND($C4&lt;&gt;"",$G4="")</formula>
    </cfRule>
  </conditionalFormatting>
  <conditionalFormatting sqref="G67:G90">
    <cfRule type="expression" dxfId="40" priority="8">
      <formula>ISERROR($G67)</formula>
    </cfRule>
  </conditionalFormatting>
  <conditionalFormatting sqref="G173:G196">
    <cfRule type="expression" dxfId="39" priority="7">
      <formula>ISERROR($G173)</formula>
    </cfRule>
  </conditionalFormatting>
  <conditionalFormatting sqref="H4:H40">
    <cfRule type="expression" dxfId="38" priority="12">
      <formula>AND($C4&lt;&gt;"",$H4="")</formula>
    </cfRule>
  </conditionalFormatting>
  <conditionalFormatting sqref="I4:I40">
    <cfRule type="expression" dxfId="37" priority="11">
      <formula>AND($C4&lt;&gt;"",$I4="")</formula>
    </cfRule>
  </conditionalFormatting>
  <conditionalFormatting sqref="J4:J40">
    <cfRule type="expression" dxfId="36" priority="23">
      <formula>AND($C4&lt;&gt;"",$J4="")</formula>
    </cfRule>
  </conditionalFormatting>
  <conditionalFormatting sqref="L4:L40">
    <cfRule type="expression" dxfId="35" priority="20">
      <formula>AND($C4&lt;&gt;"",$L4="")</formula>
    </cfRule>
  </conditionalFormatting>
  <conditionalFormatting sqref="N4:N40">
    <cfRule type="expression" dxfId="34" priority="25">
      <formula>AND($C4&lt;&gt;"",$N4="")</formula>
    </cfRule>
  </conditionalFormatting>
  <conditionalFormatting sqref="O4:O40">
    <cfRule type="expression" dxfId="33" priority="4">
      <formula>AND($C4&lt;&gt;"",$O4="")</formula>
    </cfRule>
    <cfRule type="cellIs" dxfId="32" priority="15" operator="equal">
      <formula>"Intact (13-15)"</formula>
    </cfRule>
    <cfRule type="cellIs" dxfId="31" priority="16" operator="equal">
      <formula>"Moderate (8-12)"</formula>
    </cfRule>
    <cfRule type="cellIs" dxfId="30" priority="17" operator="equal">
      <formula>"Severe (1-7)"</formula>
    </cfRule>
  </conditionalFormatting>
  <conditionalFormatting sqref="P4:P40">
    <cfRule type="expression" dxfId="29" priority="5">
      <formula>AND($C4&lt;&gt;"",$P4="")</formula>
    </cfRule>
  </conditionalFormatting>
  <conditionalFormatting sqref="Q4:Q40">
    <cfRule type="expression" dxfId="28" priority="3">
      <formula>AND($C4&lt;&gt;"",$Q4="")</formula>
    </cfRule>
  </conditionalFormatting>
  <conditionalFormatting sqref="R4:R40">
    <cfRule type="expression" dxfId="27" priority="26">
      <formula>AND($C4&lt;&gt;"",$R4="")</formula>
    </cfRule>
  </conditionalFormatting>
  <conditionalFormatting sqref="S4:S40">
    <cfRule type="expression" dxfId="26" priority="6">
      <formula>AND($C4&lt;&gt;"",$S4="")</formula>
    </cfRule>
  </conditionalFormatting>
  <conditionalFormatting sqref="T4:T40">
    <cfRule type="expression" dxfId="25" priority="27">
      <formula>AND($C4&lt;&gt;"",$T4="")</formula>
    </cfRule>
  </conditionalFormatting>
  <conditionalFormatting sqref="U4:U40">
    <cfRule type="expression" dxfId="24" priority="24">
      <formula>AND($C4&lt;&gt;"",$U4="")</formula>
    </cfRule>
  </conditionalFormatting>
  <conditionalFormatting sqref="V4:V40">
    <cfRule type="expression" dxfId="23" priority="2">
      <formula>AND($C4&lt;&gt;"",$V4="")</formula>
    </cfRule>
  </conditionalFormatting>
  <dataValidations count="9">
    <dataValidation type="list" allowBlank="1" showInputMessage="1" showErrorMessage="1" sqref="R4:R40" xr:uid="{00000000-0002-0000-0D00-000000000000}">
      <formula1>DV_RCAComp</formula1>
    </dataValidation>
    <dataValidation type="list" allowBlank="1" showInputMessage="1" showErrorMessage="1" sqref="G4:G40" xr:uid="{00000000-0002-0000-0D00-000001000000}">
      <formula1>DV_FallCircumstances</formula1>
    </dataValidation>
    <dataValidation type="list" allowBlank="1" showInputMessage="1" showErrorMessage="1" sqref="P4:P40" xr:uid="{00000000-0002-0000-0D00-000002000000}">
      <formula1>DV_PriortoFall</formula1>
    </dataValidation>
    <dataValidation type="list" allowBlank="1" showInputMessage="1" showErrorMessage="1" sqref="F4:F40" xr:uid="{00000000-0002-0000-0D00-000003000000}">
      <formula1>DV_Witnessed</formula1>
    </dataValidation>
    <dataValidation type="list" allowBlank="1" showInputMessage="1" showErrorMessage="1" sqref="N4:N40" xr:uid="{00000000-0002-0000-0D00-000004000000}">
      <formula1>DV_BIMSScore</formula1>
    </dataValidation>
    <dataValidation type="list" allowBlank="1" showInputMessage="1" showErrorMessage="1" sqref="L4:L40" xr:uid="{00000000-0002-0000-0D00-000005000000}">
      <formula1>DV_Shifts</formula1>
    </dataValidation>
    <dataValidation type="list" allowBlank="1" showInputMessage="1" showErrorMessage="1" sqref="J4:J40" xr:uid="{00000000-0002-0000-0D00-000006000000}">
      <formula1>DV_Station</formula1>
    </dataValidation>
    <dataValidation type="list" allowBlank="1" showInputMessage="1" showErrorMessage="1" sqref="I4:I40" xr:uid="{00000000-0002-0000-0D00-000007000000}">
      <formula1>DV_Location</formula1>
    </dataValidation>
    <dataValidation type="list" allowBlank="1" showInputMessage="1" showErrorMessage="1" sqref="H4:H40" xr:uid="{00000000-0002-0000-0D00-000008000000}">
      <formula1>DV_FallType</formula1>
    </dataValidation>
  </dataValidations>
  <printOptions horizontalCentered="1"/>
  <pageMargins left="0.15" right="0.15" top="0.5" bottom="0.25" header="0.3" footer="0.3"/>
  <pageSetup scale="59" fitToHeight="0" orientation="landscape" r:id="rId1"/>
  <rowBreaks count="3" manualBreakCount="3">
    <brk id="49" max="16383" man="1"/>
    <brk id="91" max="16383" man="1"/>
    <brk id="141" max="16383" man="1"/>
  </rowBreaks>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D00-000009000000}">
          <x14:formula1>
            <xm:f>'Data Validation'!$K$3:$K$26</xm:f>
          </x14:formula1>
          <xm:sqref>S4:S40</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B2:O35"/>
  <sheetViews>
    <sheetView showGridLines="0" zoomScaleNormal="100" workbookViewId="0"/>
  </sheetViews>
  <sheetFormatPr defaultRowHeight="15" x14ac:dyDescent="0.25"/>
  <cols>
    <col min="1" max="1" width="2.28515625" customWidth="1"/>
    <col min="2" max="2" width="13.5703125" customWidth="1"/>
    <col min="3" max="10" width="10.140625" customWidth="1"/>
    <col min="11" max="11" width="11.28515625" customWidth="1"/>
    <col min="12" max="12" width="10.140625" customWidth="1"/>
    <col min="13" max="13" width="11.28515625" customWidth="1"/>
    <col min="14" max="14" width="11.140625" customWidth="1"/>
    <col min="15" max="15" width="8.140625" customWidth="1"/>
    <col min="16" max="16" width="5.7109375" customWidth="1"/>
    <col min="17" max="17" width="17.5703125" customWidth="1"/>
    <col min="18" max="18" width="6.28515625" customWidth="1"/>
    <col min="19" max="19" width="1.7109375" customWidth="1"/>
    <col min="20" max="20" width="16.5703125" customWidth="1"/>
    <col min="21" max="21" width="1.28515625" customWidth="1"/>
    <col min="24" max="24" width="10.7109375" bestFit="1" customWidth="1"/>
    <col min="26" max="26" width="10.42578125" bestFit="1" customWidth="1"/>
    <col min="27" max="27" width="10.28515625" bestFit="1" customWidth="1"/>
  </cols>
  <sheetData>
    <row r="2" spans="2:15" ht="15" customHeight="1" x14ac:dyDescent="0.3">
      <c r="B2" s="194" t="str">
        <f>"Number of Falls Per Month By Category "&amp;IF(Jan!$C$1=0,"",Jan!$C$1)</f>
        <v xml:space="preserve">Number of Falls Per Month By Category </v>
      </c>
      <c r="C2" s="69"/>
      <c r="D2" s="69"/>
      <c r="E2" s="69"/>
      <c r="F2" s="69"/>
      <c r="G2" s="69"/>
      <c r="H2" s="69"/>
      <c r="I2" s="69"/>
      <c r="J2" s="69"/>
      <c r="K2" s="69"/>
      <c r="L2" s="69"/>
      <c r="M2" s="69"/>
      <c r="N2" s="69"/>
      <c r="O2" s="70"/>
    </row>
    <row r="3" spans="2:15" x14ac:dyDescent="0.25">
      <c r="B3" s="195"/>
      <c r="C3" s="71" t="s">
        <v>4</v>
      </c>
      <c r="D3" s="71" t="s">
        <v>5</v>
      </c>
      <c r="E3" s="71" t="s">
        <v>6</v>
      </c>
      <c r="F3" s="71" t="s">
        <v>7</v>
      </c>
      <c r="G3" s="71" t="s">
        <v>8</v>
      </c>
      <c r="H3" s="71" t="s">
        <v>9</v>
      </c>
      <c r="I3" s="71" t="s">
        <v>10</v>
      </c>
      <c r="J3" s="71" t="s">
        <v>11</v>
      </c>
      <c r="K3" s="71" t="s">
        <v>12</v>
      </c>
      <c r="L3" s="71" t="s">
        <v>13</v>
      </c>
      <c r="M3" s="71" t="s">
        <v>14</v>
      </c>
      <c r="N3" s="71" t="s">
        <v>15</v>
      </c>
      <c r="O3" s="71" t="s">
        <v>16</v>
      </c>
    </row>
    <row r="4" spans="2:15" x14ac:dyDescent="0.25">
      <c r="B4" s="196" t="str" cm="1">
        <f t="array" ref="B4:B6">IF(_xlfn._xlws.SORT(FallType[Fall Type],1,1,TRUE)=0,"",(_xlfn._xlws.SORT(FallType[Fall Type],1,1,TRUE)))</f>
        <v>Major Injury</v>
      </c>
      <c r="C4" s="72" t="e">
        <f>IF(Jan!$S$1="No Data",NA(),COUNTIFS(Jan[Injury Type],$B4))</f>
        <v>#N/A</v>
      </c>
      <c r="D4" s="72" t="e">
        <f>IF(Feb!$S$1="No Data",NA(),COUNTIFS(Feb[Injury Type],$B4))</f>
        <v>#N/A</v>
      </c>
      <c r="E4" s="72" t="e">
        <f>IF(Mar!$S$1="No Data",NA(),COUNTIFS(Mar[Injury Type],$B4))</f>
        <v>#N/A</v>
      </c>
      <c r="F4" s="72" t="e">
        <f>IF(Apr!$S$1="No Data",NA(),COUNTIFS(Apr[Injury Type],$B4))</f>
        <v>#N/A</v>
      </c>
      <c r="G4" s="72" t="e">
        <f>IF(May!$S$1="No Data",NA(),COUNTIFS(May[Injury Type],$B4))</f>
        <v>#N/A</v>
      </c>
      <c r="H4" s="72" t="e">
        <f>IF(June!$S$1="No Data",NA(),COUNTIFS(June[Injury Type],$B4))</f>
        <v>#N/A</v>
      </c>
      <c r="I4" s="72" t="e">
        <f>IF(July!$S$1="No Data",NA(),COUNTIFS(July[Injury Type],$B4))</f>
        <v>#N/A</v>
      </c>
      <c r="J4" s="72" t="e">
        <f>IF(Aug!$S$1="No Data",NA(),COUNTIFS(Aug[Injury Type],$B4))</f>
        <v>#N/A</v>
      </c>
      <c r="K4" s="72" t="e">
        <f>IF(Sept!$S$1="No Data",NA(),COUNTIFS(Sept[Injury Type],$B4))</f>
        <v>#N/A</v>
      </c>
      <c r="L4" s="72" t="e">
        <f>IF(Oct!$S$1="No Data",NA(),COUNTIFS(Oct[Injury Type],$B4))</f>
        <v>#N/A</v>
      </c>
      <c r="M4" s="72" t="e">
        <f>IF(Nov!$S$1="No Data",NA(),COUNTIFS(Nov[Injury Type],$B4))</f>
        <v>#N/A</v>
      </c>
      <c r="N4" s="72" t="e">
        <f>IF(Dec!$S$1="No Data",NA(),COUNTIFS(Dec[Injury Type],$B4))</f>
        <v>#N/A</v>
      </c>
      <c r="O4" s="73">
        <f>_xlfn.AGGREGATE(9,6,C4:N4)</f>
        <v>0</v>
      </c>
    </row>
    <row r="5" spans="2:15" ht="30.75" customHeight="1" x14ac:dyDescent="0.25">
      <c r="B5" s="196" t="str">
        <v>Injury (Except Major)</v>
      </c>
      <c r="C5" s="72" t="e">
        <f>IF(Jan!$S$1="No Data",NA(),COUNTIFS(Jan[Injury Type],$B5))</f>
        <v>#N/A</v>
      </c>
      <c r="D5" s="72" t="e">
        <f>IF(Feb!$S$1="No Data",NA(),COUNTIFS(Feb[Injury Type],$B5))</f>
        <v>#N/A</v>
      </c>
      <c r="E5" s="72" t="e">
        <f>IF(Mar!$S$1="No Data",NA(),COUNTIFS(Mar[Injury Type],$B5))</f>
        <v>#N/A</v>
      </c>
      <c r="F5" s="72" t="e">
        <f>IF(Apr!$S$1="No Data",NA(),COUNTIFS(Apr[Injury Type],$B5))</f>
        <v>#N/A</v>
      </c>
      <c r="G5" s="72" t="e">
        <f>IF(May!$S$1="No Data",NA(),COUNTIFS(May[Injury Type],$B5))</f>
        <v>#N/A</v>
      </c>
      <c r="H5" s="72" t="e">
        <f>IF(June!$S$1="No Data",NA(),COUNTIFS(June[Injury Type],$B5))</f>
        <v>#N/A</v>
      </c>
      <c r="I5" s="72" t="e">
        <f>IF(July!$S$1="No Data",NA(),COUNTIFS(July[Injury Type],$B5))</f>
        <v>#N/A</v>
      </c>
      <c r="J5" s="72" t="e">
        <f>IF(Aug!$S$1="No Data",NA(),COUNTIFS(Aug[Injury Type],$B5))</f>
        <v>#N/A</v>
      </c>
      <c r="K5" s="72" t="e">
        <f>IF(Sept!$S$1="No Data",NA(),COUNTIFS(Sept[Injury Type],$B5))</f>
        <v>#N/A</v>
      </c>
      <c r="L5" s="72" t="e">
        <f>IF(Oct!$S$1="No Data",NA(),COUNTIFS(Oct[Injury Type],$B5))</f>
        <v>#N/A</v>
      </c>
      <c r="M5" s="72" t="e">
        <f>IF(Nov!$S$1="No Data",NA(),COUNTIFS(Nov[Injury Type],$B5))</f>
        <v>#N/A</v>
      </c>
      <c r="N5" s="72" t="e">
        <f>IF(Dec!$S$1="No Data",NA(),COUNTIFS(Dec[Injury Type],$B5))</f>
        <v>#N/A</v>
      </c>
      <c r="O5" s="73">
        <f>_xlfn.AGGREGATE(9,6,C5:N5)</f>
        <v>0</v>
      </c>
    </row>
    <row r="6" spans="2:15" x14ac:dyDescent="0.25">
      <c r="B6" s="74" t="str">
        <v>No Injury</v>
      </c>
      <c r="C6" s="72" t="e">
        <f>IF(Jan!$S$1="No Data",NA(),COUNTIFS(Jan[Injury Type],$B6))</f>
        <v>#N/A</v>
      </c>
      <c r="D6" s="72" t="e">
        <f>IF(Feb!$S$1="No Data",NA(),COUNTIFS(Feb[Injury Type],$B6))</f>
        <v>#N/A</v>
      </c>
      <c r="E6" s="72" t="e">
        <f>IF(Mar!$S$1="No Data",NA(),COUNTIFS(Mar[Injury Type],$B6))</f>
        <v>#N/A</v>
      </c>
      <c r="F6" s="72" t="e">
        <f>IF(Apr!$S$1="No Data",NA(),COUNTIFS(Apr[Injury Type],$B6))</f>
        <v>#N/A</v>
      </c>
      <c r="G6" s="72" t="e">
        <f>IF(May!$S$1="No Data",NA(),COUNTIFS(May[Injury Type],$B6))</f>
        <v>#N/A</v>
      </c>
      <c r="H6" s="72" t="e">
        <f>IF(June!$S$1="No Data",NA(),COUNTIFS(June[Injury Type],$B6))</f>
        <v>#N/A</v>
      </c>
      <c r="I6" s="72" t="e">
        <f>IF(July!$S$1="No Data",NA(),COUNTIFS(July[Injury Type],$B6))</f>
        <v>#N/A</v>
      </c>
      <c r="J6" s="72" t="e">
        <f>IF(Aug!$S$1="No Data",NA(),COUNTIFS(Aug[Injury Type],$B6))</f>
        <v>#N/A</v>
      </c>
      <c r="K6" s="72" t="e">
        <f>IF(Sept!$S$1="No Data",NA(),COUNTIFS(Sept[Injury Type],$B6))</f>
        <v>#N/A</v>
      </c>
      <c r="L6" s="72" t="e">
        <f>IF(Oct!$S$1="No Data",NA(),COUNTIFS(Oct[Injury Type],$B6))</f>
        <v>#N/A</v>
      </c>
      <c r="M6" s="72" t="e">
        <f>IF(Nov!$S$1="No Data",NA(),COUNTIFS(Nov[Injury Type],$B6))</f>
        <v>#N/A</v>
      </c>
      <c r="N6" s="72" t="e">
        <f>IF(Dec!$S$1="No Data",NA(),COUNTIFS(Dec[Injury Type],$B6))</f>
        <v>#N/A</v>
      </c>
      <c r="O6" s="73">
        <f>_xlfn.AGGREGATE(9,6,C6:N6)</f>
        <v>0</v>
      </c>
    </row>
    <row r="7" spans="2:15" x14ac:dyDescent="0.25">
      <c r="B7" s="74" t="s">
        <v>87</v>
      </c>
      <c r="C7" s="73" t="e">
        <f>IFERROR(SUM(C4:C6),NA())</f>
        <v>#N/A</v>
      </c>
      <c r="D7" s="73" t="e">
        <f t="shared" ref="D7:N7" si="0">IFERROR(SUM(D4:D6),NA())</f>
        <v>#N/A</v>
      </c>
      <c r="E7" s="73" t="e">
        <f t="shared" si="0"/>
        <v>#N/A</v>
      </c>
      <c r="F7" s="73" t="e">
        <f t="shared" si="0"/>
        <v>#N/A</v>
      </c>
      <c r="G7" s="73" t="e">
        <f t="shared" si="0"/>
        <v>#N/A</v>
      </c>
      <c r="H7" s="73" t="e">
        <f t="shared" si="0"/>
        <v>#N/A</v>
      </c>
      <c r="I7" s="73" t="e">
        <f t="shared" si="0"/>
        <v>#N/A</v>
      </c>
      <c r="J7" s="73" t="e">
        <f t="shared" si="0"/>
        <v>#N/A</v>
      </c>
      <c r="K7" s="73" t="e">
        <f t="shared" si="0"/>
        <v>#N/A</v>
      </c>
      <c r="L7" s="73" t="e">
        <f t="shared" si="0"/>
        <v>#N/A</v>
      </c>
      <c r="M7" s="73" t="e">
        <f t="shared" si="0"/>
        <v>#N/A</v>
      </c>
      <c r="N7" s="73" t="e">
        <f t="shared" si="0"/>
        <v>#N/A</v>
      </c>
      <c r="O7" s="73">
        <f>SUM(O4:O6)</f>
        <v>0</v>
      </c>
    </row>
    <row r="8" spans="2:15" x14ac:dyDescent="0.25">
      <c r="B8" s="197" t="s">
        <v>36</v>
      </c>
      <c r="C8" s="6">
        <v>10</v>
      </c>
      <c r="D8" s="6">
        <v>10</v>
      </c>
      <c r="E8" s="6">
        <v>10</v>
      </c>
      <c r="F8" s="6">
        <v>10</v>
      </c>
      <c r="G8" s="6">
        <v>10</v>
      </c>
      <c r="H8" s="6">
        <v>10</v>
      </c>
      <c r="I8" s="6">
        <v>10</v>
      </c>
      <c r="J8" s="6">
        <v>10</v>
      </c>
      <c r="K8" s="6">
        <v>10</v>
      </c>
      <c r="L8" s="6">
        <v>10</v>
      </c>
      <c r="M8" s="6">
        <v>10</v>
      </c>
      <c r="N8" s="6">
        <v>10</v>
      </c>
      <c r="O8" s="198">
        <f>SUM(C8:N8)</f>
        <v>120</v>
      </c>
    </row>
    <row r="32" spans="2:15" x14ac:dyDescent="0.25">
      <c r="B32" s="75" t="str">
        <f>"Fall Rate by Month "&amp;IF(Jan!$C$1=0,"",Jan!$C$1)</f>
        <v xml:space="preserve">Fall Rate by Month </v>
      </c>
      <c r="C32" s="75"/>
      <c r="D32" s="75"/>
      <c r="E32" s="75"/>
      <c r="F32" s="75"/>
      <c r="G32" s="75"/>
      <c r="H32" s="75"/>
      <c r="I32" s="75"/>
      <c r="J32" s="75"/>
      <c r="K32" s="75"/>
      <c r="L32" s="75"/>
      <c r="M32" s="75"/>
      <c r="N32" s="75"/>
      <c r="O32" s="75"/>
    </row>
    <row r="33" spans="2:15" x14ac:dyDescent="0.25">
      <c r="B33" s="199"/>
      <c r="C33" s="200" t="s">
        <v>4</v>
      </c>
      <c r="D33" s="200" t="s">
        <v>5</v>
      </c>
      <c r="E33" s="200" t="s">
        <v>6</v>
      </c>
      <c r="F33" s="200" t="s">
        <v>7</v>
      </c>
      <c r="G33" s="200" t="s">
        <v>8</v>
      </c>
      <c r="H33" s="200" t="s">
        <v>9</v>
      </c>
      <c r="I33" s="200" t="s">
        <v>10</v>
      </c>
      <c r="J33" s="200" t="s">
        <v>11</v>
      </c>
      <c r="K33" s="200" t="s">
        <v>12</v>
      </c>
      <c r="L33" s="200" t="s">
        <v>13</v>
      </c>
      <c r="M33" s="200" t="s">
        <v>14</v>
      </c>
      <c r="N33" s="200" t="s">
        <v>15</v>
      </c>
      <c r="O33" s="200" t="s">
        <v>61</v>
      </c>
    </row>
    <row r="34" spans="2:15" x14ac:dyDescent="0.25">
      <c r="B34" s="201" t="s">
        <v>60</v>
      </c>
      <c r="C34" s="76" t="e">
        <f>IF('Fall Rate and Census'!$B$36="No Data",NA(),'Fall Rate and Census'!$B$36)</f>
        <v>#N/A</v>
      </c>
      <c r="D34" s="76" t="e">
        <f>IF('Fall Rate and Census'!$E$33="No Data",NA(),'Fall Rate and Census'!$E$33)</f>
        <v>#N/A</v>
      </c>
      <c r="E34" s="76" t="e">
        <f>IF('Fall Rate and Census'!$H$36="No Data",NA(),'Fall Rate and Census'!$H$36)</f>
        <v>#N/A</v>
      </c>
      <c r="F34" s="76" t="e">
        <f>IF('Fall Rate and Census'!$K$35="No Data",NA(),'Fall Rate and Census'!$K$35)</f>
        <v>#N/A</v>
      </c>
      <c r="G34" s="76" t="e">
        <f>IF('Fall Rate and Census'!$N$36="No Data",NA(),'Fall Rate and Census'!$N$36)</f>
        <v>#N/A</v>
      </c>
      <c r="H34" s="76" t="e">
        <f>IF('Fall Rate and Census'!$Q$35="No Data",NA(),'Fall Rate and Census'!$Q$35)</f>
        <v>#N/A</v>
      </c>
      <c r="I34" s="76" t="e">
        <f>IF('Fall Rate and Census'!$T$36="No Data",NA(),'Fall Rate and Census'!$T$36)</f>
        <v>#N/A</v>
      </c>
      <c r="J34" s="76" t="e">
        <f>IF('Fall Rate and Census'!$W$36="No Data",NA(),'Fall Rate and Census'!$W$36)</f>
        <v>#N/A</v>
      </c>
      <c r="K34" s="76" t="e">
        <f>IF('Fall Rate and Census'!$Z$35="No Data",NA(),'Fall Rate and Census'!$Z$35)</f>
        <v>#N/A</v>
      </c>
      <c r="L34" s="76" t="e">
        <f>IF('Fall Rate and Census'!$AC$36="No Data",NA(),'Fall Rate and Census'!$AC$36)</f>
        <v>#N/A</v>
      </c>
      <c r="M34" s="76" t="e">
        <f>IF('Fall Rate and Census'!$AF$35="No Data",NA(),'Fall Rate and Census'!$AF$35)</f>
        <v>#N/A</v>
      </c>
      <c r="N34" s="76" t="e">
        <f>IF('Fall Rate and Census'!$AI$36="No Data",NA(),'Fall Rate and Census'!$AI$36)</f>
        <v>#N/A</v>
      </c>
      <c r="O34" s="202" t="str">
        <f>IFERROR(_xlfn.AGGREGATE(1,6,C34:N34),"")</f>
        <v/>
      </c>
    </row>
    <row r="35" spans="2:15" x14ac:dyDescent="0.25">
      <c r="B35" s="203" t="s">
        <v>36</v>
      </c>
      <c r="C35" s="7">
        <v>2.1</v>
      </c>
      <c r="D35" s="7">
        <v>2.1</v>
      </c>
      <c r="E35" s="7">
        <v>2.1</v>
      </c>
      <c r="F35" s="7">
        <v>2.1</v>
      </c>
      <c r="G35" s="7">
        <v>2.1</v>
      </c>
      <c r="H35" s="7">
        <v>2.1</v>
      </c>
      <c r="I35" s="7">
        <v>2.1</v>
      </c>
      <c r="J35" s="7">
        <v>2.1</v>
      </c>
      <c r="K35" s="7">
        <v>2.1</v>
      </c>
      <c r="L35" s="7">
        <v>2.1</v>
      </c>
      <c r="M35" s="7">
        <v>2.1</v>
      </c>
      <c r="N35" s="7">
        <v>2.1</v>
      </c>
      <c r="O35" s="204">
        <f>AVERAGE(C35:N35)</f>
        <v>2.1000000000000005</v>
      </c>
    </row>
  </sheetData>
  <sheetProtection algorithmName="SHA-512" hashValue="JjCxJzH8N08S7cVyNEBa4zSGs7S+nphTWnBV90jHznXFeAXnUTQFkf1EfpuFLen52f8YRVPLcVPzLaKzqazqVQ==" saltValue="W5+oFrPO1Rl6zFtkIhkcpA==" spinCount="100000" sheet="1" formatCells="0" formatColumns="0" formatRows="0"/>
  <conditionalFormatting sqref="C4:N6">
    <cfRule type="expression" dxfId="22" priority="2">
      <formula>ISERROR(C4)</formula>
    </cfRule>
    <cfRule type="expression" dxfId="21" priority="3">
      <formula>ISERROR(C$5)</formula>
    </cfRule>
  </conditionalFormatting>
  <conditionalFormatting sqref="C7:N7">
    <cfRule type="expression" dxfId="20" priority="1">
      <formula>ISERROR(C7)</formula>
    </cfRule>
  </conditionalFormatting>
  <conditionalFormatting sqref="C34:N34">
    <cfRule type="expression" dxfId="19" priority="17">
      <formula>ISERROR(C$34)</formula>
    </cfRule>
  </conditionalFormatting>
  <printOptions horizontalCentered="1"/>
  <pageMargins left="0.25" right="0.25" top="0.25" bottom="0.25" header="0.3" footer="0.3"/>
  <pageSetup scale="88" fitToHeight="0" orientation="landscape" r:id="rId1"/>
  <colBreaks count="1" manualBreakCount="1">
    <brk id="16" max="1048575" man="1"/>
  </colBreaks>
  <ignoredErrors>
    <ignoredError sqref="D34" formula="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2:T153"/>
  <sheetViews>
    <sheetView showGridLines="0" zoomScaleNormal="100" workbookViewId="0"/>
  </sheetViews>
  <sheetFormatPr defaultRowHeight="15" x14ac:dyDescent="0.25"/>
  <cols>
    <col min="1" max="1" width="4" customWidth="1"/>
    <col min="2" max="2" width="13.28515625" customWidth="1"/>
    <col min="3" max="3" width="11.42578125" customWidth="1"/>
    <col min="4" max="5" width="9" customWidth="1"/>
    <col min="6" max="6" width="11.140625" customWidth="1"/>
    <col min="7" max="10" width="9.7109375" customWidth="1"/>
    <col min="11" max="11" width="10.28515625" customWidth="1"/>
    <col min="12" max="12" width="11.42578125" customWidth="1"/>
    <col min="13" max="13" width="11.140625" customWidth="1"/>
    <col min="14" max="14" width="11.28515625" customWidth="1"/>
    <col min="15" max="15" width="11.5703125" customWidth="1"/>
    <col min="16" max="16" width="9.7109375" customWidth="1"/>
    <col min="17" max="17" width="10.140625" customWidth="1"/>
    <col min="18" max="18" width="10.42578125" customWidth="1"/>
    <col min="19" max="19" width="10" customWidth="1"/>
    <col min="20" max="20" width="7.85546875" customWidth="1"/>
    <col min="21" max="21" width="1.28515625" customWidth="1"/>
    <col min="24" max="24" width="10.7109375" bestFit="1" customWidth="1"/>
    <col min="26" max="26" width="10.42578125" bestFit="1" customWidth="1"/>
    <col min="27" max="27" width="10.28515625" bestFit="1" customWidth="1"/>
  </cols>
  <sheetData>
    <row r="2" spans="2:16" x14ac:dyDescent="0.25">
      <c r="B2" s="77" t="str">
        <f>"BIMS Scores of Residents with Falls "&amp;IF(Jan!$C$1=0,"",Jan!$C$1)</f>
        <v xml:space="preserve">BIMS Scores of Residents with Falls </v>
      </c>
      <c r="C2" s="78"/>
      <c r="D2" s="78"/>
      <c r="E2" s="78"/>
      <c r="F2" s="78"/>
      <c r="G2" s="78"/>
      <c r="H2" s="78"/>
      <c r="I2" s="79"/>
      <c r="J2" s="79"/>
      <c r="K2" s="79"/>
      <c r="L2" s="79"/>
      <c r="M2" s="79"/>
      <c r="N2" s="79"/>
      <c r="O2" s="79"/>
      <c r="P2" s="79"/>
    </row>
    <row r="3" spans="2:16" x14ac:dyDescent="0.25">
      <c r="B3" s="80" t="s">
        <v>26</v>
      </c>
      <c r="C3" s="81"/>
      <c r="D3" s="82" t="s">
        <v>4</v>
      </c>
      <c r="E3" s="82" t="s">
        <v>5</v>
      </c>
      <c r="F3" s="82" t="s">
        <v>6</v>
      </c>
      <c r="G3" s="82" t="s">
        <v>7</v>
      </c>
      <c r="H3" s="82" t="s">
        <v>8</v>
      </c>
      <c r="I3" s="82" t="s">
        <v>9</v>
      </c>
      <c r="J3" s="82" t="s">
        <v>10</v>
      </c>
      <c r="K3" s="82" t="s">
        <v>11</v>
      </c>
      <c r="L3" s="82" t="s">
        <v>12</v>
      </c>
      <c r="M3" s="82" t="s">
        <v>13</v>
      </c>
      <c r="N3" s="82" t="s">
        <v>14</v>
      </c>
      <c r="O3" s="82" t="s">
        <v>15</v>
      </c>
      <c r="P3" s="82" t="s">
        <v>16</v>
      </c>
    </row>
    <row r="4" spans="2:16" x14ac:dyDescent="0.25">
      <c r="B4" s="83" t="s">
        <v>142</v>
      </c>
      <c r="C4" s="84"/>
      <c r="D4" s="76">
        <f>COUNTIFS(Jan[Cognitive Impairment],$B4)</f>
        <v>0</v>
      </c>
      <c r="E4" s="76">
        <f>COUNTIFS(Feb[Cognitive Impairment],$B4)</f>
        <v>0</v>
      </c>
      <c r="F4" s="76">
        <f>COUNTIFS(Mar[Cognitive Impairment],$B4)</f>
        <v>0</v>
      </c>
      <c r="G4" s="76">
        <f>COUNTIFS(Apr[Cognitive Impairment],$B4)</f>
        <v>0</v>
      </c>
      <c r="H4" s="76">
        <f>COUNTIFS(May[Cognitive Impairment],$B4)</f>
        <v>0</v>
      </c>
      <c r="I4" s="76">
        <f>COUNTIFS(June[Cognitive Impairment],$B4)</f>
        <v>0</v>
      </c>
      <c r="J4" s="76">
        <f>COUNTIFS(July[Cognitive Impairment],$B4)</f>
        <v>0</v>
      </c>
      <c r="K4" s="76">
        <f>COUNTIFS(Aug[Cognitive Impairment],$B4)</f>
        <v>0</v>
      </c>
      <c r="L4" s="76">
        <f>COUNTIFS(Sept[Cognitive Impairment],$B4)</f>
        <v>0</v>
      </c>
      <c r="M4" s="76">
        <f>COUNTIFS(Oct[Cognitive Impairment],$B4)</f>
        <v>0</v>
      </c>
      <c r="N4" s="76">
        <f>COUNTIFS(Nov[Cognitive Impairment],$B4)</f>
        <v>0</v>
      </c>
      <c r="O4" s="76">
        <f>COUNTIFS(Dec[Cognitive Impairment],$B4)</f>
        <v>0</v>
      </c>
      <c r="P4" s="85">
        <f>IF($B4="","",_xlfn.AGGREGATE(9,6,D4:O4))</f>
        <v>0</v>
      </c>
    </row>
    <row r="5" spans="2:16" x14ac:dyDescent="0.25">
      <c r="B5" s="83" t="s">
        <v>143</v>
      </c>
      <c r="C5" s="84"/>
      <c r="D5" s="76">
        <f>COUNTIFS(Jan[Cognitive Impairment],$B5)</f>
        <v>0</v>
      </c>
      <c r="E5" s="76">
        <f>COUNTIFS(Feb[Cognitive Impairment],$B5)</f>
        <v>0</v>
      </c>
      <c r="F5" s="76">
        <f>COUNTIFS(Mar[Cognitive Impairment],$B5)</f>
        <v>0</v>
      </c>
      <c r="G5" s="76">
        <f>COUNTIFS(Apr[Cognitive Impairment],$B5)</f>
        <v>0</v>
      </c>
      <c r="H5" s="76">
        <f>COUNTIFS(May[Cognitive Impairment],$B5)</f>
        <v>0</v>
      </c>
      <c r="I5" s="76">
        <f>COUNTIFS(June[Cognitive Impairment],$B5)</f>
        <v>0</v>
      </c>
      <c r="J5" s="76">
        <f>COUNTIFS(July[Cognitive Impairment],$B5)</f>
        <v>0</v>
      </c>
      <c r="K5" s="76">
        <f>COUNTIFS(Aug[Cognitive Impairment],$B5)</f>
        <v>0</v>
      </c>
      <c r="L5" s="76">
        <f>COUNTIFS(Sept[Cognitive Impairment],$B5)</f>
        <v>0</v>
      </c>
      <c r="M5" s="76">
        <f>COUNTIFS(Oct[Cognitive Impairment],$B5)</f>
        <v>0</v>
      </c>
      <c r="N5" s="76">
        <f>COUNTIFS(Nov[Cognitive Impairment],$B5)</f>
        <v>0</v>
      </c>
      <c r="O5" s="76">
        <f>COUNTIFS(Dec[Cognitive Impairment],$B5)</f>
        <v>0</v>
      </c>
      <c r="P5" s="85">
        <f t="shared" ref="P5:P6" si="0">IF($B5="","",_xlfn.AGGREGATE(9,6,D5:O5))</f>
        <v>0</v>
      </c>
    </row>
    <row r="6" spans="2:16" ht="15.75" thickBot="1" x14ac:dyDescent="0.3">
      <c r="B6" s="86" t="s">
        <v>144</v>
      </c>
      <c r="C6" s="87"/>
      <c r="D6" s="76">
        <f>COUNTIFS(Jan[Cognitive Impairment],$B6)</f>
        <v>0</v>
      </c>
      <c r="E6" s="76">
        <f>COUNTIFS(Feb[Cognitive Impairment],$B6)</f>
        <v>0</v>
      </c>
      <c r="F6" s="76">
        <f>COUNTIFS(Mar[Cognitive Impairment],$B6)</f>
        <v>0</v>
      </c>
      <c r="G6" s="76">
        <f>COUNTIFS(Apr[Cognitive Impairment],$B6)</f>
        <v>0</v>
      </c>
      <c r="H6" s="76">
        <f>COUNTIFS(May[Cognitive Impairment],$B6)</f>
        <v>0</v>
      </c>
      <c r="I6" s="76">
        <f>COUNTIFS(June[Cognitive Impairment],$B6)</f>
        <v>0</v>
      </c>
      <c r="J6" s="76">
        <f>COUNTIFS(July[Cognitive Impairment],$B6)</f>
        <v>0</v>
      </c>
      <c r="K6" s="76">
        <f>COUNTIFS(Aug[Cognitive Impairment],$B6)</f>
        <v>0</v>
      </c>
      <c r="L6" s="76">
        <f>COUNTIFS(Sept[Cognitive Impairment],$B6)</f>
        <v>0</v>
      </c>
      <c r="M6" s="76">
        <f>COUNTIFS(Oct[Cognitive Impairment],$B6)</f>
        <v>0</v>
      </c>
      <c r="N6" s="76">
        <f>COUNTIFS(Nov[Cognitive Impairment],$B6)</f>
        <v>0</v>
      </c>
      <c r="O6" s="76">
        <f>COUNTIFS(Dec[Cognitive Impairment],$B6)</f>
        <v>0</v>
      </c>
      <c r="P6" s="85">
        <f t="shared" si="0"/>
        <v>0</v>
      </c>
    </row>
    <row r="7" spans="2:16" x14ac:dyDescent="0.25">
      <c r="B7" s="88" t="s">
        <v>35</v>
      </c>
      <c r="C7" s="69"/>
      <c r="D7" s="85">
        <f>SUM(D4:D6)</f>
        <v>0</v>
      </c>
      <c r="E7" s="85">
        <f t="shared" ref="E7:O7" si="1">SUM(E4:E6)</f>
        <v>0</v>
      </c>
      <c r="F7" s="85">
        <f t="shared" si="1"/>
        <v>0</v>
      </c>
      <c r="G7" s="85">
        <f t="shared" si="1"/>
        <v>0</v>
      </c>
      <c r="H7" s="85">
        <f t="shared" si="1"/>
        <v>0</v>
      </c>
      <c r="I7" s="85">
        <f t="shared" si="1"/>
        <v>0</v>
      </c>
      <c r="J7" s="85">
        <f t="shared" si="1"/>
        <v>0</v>
      </c>
      <c r="K7" s="85">
        <f t="shared" si="1"/>
        <v>0</v>
      </c>
      <c r="L7" s="85">
        <f t="shared" si="1"/>
        <v>0</v>
      </c>
      <c r="M7" s="85">
        <f t="shared" si="1"/>
        <v>0</v>
      </c>
      <c r="N7" s="85">
        <f t="shared" si="1"/>
        <v>0</v>
      </c>
      <c r="O7" s="85">
        <f t="shared" si="1"/>
        <v>0</v>
      </c>
      <c r="P7" s="85">
        <f>SUM(P4:P6)</f>
        <v>0</v>
      </c>
    </row>
    <row r="8" spans="2:16" x14ac:dyDescent="0.25">
      <c r="B8" s="89"/>
      <c r="C8" s="89"/>
    </row>
    <row r="9" spans="2:16" x14ac:dyDescent="0.25">
      <c r="B9" s="75" t="s">
        <v>44</v>
      </c>
      <c r="C9" s="75"/>
      <c r="D9" s="90"/>
    </row>
    <row r="10" spans="2:16" x14ac:dyDescent="0.25">
      <c r="B10" s="80" t="s">
        <v>45</v>
      </c>
      <c r="C10" s="81"/>
      <c r="D10" s="82" t="s">
        <v>35</v>
      </c>
    </row>
    <row r="11" spans="2:16" x14ac:dyDescent="0.25">
      <c r="B11" s="83" t="s">
        <v>29</v>
      </c>
      <c r="C11" s="84"/>
      <c r="D11" s="76">
        <f>$P$4</f>
        <v>0</v>
      </c>
    </row>
    <row r="12" spans="2:16" x14ac:dyDescent="0.25">
      <c r="B12" s="83" t="s">
        <v>31</v>
      </c>
      <c r="C12" s="84"/>
      <c r="D12" s="76">
        <f>$P$5</f>
        <v>0</v>
      </c>
    </row>
    <row r="13" spans="2:16" ht="15.75" thickBot="1" x14ac:dyDescent="0.3">
      <c r="B13" s="86" t="s">
        <v>32</v>
      </c>
      <c r="C13" s="87"/>
      <c r="D13" s="76">
        <f>$P$6</f>
        <v>0</v>
      </c>
    </row>
    <row r="14" spans="2:16" x14ac:dyDescent="0.25">
      <c r="B14" s="91" t="s">
        <v>35</v>
      </c>
      <c r="C14" s="92"/>
      <c r="D14" s="93">
        <f>SUM(D11:D13)</f>
        <v>0</v>
      </c>
    </row>
    <row r="16" spans="2:16" x14ac:dyDescent="0.25">
      <c r="B16" s="77" t="str">
        <f>"Fall Circumstances "&amp;IF(Jan!$C$1=0,"",Jan!$C$1)</f>
        <v xml:space="preserve">Fall Circumstances </v>
      </c>
      <c r="C16" s="78"/>
      <c r="D16" s="78"/>
      <c r="E16" s="78"/>
      <c r="F16" s="78"/>
      <c r="G16" s="78"/>
      <c r="H16" s="78"/>
      <c r="I16" s="79"/>
      <c r="J16" s="79"/>
      <c r="K16" s="79"/>
      <c r="L16" s="79"/>
      <c r="M16" s="79"/>
      <c r="N16" s="79"/>
      <c r="O16" s="79"/>
      <c r="P16" s="79"/>
    </row>
    <row r="17" spans="1:20" x14ac:dyDescent="0.25">
      <c r="B17" s="80" t="s">
        <v>100</v>
      </c>
      <c r="C17" s="81"/>
      <c r="D17" s="82" t="s">
        <v>4</v>
      </c>
      <c r="E17" s="82" t="s">
        <v>5</v>
      </c>
      <c r="F17" s="82" t="s">
        <v>6</v>
      </c>
      <c r="G17" s="82" t="s">
        <v>7</v>
      </c>
      <c r="H17" s="82" t="s">
        <v>8</v>
      </c>
      <c r="I17" s="82" t="s">
        <v>9</v>
      </c>
      <c r="J17" s="82" t="s">
        <v>10</v>
      </c>
      <c r="K17" s="82" t="s">
        <v>11</v>
      </c>
      <c r="L17" s="82" t="s">
        <v>12</v>
      </c>
      <c r="M17" s="82" t="s">
        <v>13</v>
      </c>
      <c r="N17" s="82" t="s">
        <v>14</v>
      </c>
      <c r="O17" s="82" t="s">
        <v>15</v>
      </c>
      <c r="P17" s="82" t="s">
        <v>16</v>
      </c>
    </row>
    <row r="18" spans="1:20" x14ac:dyDescent="0.25">
      <c r="B18" s="83" t="s">
        <v>79</v>
      </c>
      <c r="C18" s="84"/>
      <c r="D18" s="76">
        <f>COUNTIFS(Jan[Fall Circumstances],$B18)</f>
        <v>0</v>
      </c>
      <c r="E18" s="76">
        <f>COUNTIFS(Feb[Fall Circumstances],$B18)</f>
        <v>0</v>
      </c>
      <c r="F18" s="76">
        <f>COUNTIFS(Mar[Fall Circumstances],$B18)</f>
        <v>0</v>
      </c>
      <c r="G18" s="76">
        <f>COUNTIFS(Apr[Fall Circumstances],$B18)</f>
        <v>0</v>
      </c>
      <c r="H18" s="76">
        <f>COUNTIFS(May[Fall Circumstances],$B18)</f>
        <v>0</v>
      </c>
      <c r="I18" s="76">
        <f>COUNTIFS(June[Fall Circumstances],$B18)</f>
        <v>0</v>
      </c>
      <c r="J18" s="76">
        <f>COUNTIFS(July[Fall Circumstances],$B18)</f>
        <v>0</v>
      </c>
      <c r="K18" s="76">
        <f>COUNTIFS(Aug[Fall Circumstances],$B18)</f>
        <v>0</v>
      </c>
      <c r="L18" s="76">
        <f>COUNTIFS(Sept[Fall Circumstances],$B18)</f>
        <v>0</v>
      </c>
      <c r="M18" s="76">
        <f>COUNTIFS(Oct[Fall Circumstances],$B18)</f>
        <v>0</v>
      </c>
      <c r="N18" s="76">
        <f>COUNTIFS(Nov[Fall Circumstances],$B18)</f>
        <v>0</v>
      </c>
      <c r="O18" s="76">
        <f>COUNTIFS(Dec[Fall Circumstances],$B18)</f>
        <v>0</v>
      </c>
      <c r="P18" s="85">
        <f>IF($B18="","",_xlfn.AGGREGATE(9,6,D18:O18))</f>
        <v>0</v>
      </c>
    </row>
    <row r="19" spans="1:20" x14ac:dyDescent="0.25">
      <c r="B19" s="83" t="s">
        <v>101</v>
      </c>
      <c r="C19" s="84"/>
      <c r="D19" s="76">
        <f>COUNTIFS(Jan[Fall Circumstances],$B19)</f>
        <v>0</v>
      </c>
      <c r="E19" s="76">
        <f>COUNTIFS(Feb[Fall Circumstances],$B19)</f>
        <v>0</v>
      </c>
      <c r="F19" s="76">
        <f>COUNTIFS(Mar[Fall Circumstances],$B19)</f>
        <v>0</v>
      </c>
      <c r="G19" s="76">
        <f>COUNTIFS(Apr[Fall Circumstances],$B19)</f>
        <v>0</v>
      </c>
      <c r="H19" s="76">
        <f>COUNTIFS(May[Fall Circumstances],$B19)</f>
        <v>0</v>
      </c>
      <c r="I19" s="76">
        <f>COUNTIFS(June[Fall Circumstances],$B19)</f>
        <v>0</v>
      </c>
      <c r="J19" s="76">
        <f>COUNTIFS(July[Fall Circumstances],$B19)</f>
        <v>0</v>
      </c>
      <c r="K19" s="76">
        <f>COUNTIFS(Aug[Fall Circumstances],$B19)</f>
        <v>0</v>
      </c>
      <c r="L19" s="76">
        <f>COUNTIFS(Sept[Fall Circumstances],$B19)</f>
        <v>0</v>
      </c>
      <c r="M19" s="76">
        <f>COUNTIFS(Oct[Fall Circumstances],$B19)</f>
        <v>0</v>
      </c>
      <c r="N19" s="76">
        <f>COUNTIFS(Nov[Fall Circumstances],$B19)</f>
        <v>0</v>
      </c>
      <c r="O19" s="76">
        <f>COUNTIFS(Dec[Fall Circumstances],$B19)</f>
        <v>0</v>
      </c>
      <c r="P19" s="85">
        <f t="shared" ref="P19:P20" si="2">IF($B19="","",_xlfn.AGGREGATE(9,6,D19:O19))</f>
        <v>0</v>
      </c>
    </row>
    <row r="20" spans="1:20" ht="15.75" thickBot="1" x14ac:dyDescent="0.3">
      <c r="B20" s="86" t="s">
        <v>102</v>
      </c>
      <c r="C20" s="87"/>
      <c r="D20" s="76">
        <f>COUNTIFS(Jan[Fall Circumstances],$B20)</f>
        <v>0</v>
      </c>
      <c r="E20" s="76">
        <f>COUNTIFS(Feb[Fall Circumstances],$B20)</f>
        <v>0</v>
      </c>
      <c r="F20" s="76">
        <f>COUNTIFS(Mar[Fall Circumstances],$B20)</f>
        <v>0</v>
      </c>
      <c r="G20" s="76">
        <f>COUNTIFS(Apr[Fall Circumstances],$B20)</f>
        <v>0</v>
      </c>
      <c r="H20" s="76">
        <f>COUNTIFS(May[Fall Circumstances],$B20)</f>
        <v>0</v>
      </c>
      <c r="I20" s="76">
        <f>COUNTIFS(June[Fall Circumstances],$B20)</f>
        <v>0</v>
      </c>
      <c r="J20" s="76">
        <f>COUNTIFS(July[Fall Circumstances],$B20)</f>
        <v>0</v>
      </c>
      <c r="K20" s="76">
        <f>COUNTIFS(Aug[Fall Circumstances],$B20)</f>
        <v>0</v>
      </c>
      <c r="L20" s="76">
        <f>COUNTIFS(Sept[Fall Circumstances],$B20)</f>
        <v>0</v>
      </c>
      <c r="M20" s="76">
        <f>COUNTIFS(Oct[Fall Circumstances],$B20)</f>
        <v>0</v>
      </c>
      <c r="N20" s="76">
        <f>COUNTIFS(Nov[Fall Circumstances],$B20)</f>
        <v>0</v>
      </c>
      <c r="O20" s="76">
        <f>COUNTIFS(Dec[Fall Circumstances],$B20)</f>
        <v>0</v>
      </c>
      <c r="P20" s="85">
        <f t="shared" si="2"/>
        <v>0</v>
      </c>
    </row>
    <row r="21" spans="1:20" x14ac:dyDescent="0.25">
      <c r="B21" s="94" t="s">
        <v>35</v>
      </c>
      <c r="C21" s="92"/>
      <c r="D21" s="85">
        <f>SUM(D18:D20)</f>
        <v>0</v>
      </c>
      <c r="E21" s="85">
        <f t="shared" ref="E21:O21" si="3">SUM(E18:E20)</f>
        <v>0</v>
      </c>
      <c r="F21" s="85">
        <f t="shared" si="3"/>
        <v>0</v>
      </c>
      <c r="G21" s="85">
        <f t="shared" si="3"/>
        <v>0</v>
      </c>
      <c r="H21" s="85">
        <f t="shared" si="3"/>
        <v>0</v>
      </c>
      <c r="I21" s="85">
        <f t="shared" si="3"/>
        <v>0</v>
      </c>
      <c r="J21" s="85">
        <f t="shared" si="3"/>
        <v>0</v>
      </c>
      <c r="K21" s="85">
        <f t="shared" si="3"/>
        <v>0</v>
      </c>
      <c r="L21" s="85">
        <f t="shared" si="3"/>
        <v>0</v>
      </c>
      <c r="M21" s="85">
        <f t="shared" si="3"/>
        <v>0</v>
      </c>
      <c r="N21" s="85">
        <f t="shared" si="3"/>
        <v>0</v>
      </c>
      <c r="O21" s="85">
        <f t="shared" si="3"/>
        <v>0</v>
      </c>
      <c r="P21" s="85">
        <f>SUM(P18:P20)</f>
        <v>0</v>
      </c>
    </row>
    <row r="22" spans="1:20" x14ac:dyDescent="0.25">
      <c r="B22" s="89"/>
      <c r="C22" s="89"/>
    </row>
    <row r="23" spans="1:20" x14ac:dyDescent="0.25">
      <c r="B23" s="75" t="s">
        <v>100</v>
      </c>
      <c r="C23" s="75"/>
      <c r="D23" s="75"/>
      <c r="Q23" s="21"/>
    </row>
    <row r="24" spans="1:20" x14ac:dyDescent="0.25">
      <c r="B24" s="80" t="s">
        <v>100</v>
      </c>
      <c r="C24" s="81"/>
      <c r="D24" s="95" t="s">
        <v>35</v>
      </c>
    </row>
    <row r="25" spans="1:20" x14ac:dyDescent="0.25">
      <c r="A25" s="96"/>
      <c r="B25" s="84" t="s">
        <v>79</v>
      </c>
      <c r="C25" s="84"/>
      <c r="D25" s="97">
        <f>$P$18</f>
        <v>0</v>
      </c>
    </row>
    <row r="26" spans="1:20" x14ac:dyDescent="0.25">
      <c r="A26" s="96"/>
      <c r="B26" s="84" t="s">
        <v>101</v>
      </c>
      <c r="C26" s="84"/>
      <c r="D26" s="97">
        <f>$P$19</f>
        <v>0</v>
      </c>
    </row>
    <row r="27" spans="1:20" ht="15.75" thickBot="1" x14ac:dyDescent="0.3">
      <c r="A27" s="96"/>
      <c r="B27" s="87" t="s">
        <v>102</v>
      </c>
      <c r="C27" s="87"/>
      <c r="D27" s="98">
        <f>$P$20</f>
        <v>0</v>
      </c>
    </row>
    <row r="28" spans="1:20" ht="15.6" customHeight="1" x14ac:dyDescent="0.25">
      <c r="A28" s="96"/>
      <c r="B28" s="94" t="s">
        <v>16</v>
      </c>
      <c r="C28" s="99"/>
      <c r="D28" s="100">
        <f>SUM(D25:D27)</f>
        <v>0</v>
      </c>
    </row>
    <row r="29" spans="1:20" x14ac:dyDescent="0.25">
      <c r="B29" s="26"/>
      <c r="C29" s="21"/>
      <c r="D29" s="22"/>
      <c r="Q29" s="21"/>
      <c r="T29" s="22"/>
    </row>
    <row r="30" spans="1:20" x14ac:dyDescent="0.25">
      <c r="B30" s="77" t="str">
        <f>"Witnessed Falls "&amp;IF(Jan!$C$1=0,"",Jan!$C$1)</f>
        <v xml:space="preserve">Witnessed Falls </v>
      </c>
      <c r="C30" s="78"/>
      <c r="D30" s="78"/>
      <c r="E30" s="78"/>
      <c r="F30" s="78"/>
      <c r="G30" s="78"/>
      <c r="H30" s="78"/>
      <c r="I30" s="79"/>
      <c r="J30" s="79"/>
      <c r="K30" s="79"/>
      <c r="L30" s="79"/>
      <c r="M30" s="79"/>
      <c r="N30" s="79"/>
      <c r="O30" s="79"/>
      <c r="P30" s="79"/>
    </row>
    <row r="31" spans="1:20" x14ac:dyDescent="0.25">
      <c r="B31" s="80" t="s">
        <v>40</v>
      </c>
      <c r="C31" s="81"/>
      <c r="D31" s="82" t="s">
        <v>4</v>
      </c>
      <c r="E31" s="82" t="s">
        <v>5</v>
      </c>
      <c r="F31" s="82" t="s">
        <v>6</v>
      </c>
      <c r="G31" s="82" t="s">
        <v>7</v>
      </c>
      <c r="H31" s="82" t="s">
        <v>8</v>
      </c>
      <c r="I31" s="82" t="s">
        <v>9</v>
      </c>
      <c r="J31" s="82" t="s">
        <v>10</v>
      </c>
      <c r="K31" s="82" t="s">
        <v>11</v>
      </c>
      <c r="L31" s="82" t="s">
        <v>12</v>
      </c>
      <c r="M31" s="82" t="s">
        <v>13</v>
      </c>
      <c r="N31" s="82" t="s">
        <v>14</v>
      </c>
      <c r="O31" s="82" t="s">
        <v>15</v>
      </c>
      <c r="P31" s="82" t="s">
        <v>16</v>
      </c>
    </row>
    <row r="32" spans="1:20" x14ac:dyDescent="0.25">
      <c r="B32" s="83" t="s">
        <v>41</v>
      </c>
      <c r="C32" s="84"/>
      <c r="D32" s="76">
        <f>COUNTIFS(Jan[Witnessed
Fall?],$B32)</f>
        <v>0</v>
      </c>
      <c r="E32" s="76">
        <f>COUNTIFS(Feb[Witnessed
Fall?],$B32)</f>
        <v>0</v>
      </c>
      <c r="F32" s="76">
        <f>COUNTIFS(Mar[Witnessed
Fall?],$B32)</f>
        <v>0</v>
      </c>
      <c r="G32" s="76">
        <f>COUNTIFS(Apr[Witnessed
Fall?],$B32)</f>
        <v>0</v>
      </c>
      <c r="H32" s="76">
        <f>COUNTIFS(May[Witnessed
Fall?],$B32)</f>
        <v>0</v>
      </c>
      <c r="I32" s="76">
        <f>COUNTIFS(June[Witnessed
Fall?],$B32)</f>
        <v>0</v>
      </c>
      <c r="J32" s="76">
        <f>COUNTIFS(July[Witnessed
Fall?],$B32)</f>
        <v>0</v>
      </c>
      <c r="K32" s="76">
        <f>COUNTIFS(Aug[Witnessed
Fall?],$B32)</f>
        <v>0</v>
      </c>
      <c r="L32" s="76">
        <f>COUNTIFS(Sept[Witnessed
Fall?],$B32)</f>
        <v>0</v>
      </c>
      <c r="M32" s="76">
        <f>COUNTIFS(Oct[Witnessed
Fall?],$B32)</f>
        <v>0</v>
      </c>
      <c r="N32" s="76">
        <f>COUNTIFS(Nov[Witnessed
Fall?],$B32)</f>
        <v>0</v>
      </c>
      <c r="O32" s="76">
        <f>COUNTIFS(Dec[Witnessed
Fall?],$B32)</f>
        <v>0</v>
      </c>
      <c r="P32" s="85">
        <f>IF($B32="","",_xlfn.AGGREGATE(9,6,D32:O32))</f>
        <v>0</v>
      </c>
    </row>
    <row r="33" spans="2:20" ht="15.75" thickBot="1" x14ac:dyDescent="0.3">
      <c r="B33" s="83" t="s">
        <v>42</v>
      </c>
      <c r="C33" s="84"/>
      <c r="D33" s="76">
        <f>COUNTIFS(Jan[Witnessed
Fall?],$B33)</f>
        <v>0</v>
      </c>
      <c r="E33" s="76">
        <f>COUNTIFS(Feb[Witnessed
Fall?],$B33)</f>
        <v>0</v>
      </c>
      <c r="F33" s="76">
        <f>COUNTIFS(Mar[Witnessed
Fall?],$B33)</f>
        <v>0</v>
      </c>
      <c r="G33" s="76">
        <f>COUNTIFS(Apr[Witnessed
Fall?],$B33)</f>
        <v>0</v>
      </c>
      <c r="H33" s="76">
        <f>COUNTIFS(May[Witnessed
Fall?],$B33)</f>
        <v>0</v>
      </c>
      <c r="I33" s="76">
        <f>COUNTIFS(June[Witnessed
Fall?],$B33)</f>
        <v>0</v>
      </c>
      <c r="J33" s="76">
        <f>COUNTIFS(July[Witnessed
Fall?],$B33)</f>
        <v>0</v>
      </c>
      <c r="K33" s="76">
        <f>COUNTIFS(Aug[Witnessed
Fall?],$B33)</f>
        <v>0</v>
      </c>
      <c r="L33" s="76">
        <f>COUNTIFS(Sept[Witnessed
Fall?],$B33)</f>
        <v>0</v>
      </c>
      <c r="M33" s="76">
        <f>COUNTIFS(Oct[Witnessed
Fall?],$B33)</f>
        <v>0</v>
      </c>
      <c r="N33" s="76">
        <f>COUNTIFS(Nov[Witnessed
Fall?],$B33)</f>
        <v>0</v>
      </c>
      <c r="O33" s="76">
        <f>COUNTIFS(Dec[Witnessed
Fall?],$B33)</f>
        <v>0</v>
      </c>
      <c r="P33" s="85">
        <f>IF($B33="","",_xlfn.AGGREGATE(9,6,D33:O33))</f>
        <v>0</v>
      </c>
    </row>
    <row r="34" spans="2:20" x14ac:dyDescent="0.25">
      <c r="B34" s="94" t="s">
        <v>16</v>
      </c>
      <c r="C34" s="99"/>
      <c r="D34" s="85">
        <f t="shared" ref="D34:P34" si="4">SUM(D32:D33)</f>
        <v>0</v>
      </c>
      <c r="E34" s="85">
        <f t="shared" si="4"/>
        <v>0</v>
      </c>
      <c r="F34" s="85">
        <f t="shared" si="4"/>
        <v>0</v>
      </c>
      <c r="G34" s="85">
        <f t="shared" si="4"/>
        <v>0</v>
      </c>
      <c r="H34" s="85">
        <f t="shared" si="4"/>
        <v>0</v>
      </c>
      <c r="I34" s="85">
        <f t="shared" si="4"/>
        <v>0</v>
      </c>
      <c r="J34" s="85">
        <f t="shared" si="4"/>
        <v>0</v>
      </c>
      <c r="K34" s="85">
        <f t="shared" si="4"/>
        <v>0</v>
      </c>
      <c r="L34" s="85">
        <f t="shared" si="4"/>
        <v>0</v>
      </c>
      <c r="M34" s="85">
        <f t="shared" si="4"/>
        <v>0</v>
      </c>
      <c r="N34" s="85">
        <f t="shared" si="4"/>
        <v>0</v>
      </c>
      <c r="O34" s="85">
        <f t="shared" si="4"/>
        <v>0</v>
      </c>
      <c r="P34" s="85">
        <f t="shared" si="4"/>
        <v>0</v>
      </c>
    </row>
    <row r="35" spans="2:20" ht="15" customHeight="1" x14ac:dyDescent="0.25"/>
    <row r="36" spans="2:20" ht="18.75" customHeight="1" x14ac:dyDescent="0.25">
      <c r="B36" s="101" t="s">
        <v>85</v>
      </c>
      <c r="C36" s="102"/>
      <c r="F36" s="26"/>
      <c r="G36" s="21"/>
      <c r="H36" s="22"/>
      <c r="I36" s="26"/>
      <c r="Q36" s="21"/>
      <c r="T36" s="22"/>
    </row>
    <row r="37" spans="2:20" x14ac:dyDescent="0.25">
      <c r="B37" s="103" t="s">
        <v>83</v>
      </c>
      <c r="C37" s="104" t="s">
        <v>35</v>
      </c>
      <c r="F37" s="26"/>
      <c r="G37" s="21"/>
      <c r="H37" s="22"/>
      <c r="I37" s="26"/>
      <c r="Q37" s="21"/>
      <c r="T37" s="22"/>
    </row>
    <row r="38" spans="2:20" x14ac:dyDescent="0.25">
      <c r="B38" s="105" t="s">
        <v>41</v>
      </c>
      <c r="C38" s="106">
        <f>$P$32</f>
        <v>0</v>
      </c>
    </row>
    <row r="39" spans="2:20" ht="15.75" thickBot="1" x14ac:dyDescent="0.3">
      <c r="B39" s="107" t="s">
        <v>42</v>
      </c>
      <c r="C39" s="108">
        <f>$P$33</f>
        <v>0</v>
      </c>
    </row>
    <row r="40" spans="2:20" x14ac:dyDescent="0.25">
      <c r="B40" s="100" t="s">
        <v>16</v>
      </c>
      <c r="C40" s="109">
        <f>SUM(C38:C39)</f>
        <v>0</v>
      </c>
    </row>
    <row r="43" spans="2:20" x14ac:dyDescent="0.25">
      <c r="B43" s="110" t="str">
        <f>"Falls by Activity "&amp;IF(Jan!$C$1=0,"",Jan!$C$1)</f>
        <v xml:space="preserve">Falls by Activity </v>
      </c>
      <c r="C43" s="111"/>
      <c r="D43" s="111"/>
      <c r="E43" s="111"/>
      <c r="F43" s="111"/>
      <c r="G43" s="78"/>
      <c r="H43" s="78"/>
      <c r="I43" s="78"/>
      <c r="J43" s="78"/>
      <c r="K43" s="78"/>
      <c r="L43" s="79"/>
      <c r="M43" s="79"/>
      <c r="N43" s="79"/>
      <c r="O43" s="79"/>
      <c r="P43" s="79"/>
      <c r="Q43" s="79"/>
      <c r="R43" s="79"/>
      <c r="S43" s="79"/>
    </row>
    <row r="44" spans="2:20" x14ac:dyDescent="0.25">
      <c r="B44" s="112" t="s">
        <v>86</v>
      </c>
      <c r="C44" s="113"/>
      <c r="D44" s="113"/>
      <c r="E44" s="113"/>
      <c r="F44" s="114"/>
      <c r="G44" s="115" t="s">
        <v>4</v>
      </c>
      <c r="H44" s="82" t="s">
        <v>5</v>
      </c>
      <c r="I44" s="82" t="s">
        <v>6</v>
      </c>
      <c r="J44" s="82" t="s">
        <v>7</v>
      </c>
      <c r="K44" s="82" t="s">
        <v>8</v>
      </c>
      <c r="L44" s="82" t="s">
        <v>9</v>
      </c>
      <c r="M44" s="82" t="s">
        <v>10</v>
      </c>
      <c r="N44" s="82" t="s">
        <v>11</v>
      </c>
      <c r="O44" s="82" t="s">
        <v>12</v>
      </c>
      <c r="P44" s="82" t="s">
        <v>13</v>
      </c>
      <c r="Q44" s="82" t="s">
        <v>14</v>
      </c>
      <c r="R44" s="82" t="s">
        <v>15</v>
      </c>
      <c r="S44" s="82" t="s">
        <v>16</v>
      </c>
    </row>
    <row r="45" spans="2:20" x14ac:dyDescent="0.25">
      <c r="B45" s="116" t="str" cm="1">
        <f t="array" ref="B45:B68">IF(_xlfn._xlws.SORT(PriortoFall[What was the resident doing prior to fall?],1,1,TRUE)=0,"",(_xlfn._xlws.SORT(PriortoFall[What was the resident doing prior to fall?],1,1,TRUE)))</f>
        <v>Ambulating with assistive device (walker, cane, wheelchair)</v>
      </c>
      <c r="C45" s="117"/>
      <c r="D45" s="117"/>
      <c r="E45" s="117"/>
      <c r="F45" s="118"/>
      <c r="G45" s="119">
        <f>IF($B45="","",COUNTIFS(Jan[What was resident doing prior to fall?],$B45))</f>
        <v>0</v>
      </c>
      <c r="H45" s="119">
        <f>IF($B45="","",COUNTIFS(Feb[What was resident doing prior to fall?],$B45))</f>
        <v>0</v>
      </c>
      <c r="I45" s="119">
        <f>IF($B45="","",COUNTIFS(Mar[What was resident doing prior to fall?],$B45))</f>
        <v>0</v>
      </c>
      <c r="J45" s="119">
        <f>IF($B45="","",COUNTIFS(Apr[What was resident doing prior to fall?],$B45))</f>
        <v>0</v>
      </c>
      <c r="K45" s="119">
        <f>IF($B45="","",COUNTIFS(May[What was resident doing prior to fall?],$B45))</f>
        <v>0</v>
      </c>
      <c r="L45" s="119">
        <f>IF($B45="","",COUNTIFS(June[What was resident doing prior to fall?],$B45))</f>
        <v>0</v>
      </c>
      <c r="M45" s="119">
        <f>IF($B45="","",COUNTIFS(July[What was resident doing prior to fall?],$B45))</f>
        <v>0</v>
      </c>
      <c r="N45" s="119">
        <f>IF($B45="","",COUNTIFS(Aug[What was resident doing prior to fall?],$B45))</f>
        <v>0</v>
      </c>
      <c r="O45" s="119">
        <f>IF($B45="","",COUNTIFS(Sept[What was resident doing prior to fall?],$B45))</f>
        <v>0</v>
      </c>
      <c r="P45" s="119">
        <f>IF($B45="","",COUNTIFS(Oct[What was resident doing prior to fall?],$B45))</f>
        <v>0</v>
      </c>
      <c r="Q45" s="119">
        <f>IF($B45="","",COUNTIFS(Nov[What was resident doing prior to fall?],$B45))</f>
        <v>0</v>
      </c>
      <c r="R45" s="119">
        <f>IF($B45="","",COUNTIFS(Dec[What was resident doing prior to fall?],$B45))</f>
        <v>0</v>
      </c>
      <c r="S45" s="85">
        <f>IF($B45="","",_xlfn.AGGREGATE(9,6,G45:R45))</f>
        <v>0</v>
      </c>
    </row>
    <row r="46" spans="2:20" x14ac:dyDescent="0.25">
      <c r="B46" s="116" t="str">
        <v>Ambulating with staff assistance</v>
      </c>
      <c r="C46" s="117"/>
      <c r="D46" s="117"/>
      <c r="E46" s="117"/>
      <c r="F46" s="118"/>
      <c r="G46" s="119">
        <f>IF($B46="","",COUNTIFS(Jan[What was resident doing prior to fall?],$B46))</f>
        <v>0</v>
      </c>
      <c r="H46" s="119">
        <f>IF($B46="","",COUNTIFS(Feb[What was resident doing prior to fall?],$B46))</f>
        <v>0</v>
      </c>
      <c r="I46" s="119">
        <f>IF($B46="","",COUNTIFS(Mar[What was resident doing prior to fall?],$B46))</f>
        <v>0</v>
      </c>
      <c r="J46" s="119">
        <f>IF($B46="","",COUNTIFS(Apr[What was resident doing prior to fall?],$B46))</f>
        <v>0</v>
      </c>
      <c r="K46" s="119">
        <f>IF($B46="","",COUNTIFS(May[What was resident doing prior to fall?],$B46))</f>
        <v>0</v>
      </c>
      <c r="L46" s="119">
        <f>IF($B46="","",COUNTIFS(June[What was resident doing prior to fall?],$B46))</f>
        <v>0</v>
      </c>
      <c r="M46" s="119">
        <f>IF($B46="","",COUNTIFS(July[What was resident doing prior to fall?],$B46))</f>
        <v>0</v>
      </c>
      <c r="N46" s="119">
        <f>IF($B46="","",COUNTIFS(Aug[What was resident doing prior to fall?],$B46))</f>
        <v>0</v>
      </c>
      <c r="O46" s="119">
        <f>IF($B46="","",COUNTIFS(Sept[What was resident doing prior to fall?],$B46))</f>
        <v>0</v>
      </c>
      <c r="P46" s="119">
        <f>IF($B46="","",COUNTIFS(Oct[What was resident doing prior to fall?],$B46))</f>
        <v>0</v>
      </c>
      <c r="Q46" s="119">
        <f>IF($B46="","",COUNTIFS(Nov[What was resident doing prior to fall?],$B46))</f>
        <v>0</v>
      </c>
      <c r="R46" s="119">
        <f>IF($B46="","",COUNTIFS(Dec[What was resident doing prior to fall?],$B46))</f>
        <v>0</v>
      </c>
      <c r="S46" s="85">
        <f>IF($B46="","",_xlfn.AGGREGATE(9,6,G46:R46))</f>
        <v>0</v>
      </c>
    </row>
    <row r="47" spans="2:20" x14ac:dyDescent="0.25">
      <c r="B47" s="116" t="str">
        <v>Ambulating without assistance or assistive device</v>
      </c>
      <c r="C47" s="117"/>
      <c r="D47" s="117"/>
      <c r="E47" s="117"/>
      <c r="F47" s="118"/>
      <c r="G47" s="119">
        <f>IF($B47="","",COUNTIFS(Jan[What was resident doing prior to fall?],$B47))</f>
        <v>0</v>
      </c>
      <c r="H47" s="119">
        <f>IF($B47="","",COUNTIFS(Feb[What was resident doing prior to fall?],$B47))</f>
        <v>0</v>
      </c>
      <c r="I47" s="119">
        <f>IF($B47="","",COUNTIFS(Mar[What was resident doing prior to fall?],$B47))</f>
        <v>0</v>
      </c>
      <c r="J47" s="119">
        <f>IF($B47="","",COUNTIFS(Apr[What was resident doing prior to fall?],$B47))</f>
        <v>0</v>
      </c>
      <c r="K47" s="119">
        <f>IF($B47="","",COUNTIFS(May[What was resident doing prior to fall?],$B47))</f>
        <v>0</v>
      </c>
      <c r="L47" s="119">
        <f>IF($B47="","",COUNTIFS(June[What was resident doing prior to fall?],$B47))</f>
        <v>0</v>
      </c>
      <c r="M47" s="119">
        <f>IF($B47="","",COUNTIFS(July[What was resident doing prior to fall?],$B47))</f>
        <v>0</v>
      </c>
      <c r="N47" s="119">
        <f>IF($B47="","",COUNTIFS(Aug[What was resident doing prior to fall?],$B47))</f>
        <v>0</v>
      </c>
      <c r="O47" s="119">
        <f>IF($B47="","",COUNTIFS(Sept[What was resident doing prior to fall?],$B47))</f>
        <v>0</v>
      </c>
      <c r="P47" s="119">
        <f>IF($B47="","",COUNTIFS(Oct[What was resident doing prior to fall?],$B47))</f>
        <v>0</v>
      </c>
      <c r="Q47" s="119">
        <f>IF($B47="","",COUNTIFS(Nov[What was resident doing prior to fall?],$B47))</f>
        <v>0</v>
      </c>
      <c r="R47" s="119">
        <f>IF($B47="","",COUNTIFS(Dec[What was resident doing prior to fall?],$B47))</f>
        <v>0</v>
      </c>
      <c r="S47" s="85">
        <f t="shared" ref="S47:S67" si="5">IF($B47="","",_xlfn.AGGREGATE(9,6,G47:R47))</f>
        <v>0</v>
      </c>
    </row>
    <row r="48" spans="2:20" x14ac:dyDescent="0.25">
      <c r="B48" s="116" t="str">
        <v>Changing position (e.g., in bed, chair)</v>
      </c>
      <c r="C48" s="117"/>
      <c r="D48" s="117"/>
      <c r="E48" s="117"/>
      <c r="F48" s="118"/>
      <c r="G48" s="119">
        <f>IF($B48="","",COUNTIFS(Jan[What was resident doing prior to fall?],$B48))</f>
        <v>0</v>
      </c>
      <c r="H48" s="119">
        <f>IF($B48="","",COUNTIFS(Feb[What was resident doing prior to fall?],$B48))</f>
        <v>0</v>
      </c>
      <c r="I48" s="119">
        <f>IF($B48="","",COUNTIFS(Mar[What was resident doing prior to fall?],$B48))</f>
        <v>0</v>
      </c>
      <c r="J48" s="119">
        <f>IF($B48="","",COUNTIFS(Apr[What was resident doing prior to fall?],$B48))</f>
        <v>0</v>
      </c>
      <c r="K48" s="119">
        <f>IF($B48="","",COUNTIFS(May[What was resident doing prior to fall?],$B48))</f>
        <v>0</v>
      </c>
      <c r="L48" s="119">
        <f>IF($B48="","",COUNTIFS(June[What was resident doing prior to fall?],$B48))</f>
        <v>0</v>
      </c>
      <c r="M48" s="119">
        <f>IF($B48="","",COUNTIFS(July[What was resident doing prior to fall?],$B48))</f>
        <v>0</v>
      </c>
      <c r="N48" s="119">
        <f>IF($B48="","",COUNTIFS(Aug[What was resident doing prior to fall?],$B48))</f>
        <v>0</v>
      </c>
      <c r="O48" s="119">
        <f>IF($B48="","",COUNTIFS(Sept[What was resident doing prior to fall?],$B48))</f>
        <v>0</v>
      </c>
      <c r="P48" s="119">
        <f>IF($B48="","",COUNTIFS(Oct[What was resident doing prior to fall?],$B48))</f>
        <v>0</v>
      </c>
      <c r="Q48" s="119">
        <f>IF($B48="","",COUNTIFS(Nov[What was resident doing prior to fall?],$B48))</f>
        <v>0</v>
      </c>
      <c r="R48" s="119">
        <f>IF($B48="","",COUNTIFS(Dec[What was resident doing prior to fall?],$B48))</f>
        <v>0</v>
      </c>
      <c r="S48" s="85">
        <f t="shared" si="5"/>
        <v>0</v>
      </c>
    </row>
    <row r="49" spans="2:19" x14ac:dyDescent="0.25">
      <c r="B49" s="116" t="str">
        <v>Dressing or undressing</v>
      </c>
      <c r="C49" s="117"/>
      <c r="D49" s="117"/>
      <c r="E49" s="117"/>
      <c r="F49" s="118"/>
      <c r="G49" s="119">
        <f>IF($B49="","",COUNTIFS(Jan[What was resident doing prior to fall?],$B49))</f>
        <v>0</v>
      </c>
      <c r="H49" s="119">
        <f>IF($B49="","",COUNTIFS(Feb[What was resident doing prior to fall?],$B49))</f>
        <v>0</v>
      </c>
      <c r="I49" s="119">
        <f>IF($B49="","",COUNTIFS(Mar[What was resident doing prior to fall?],$B49))</f>
        <v>0</v>
      </c>
      <c r="J49" s="119">
        <f>IF($B49="","",COUNTIFS(Apr[What was resident doing prior to fall?],$B49))</f>
        <v>0</v>
      </c>
      <c r="K49" s="119">
        <f>IF($B49="","",COUNTIFS(May[What was resident doing prior to fall?],$B49))</f>
        <v>0</v>
      </c>
      <c r="L49" s="119">
        <f>IF($B49="","",COUNTIFS(June[What was resident doing prior to fall?],$B49))</f>
        <v>0</v>
      </c>
      <c r="M49" s="119">
        <f>IF($B49="","",COUNTIFS(July[What was resident doing prior to fall?],$B49))</f>
        <v>0</v>
      </c>
      <c r="N49" s="119">
        <f>IF($B49="","",COUNTIFS(Aug[What was resident doing prior to fall?],$B49))</f>
        <v>0</v>
      </c>
      <c r="O49" s="119">
        <f>IF($B49="","",COUNTIFS(Sept[What was resident doing prior to fall?],$B49))</f>
        <v>0</v>
      </c>
      <c r="P49" s="119">
        <f>IF($B49="","",COUNTIFS(Oct[What was resident doing prior to fall?],$B49))</f>
        <v>0</v>
      </c>
      <c r="Q49" s="119">
        <f>IF($B49="","",COUNTIFS(Nov[What was resident doing prior to fall?],$B49))</f>
        <v>0</v>
      </c>
      <c r="R49" s="119">
        <f>IF($B49="","",COUNTIFS(Dec[What was resident doing prior to fall?],$B49))</f>
        <v>0</v>
      </c>
      <c r="S49" s="85">
        <f t="shared" si="5"/>
        <v>0</v>
      </c>
    </row>
    <row r="50" spans="2:19" x14ac:dyDescent="0.25">
      <c r="B50" s="116" t="str">
        <v>Other activity</v>
      </c>
      <c r="C50" s="117"/>
      <c r="D50" s="117"/>
      <c r="E50" s="117"/>
      <c r="F50" s="118"/>
      <c r="G50" s="119">
        <f>IF($B50="","",COUNTIFS(Jan[What was resident doing prior to fall?],$B50))</f>
        <v>0</v>
      </c>
      <c r="H50" s="119">
        <f>IF($B50="","",COUNTIFS(Feb[What was resident doing prior to fall?],$B50))</f>
        <v>0</v>
      </c>
      <c r="I50" s="119">
        <f>IF($B50="","",COUNTIFS(Mar[What was resident doing prior to fall?],$B50))</f>
        <v>0</v>
      </c>
      <c r="J50" s="119">
        <f>IF($B50="","",COUNTIFS(Apr[What was resident doing prior to fall?],$B50))</f>
        <v>0</v>
      </c>
      <c r="K50" s="119">
        <f>IF($B50="","",COUNTIFS(May[What was resident doing prior to fall?],$B50))</f>
        <v>0</v>
      </c>
      <c r="L50" s="119">
        <f>IF($B50="","",COUNTIFS(June[What was resident doing prior to fall?],$B50))</f>
        <v>0</v>
      </c>
      <c r="M50" s="119">
        <f>IF($B50="","",COUNTIFS(July[What was resident doing prior to fall?],$B50))</f>
        <v>0</v>
      </c>
      <c r="N50" s="119">
        <f>IF($B50="","",COUNTIFS(Aug[What was resident doing prior to fall?],$B50))</f>
        <v>0</v>
      </c>
      <c r="O50" s="119">
        <f>IF($B50="","",COUNTIFS(Sept[What was resident doing prior to fall?],$B50))</f>
        <v>0</v>
      </c>
      <c r="P50" s="119">
        <f>IF($B50="","",COUNTIFS(Oct[What was resident doing prior to fall?],$B50))</f>
        <v>0</v>
      </c>
      <c r="Q50" s="119">
        <f>IF($B50="","",COUNTIFS(Nov[What was resident doing prior to fall?],$B50))</f>
        <v>0</v>
      </c>
      <c r="R50" s="119">
        <f>IF($B50="","",COUNTIFS(Dec[What was resident doing prior to fall?],$B50))</f>
        <v>0</v>
      </c>
      <c r="S50" s="85">
        <f t="shared" si="5"/>
        <v>0</v>
      </c>
    </row>
    <row r="51" spans="2:19" x14ac:dyDescent="0.25">
      <c r="B51" s="116" t="str">
        <v>Reaching for an item</v>
      </c>
      <c r="C51" s="117"/>
      <c r="D51" s="117"/>
      <c r="E51" s="117"/>
      <c r="F51" s="118"/>
      <c r="G51" s="119">
        <f>IF($B51="","",COUNTIFS(Jan[What was resident doing prior to fall?],$B51))</f>
        <v>0</v>
      </c>
      <c r="H51" s="119">
        <f>IF($B51="","",COUNTIFS(Feb[What was resident doing prior to fall?],$B51))</f>
        <v>0</v>
      </c>
      <c r="I51" s="119">
        <f>IF($B51="","",COUNTIFS(Mar[What was resident doing prior to fall?],$B51))</f>
        <v>0</v>
      </c>
      <c r="J51" s="119">
        <f>IF($B51="","",COUNTIFS(Apr[What was resident doing prior to fall?],$B51))</f>
        <v>0</v>
      </c>
      <c r="K51" s="119">
        <f>IF($B51="","",COUNTIFS(May[What was resident doing prior to fall?],$B51))</f>
        <v>0</v>
      </c>
      <c r="L51" s="119">
        <f>IF($B51="","",COUNTIFS(June[What was resident doing prior to fall?],$B51))</f>
        <v>0</v>
      </c>
      <c r="M51" s="119">
        <f>IF($B51="","",COUNTIFS(July[What was resident doing prior to fall?],$B51))</f>
        <v>0</v>
      </c>
      <c r="N51" s="119">
        <f>IF($B51="","",COUNTIFS(Aug[What was resident doing prior to fall?],$B51))</f>
        <v>0</v>
      </c>
      <c r="O51" s="119">
        <f>IF($B51="","",COUNTIFS(Sept[What was resident doing prior to fall?],$B51))</f>
        <v>0</v>
      </c>
      <c r="P51" s="119">
        <f>IF($B51="","",COUNTIFS(Oct[What was resident doing prior to fall?],$B51))</f>
        <v>0</v>
      </c>
      <c r="Q51" s="119">
        <f>IF($B51="","",COUNTIFS(Nov[What was resident doing prior to fall?],$B51))</f>
        <v>0</v>
      </c>
      <c r="R51" s="119">
        <f>IF($B51="","",COUNTIFS(Dec[What was resident doing prior to fall?],$B51))</f>
        <v>0</v>
      </c>
      <c r="S51" s="85">
        <f t="shared" si="5"/>
        <v>0</v>
      </c>
    </row>
    <row r="52" spans="2:19" x14ac:dyDescent="0.25">
      <c r="B52" s="116" t="str">
        <v>Showering or bathing</v>
      </c>
      <c r="C52" s="117"/>
      <c r="D52" s="117"/>
      <c r="E52" s="117"/>
      <c r="F52" s="118"/>
      <c r="G52" s="119">
        <f>IF($B52="","",COUNTIFS(Jan[What was resident doing prior to fall?],$B52))</f>
        <v>0</v>
      </c>
      <c r="H52" s="119">
        <f>IF($B52="","",COUNTIFS(Feb[What was resident doing prior to fall?],$B52))</f>
        <v>0</v>
      </c>
      <c r="I52" s="119">
        <f>IF($B52="","",COUNTIFS(Mar[What was resident doing prior to fall?],$B52))</f>
        <v>0</v>
      </c>
      <c r="J52" s="119">
        <f>IF($B52="","",COUNTIFS(Apr[What was resident doing prior to fall?],$B52))</f>
        <v>0</v>
      </c>
      <c r="K52" s="119">
        <f>IF($B52="","",COUNTIFS(May[What was resident doing prior to fall?],$B52))</f>
        <v>0</v>
      </c>
      <c r="L52" s="119">
        <f>IF($B52="","",COUNTIFS(June[What was resident doing prior to fall?],$B52))</f>
        <v>0</v>
      </c>
      <c r="M52" s="119">
        <f>IF($B52="","",COUNTIFS(July[What was resident doing prior to fall?],$B52))</f>
        <v>0</v>
      </c>
      <c r="N52" s="119">
        <f>IF($B52="","",COUNTIFS(Aug[What was resident doing prior to fall?],$B52))</f>
        <v>0</v>
      </c>
      <c r="O52" s="119">
        <f>IF($B52="","",COUNTIFS(Sept[What was resident doing prior to fall?],$B52))</f>
        <v>0</v>
      </c>
      <c r="P52" s="119">
        <f>IF($B52="","",COUNTIFS(Oct[What was resident doing prior to fall?],$B52))</f>
        <v>0</v>
      </c>
      <c r="Q52" s="119">
        <f>IF($B52="","",COUNTIFS(Nov[What was resident doing prior to fall?],$B52))</f>
        <v>0</v>
      </c>
      <c r="R52" s="119">
        <f>IF($B52="","",COUNTIFS(Dec[What was resident doing prior to fall?],$B52))</f>
        <v>0</v>
      </c>
      <c r="S52" s="85">
        <f t="shared" si="5"/>
        <v>0</v>
      </c>
    </row>
    <row r="53" spans="2:19" x14ac:dyDescent="0.25">
      <c r="B53" s="116" t="str">
        <v>Toileting</v>
      </c>
      <c r="C53" s="117"/>
      <c r="D53" s="117"/>
      <c r="E53" s="117"/>
      <c r="F53" s="118"/>
      <c r="G53" s="119">
        <f>IF($B53="","",COUNTIFS(Jan[What was resident doing prior to fall?],$B53))</f>
        <v>0</v>
      </c>
      <c r="H53" s="119">
        <f>IF($B53="","",COUNTIFS(Feb[What was resident doing prior to fall?],$B53))</f>
        <v>0</v>
      </c>
      <c r="I53" s="119">
        <f>IF($B53="","",COUNTIFS(Mar[What was resident doing prior to fall?],$B53))</f>
        <v>0</v>
      </c>
      <c r="J53" s="119">
        <f>IF($B53="","",COUNTIFS(Apr[What was resident doing prior to fall?],$B53))</f>
        <v>0</v>
      </c>
      <c r="K53" s="119">
        <f>IF($B53="","",COUNTIFS(May[What was resident doing prior to fall?],$B53))</f>
        <v>0</v>
      </c>
      <c r="L53" s="119">
        <f>IF($B53="","",COUNTIFS(June[What was resident doing prior to fall?],$B53))</f>
        <v>0</v>
      </c>
      <c r="M53" s="119">
        <f>IF($B53="","",COUNTIFS(July[What was resident doing prior to fall?],$B53))</f>
        <v>0</v>
      </c>
      <c r="N53" s="119">
        <f>IF($B53="","",COUNTIFS(Aug[What was resident doing prior to fall?],$B53))</f>
        <v>0</v>
      </c>
      <c r="O53" s="119">
        <f>IF($B53="","",COUNTIFS(Sept[What was resident doing prior to fall?],$B53))</f>
        <v>0</v>
      </c>
      <c r="P53" s="119">
        <f>IF($B53="","",COUNTIFS(Oct[What was resident doing prior to fall?],$B53))</f>
        <v>0</v>
      </c>
      <c r="Q53" s="119">
        <f>IF($B53="","",COUNTIFS(Nov[What was resident doing prior to fall?],$B53))</f>
        <v>0</v>
      </c>
      <c r="R53" s="119">
        <f>IF($B53="","",COUNTIFS(Dec[What was resident doing prior to fall?],$B53))</f>
        <v>0</v>
      </c>
      <c r="S53" s="85">
        <f t="shared" si="5"/>
        <v>0</v>
      </c>
    </row>
    <row r="54" spans="2:19" x14ac:dyDescent="0.25">
      <c r="B54" s="116" t="str">
        <v>Transferring to or from bed, chair, wheelchair, etc.</v>
      </c>
      <c r="C54" s="117"/>
      <c r="D54" s="117"/>
      <c r="E54" s="117"/>
      <c r="F54" s="118"/>
      <c r="G54" s="119">
        <f>IF($B54="","",COUNTIFS(Jan[What was resident doing prior to fall?],$B54))</f>
        <v>0</v>
      </c>
      <c r="H54" s="119">
        <f>IF($B54="","",COUNTIFS(Feb[What was resident doing prior to fall?],$B54))</f>
        <v>0</v>
      </c>
      <c r="I54" s="119">
        <f>IF($B54="","",COUNTIFS(Mar[What was resident doing prior to fall?],$B54))</f>
        <v>0</v>
      </c>
      <c r="J54" s="119">
        <f>IF($B54="","",COUNTIFS(Apr[What was resident doing prior to fall?],$B54))</f>
        <v>0</v>
      </c>
      <c r="K54" s="119">
        <f>IF($B54="","",COUNTIFS(May[What was resident doing prior to fall?],$B54))</f>
        <v>0</v>
      </c>
      <c r="L54" s="119">
        <f>IF($B54="","",COUNTIFS(June[What was resident doing prior to fall?],$B54))</f>
        <v>0</v>
      </c>
      <c r="M54" s="119">
        <f>IF($B54="","",COUNTIFS(July[What was resident doing prior to fall?],$B54))</f>
        <v>0</v>
      </c>
      <c r="N54" s="119">
        <f>IF($B54="","",COUNTIFS(Aug[What was resident doing prior to fall?],$B54))</f>
        <v>0</v>
      </c>
      <c r="O54" s="119">
        <f>IF($B54="","",COUNTIFS(Sept[What was resident doing prior to fall?],$B54))</f>
        <v>0</v>
      </c>
      <c r="P54" s="119">
        <f>IF($B54="","",COUNTIFS(Oct[What was resident doing prior to fall?],$B54))</f>
        <v>0</v>
      </c>
      <c r="Q54" s="119">
        <f>IF($B54="","",COUNTIFS(Nov[What was resident doing prior to fall?],$B54))</f>
        <v>0</v>
      </c>
      <c r="R54" s="119">
        <f>IF($B54="","",COUNTIFS(Dec[What was resident doing prior to fall?],$B54))</f>
        <v>0</v>
      </c>
      <c r="S54" s="85">
        <f t="shared" si="5"/>
        <v>0</v>
      </c>
    </row>
    <row r="55" spans="2:19" x14ac:dyDescent="0.25">
      <c r="B55" s="116" t="str">
        <v>Unknown</v>
      </c>
      <c r="C55" s="117"/>
      <c r="D55" s="117"/>
      <c r="E55" s="117"/>
      <c r="F55" s="118"/>
      <c r="G55" s="119">
        <f>IF($B55="","",COUNTIFS(Jan[What was resident doing prior to fall?],$B55))</f>
        <v>0</v>
      </c>
      <c r="H55" s="119">
        <f>IF($B55="","",COUNTIFS(Feb[What was resident doing prior to fall?],$B55))</f>
        <v>0</v>
      </c>
      <c r="I55" s="119">
        <f>IF($B55="","",COUNTIFS(Mar[What was resident doing prior to fall?],$B55))</f>
        <v>0</v>
      </c>
      <c r="J55" s="119">
        <f>IF($B55="","",COUNTIFS(Apr[What was resident doing prior to fall?],$B55))</f>
        <v>0</v>
      </c>
      <c r="K55" s="119">
        <f>IF($B55="","",COUNTIFS(May[What was resident doing prior to fall?],$B55))</f>
        <v>0</v>
      </c>
      <c r="L55" s="119">
        <f>IF($B55="","",COUNTIFS(June[What was resident doing prior to fall?],$B55))</f>
        <v>0</v>
      </c>
      <c r="M55" s="119">
        <f>IF($B55="","",COUNTIFS(July[What was resident doing prior to fall?],$B55))</f>
        <v>0</v>
      </c>
      <c r="N55" s="119">
        <f>IF($B55="","",COUNTIFS(Aug[What was resident doing prior to fall?],$B55))</f>
        <v>0</v>
      </c>
      <c r="O55" s="119">
        <f>IF($B55="","",COUNTIFS(Sept[What was resident doing prior to fall?],$B55))</f>
        <v>0</v>
      </c>
      <c r="P55" s="119">
        <f>IF($B55="","",COUNTIFS(Oct[What was resident doing prior to fall?],$B55))</f>
        <v>0</v>
      </c>
      <c r="Q55" s="119">
        <f>IF($B55="","",COUNTIFS(Nov[What was resident doing prior to fall?],$B55))</f>
        <v>0</v>
      </c>
      <c r="R55" s="119">
        <f>IF($B55="","",COUNTIFS(Dec[What was resident doing prior to fall?],$B55))</f>
        <v>0</v>
      </c>
      <c r="S55" s="85">
        <f t="shared" si="5"/>
        <v>0</v>
      </c>
    </row>
    <row r="56" spans="2:19" x14ac:dyDescent="0.25">
      <c r="B56" s="116" t="str">
        <v/>
      </c>
      <c r="C56" s="117"/>
      <c r="D56" s="117"/>
      <c r="E56" s="117"/>
      <c r="F56" s="118"/>
      <c r="G56" s="119" t="str">
        <f>IF($B56="","",COUNTIFS(Jan[What was resident doing prior to fall?],$B56))</f>
        <v/>
      </c>
      <c r="H56" s="119" t="str">
        <f>IF($B56="","",COUNTIFS(Feb[What was resident doing prior to fall?],$B56))</f>
        <v/>
      </c>
      <c r="I56" s="119" t="str">
        <f>IF($B56="","",COUNTIFS(Mar[What was resident doing prior to fall?],$B56))</f>
        <v/>
      </c>
      <c r="J56" s="119" t="str">
        <f>IF($B56="","",COUNTIFS(Apr[What was resident doing prior to fall?],$B56))</f>
        <v/>
      </c>
      <c r="K56" s="119" t="str">
        <f>IF($B56="","",COUNTIFS(May[What was resident doing prior to fall?],$B56))</f>
        <v/>
      </c>
      <c r="L56" s="119" t="str">
        <f>IF($B56="","",COUNTIFS(June[What was resident doing prior to fall?],$B56))</f>
        <v/>
      </c>
      <c r="M56" s="119" t="str">
        <f>IF($B56="","",COUNTIFS(July[What was resident doing prior to fall?],$B56))</f>
        <v/>
      </c>
      <c r="N56" s="119" t="str">
        <f>IF($B56="","",COUNTIFS(Aug[What was resident doing prior to fall?],$B56))</f>
        <v/>
      </c>
      <c r="O56" s="119" t="str">
        <f>IF($B56="","",COUNTIFS(Sept[What was resident doing prior to fall?],$B56))</f>
        <v/>
      </c>
      <c r="P56" s="119" t="str">
        <f>IF($B56="","",COUNTIFS(Oct[What was resident doing prior to fall?],$B56))</f>
        <v/>
      </c>
      <c r="Q56" s="119" t="str">
        <f>IF($B56="","",COUNTIFS(Nov[What was resident doing prior to fall?],$B56))</f>
        <v/>
      </c>
      <c r="R56" s="119" t="str">
        <f>IF($B56="","",COUNTIFS(Dec[What was resident doing prior to fall?],$B56))</f>
        <v/>
      </c>
      <c r="S56" s="85" t="str">
        <f t="shared" si="5"/>
        <v/>
      </c>
    </row>
    <row r="57" spans="2:19" x14ac:dyDescent="0.25">
      <c r="B57" s="116" t="str">
        <v/>
      </c>
      <c r="C57" s="117"/>
      <c r="D57" s="117"/>
      <c r="E57" s="117"/>
      <c r="F57" s="118"/>
      <c r="G57" s="119" t="str">
        <f>IF($B57="","",COUNTIFS(Jan[What was resident doing prior to fall?],$B57))</f>
        <v/>
      </c>
      <c r="H57" s="119" t="str">
        <f>IF($B57="","",COUNTIFS(Feb[What was resident doing prior to fall?],$B57))</f>
        <v/>
      </c>
      <c r="I57" s="119" t="str">
        <f>IF($B57="","",COUNTIFS(Mar[What was resident doing prior to fall?],$B57))</f>
        <v/>
      </c>
      <c r="J57" s="119" t="str">
        <f>IF($B57="","",COUNTIFS(Apr[What was resident doing prior to fall?],$B57))</f>
        <v/>
      </c>
      <c r="K57" s="119" t="str">
        <f>IF($B57="","",COUNTIFS(May[What was resident doing prior to fall?],$B57))</f>
        <v/>
      </c>
      <c r="L57" s="119" t="str">
        <f>IF($B57="","",COUNTIFS(June[What was resident doing prior to fall?],$B57))</f>
        <v/>
      </c>
      <c r="M57" s="119" t="str">
        <f>IF($B57="","",COUNTIFS(July[What was resident doing prior to fall?],$B57))</f>
        <v/>
      </c>
      <c r="N57" s="119" t="str">
        <f>IF($B57="","",COUNTIFS(Aug[What was resident doing prior to fall?],$B57))</f>
        <v/>
      </c>
      <c r="O57" s="119" t="str">
        <f>IF($B57="","",COUNTIFS(Sept[What was resident doing prior to fall?],$B57))</f>
        <v/>
      </c>
      <c r="P57" s="119" t="str">
        <f>IF($B57="","",COUNTIFS(Oct[What was resident doing prior to fall?],$B57))</f>
        <v/>
      </c>
      <c r="Q57" s="119" t="str">
        <f>IF($B57="","",COUNTIFS(Nov[What was resident doing prior to fall?],$B57))</f>
        <v/>
      </c>
      <c r="R57" s="119" t="str">
        <f>IF($B57="","",COUNTIFS(Dec[What was resident doing prior to fall?],$B57))</f>
        <v/>
      </c>
      <c r="S57" s="85" t="str">
        <f t="shared" si="5"/>
        <v/>
      </c>
    </row>
    <row r="58" spans="2:19" x14ac:dyDescent="0.25">
      <c r="B58" s="116" t="str">
        <v/>
      </c>
      <c r="C58" s="117"/>
      <c r="D58" s="117"/>
      <c r="E58" s="117"/>
      <c r="F58" s="118"/>
      <c r="G58" s="119" t="str">
        <f>IF($B58="","",COUNTIFS(Jan[What was resident doing prior to fall?],$B58))</f>
        <v/>
      </c>
      <c r="H58" s="119" t="str">
        <f>IF($B58="","",COUNTIFS(Feb[What was resident doing prior to fall?],$B58))</f>
        <v/>
      </c>
      <c r="I58" s="119" t="str">
        <f>IF($B58="","",COUNTIFS(Mar[What was resident doing prior to fall?],$B58))</f>
        <v/>
      </c>
      <c r="J58" s="119" t="str">
        <f>IF($B58="","",COUNTIFS(Apr[What was resident doing prior to fall?],$B58))</f>
        <v/>
      </c>
      <c r="K58" s="119" t="str">
        <f>IF($B58="","",COUNTIFS(May[What was resident doing prior to fall?],$B58))</f>
        <v/>
      </c>
      <c r="L58" s="119" t="str">
        <f>IF($B58="","",COUNTIFS(June[What was resident doing prior to fall?],$B58))</f>
        <v/>
      </c>
      <c r="M58" s="119" t="str">
        <f>IF($B58="","",COUNTIFS(July[What was resident doing prior to fall?],$B58))</f>
        <v/>
      </c>
      <c r="N58" s="119" t="str">
        <f>IF($B58="","",COUNTIFS(Aug[What was resident doing prior to fall?],$B58))</f>
        <v/>
      </c>
      <c r="O58" s="119" t="str">
        <f>IF($B58="","",COUNTIFS(Sept[What was resident doing prior to fall?],$B58))</f>
        <v/>
      </c>
      <c r="P58" s="119" t="str">
        <f>IF($B58="","",COUNTIFS(Oct[What was resident doing prior to fall?],$B58))</f>
        <v/>
      </c>
      <c r="Q58" s="119" t="str">
        <f>IF($B58="","",COUNTIFS(Nov[What was resident doing prior to fall?],$B58))</f>
        <v/>
      </c>
      <c r="R58" s="119" t="str">
        <f>IF($B58="","",COUNTIFS(Dec[What was resident doing prior to fall?],$B58))</f>
        <v/>
      </c>
      <c r="S58" s="85" t="str">
        <f t="shared" si="5"/>
        <v/>
      </c>
    </row>
    <row r="59" spans="2:19" x14ac:dyDescent="0.25">
      <c r="B59" s="116" t="str">
        <v/>
      </c>
      <c r="C59" s="117"/>
      <c r="D59" s="117"/>
      <c r="E59" s="117"/>
      <c r="F59" s="118"/>
      <c r="G59" s="119" t="str">
        <f>IF($B59="","",COUNTIFS(Jan[What was resident doing prior to fall?],$B59))</f>
        <v/>
      </c>
      <c r="H59" s="119" t="str">
        <f>IF($B59="","",COUNTIFS(Feb[What was resident doing prior to fall?],$B59))</f>
        <v/>
      </c>
      <c r="I59" s="119" t="str">
        <f>IF($B59="","",COUNTIFS(Mar[What was resident doing prior to fall?],$B59))</f>
        <v/>
      </c>
      <c r="J59" s="119" t="str">
        <f>IF($B59="","",COUNTIFS(Apr[What was resident doing prior to fall?],$B59))</f>
        <v/>
      </c>
      <c r="K59" s="119" t="str">
        <f>IF($B59="","",COUNTIFS(May[What was resident doing prior to fall?],$B59))</f>
        <v/>
      </c>
      <c r="L59" s="119" t="str">
        <f>IF($B59="","",COUNTIFS(June[What was resident doing prior to fall?],$B59))</f>
        <v/>
      </c>
      <c r="M59" s="119" t="str">
        <f>IF($B59="","",COUNTIFS(July[What was resident doing prior to fall?],$B59))</f>
        <v/>
      </c>
      <c r="N59" s="119" t="str">
        <f>IF($B59="","",COUNTIFS(Aug[What was resident doing prior to fall?],$B59))</f>
        <v/>
      </c>
      <c r="O59" s="119" t="str">
        <f>IF($B59="","",COUNTIFS(Sept[What was resident doing prior to fall?],$B59))</f>
        <v/>
      </c>
      <c r="P59" s="119" t="str">
        <f>IF($B59="","",COUNTIFS(Oct[What was resident doing prior to fall?],$B59))</f>
        <v/>
      </c>
      <c r="Q59" s="119" t="str">
        <f>IF($B59="","",COUNTIFS(Nov[What was resident doing prior to fall?],$B59))</f>
        <v/>
      </c>
      <c r="R59" s="119" t="str">
        <f>IF($B59="","",COUNTIFS(Dec[What was resident doing prior to fall?],$B59))</f>
        <v/>
      </c>
      <c r="S59" s="85" t="str">
        <f t="shared" si="5"/>
        <v/>
      </c>
    </row>
    <row r="60" spans="2:19" x14ac:dyDescent="0.25">
      <c r="B60" s="116" t="str">
        <v/>
      </c>
      <c r="C60" s="117"/>
      <c r="D60" s="117"/>
      <c r="E60" s="117"/>
      <c r="F60" s="118"/>
      <c r="G60" s="119" t="str">
        <f>IF($B60="","",COUNTIFS(Jan[What was resident doing prior to fall?],$B60))</f>
        <v/>
      </c>
      <c r="H60" s="119" t="str">
        <f>IF($B60="","",COUNTIFS(Feb[What was resident doing prior to fall?],$B60))</f>
        <v/>
      </c>
      <c r="I60" s="119" t="str">
        <f>IF($B60="","",COUNTIFS(Mar[What was resident doing prior to fall?],$B60))</f>
        <v/>
      </c>
      <c r="J60" s="119" t="str">
        <f>IF($B60="","",COUNTIFS(Apr[What was resident doing prior to fall?],$B60))</f>
        <v/>
      </c>
      <c r="K60" s="119" t="str">
        <f>IF($B60="","",COUNTIFS(May[What was resident doing prior to fall?],$B60))</f>
        <v/>
      </c>
      <c r="L60" s="119" t="str">
        <f>IF($B60="","",COUNTIFS(June[What was resident doing prior to fall?],$B60))</f>
        <v/>
      </c>
      <c r="M60" s="119" t="str">
        <f>IF($B60="","",COUNTIFS(July[What was resident doing prior to fall?],$B60))</f>
        <v/>
      </c>
      <c r="N60" s="119" t="str">
        <f>IF($B60="","",COUNTIFS(Aug[What was resident doing prior to fall?],$B60))</f>
        <v/>
      </c>
      <c r="O60" s="119" t="str">
        <f>IF($B60="","",COUNTIFS(Sept[What was resident doing prior to fall?],$B60))</f>
        <v/>
      </c>
      <c r="P60" s="119" t="str">
        <f>IF($B60="","",COUNTIFS(Oct[What was resident doing prior to fall?],$B60))</f>
        <v/>
      </c>
      <c r="Q60" s="119" t="str">
        <f>IF($B60="","",COUNTIFS(Nov[What was resident doing prior to fall?],$B60))</f>
        <v/>
      </c>
      <c r="R60" s="119" t="str">
        <f>IF($B60="","",COUNTIFS(Dec[What was resident doing prior to fall?],$B60))</f>
        <v/>
      </c>
      <c r="S60" s="85" t="str">
        <f t="shared" si="5"/>
        <v/>
      </c>
    </row>
    <row r="61" spans="2:19" x14ac:dyDescent="0.25">
      <c r="B61" s="116" t="str">
        <v/>
      </c>
      <c r="C61" s="117"/>
      <c r="D61" s="117"/>
      <c r="E61" s="117"/>
      <c r="F61" s="118"/>
      <c r="G61" s="119" t="str">
        <f>IF($B61="","",COUNTIFS(Jan[What was resident doing prior to fall?],$B61))</f>
        <v/>
      </c>
      <c r="H61" s="119" t="str">
        <f>IF($B61="","",COUNTIFS(Feb[What was resident doing prior to fall?],$B61))</f>
        <v/>
      </c>
      <c r="I61" s="119" t="str">
        <f>IF($B61="","",COUNTIFS(Mar[What was resident doing prior to fall?],$B61))</f>
        <v/>
      </c>
      <c r="J61" s="119" t="str">
        <f>IF($B61="","",COUNTIFS(Apr[What was resident doing prior to fall?],$B61))</f>
        <v/>
      </c>
      <c r="K61" s="119" t="str">
        <f>IF($B61="","",COUNTIFS(May[What was resident doing prior to fall?],$B61))</f>
        <v/>
      </c>
      <c r="L61" s="119" t="str">
        <f>IF($B61="","",COUNTIFS(June[What was resident doing prior to fall?],$B61))</f>
        <v/>
      </c>
      <c r="M61" s="119" t="str">
        <f>IF($B61="","",COUNTIFS(July[What was resident doing prior to fall?],$B61))</f>
        <v/>
      </c>
      <c r="N61" s="119" t="str">
        <f>IF($B61="","",COUNTIFS(Aug[What was resident doing prior to fall?],$B61))</f>
        <v/>
      </c>
      <c r="O61" s="119" t="str">
        <f>IF($B61="","",COUNTIFS(Sept[What was resident doing prior to fall?],$B61))</f>
        <v/>
      </c>
      <c r="P61" s="119" t="str">
        <f>IF($B61="","",COUNTIFS(Oct[What was resident doing prior to fall?],$B61))</f>
        <v/>
      </c>
      <c r="Q61" s="119" t="str">
        <f>IF($B61="","",COUNTIFS(Nov[What was resident doing prior to fall?],$B61))</f>
        <v/>
      </c>
      <c r="R61" s="119" t="str">
        <f>IF($B61="","",COUNTIFS(Dec[What was resident doing prior to fall?],$B61))</f>
        <v/>
      </c>
      <c r="S61" s="85" t="str">
        <f t="shared" si="5"/>
        <v/>
      </c>
    </row>
    <row r="62" spans="2:19" x14ac:dyDescent="0.25">
      <c r="B62" s="116" t="str">
        <v/>
      </c>
      <c r="C62" s="117"/>
      <c r="D62" s="117"/>
      <c r="E62" s="117"/>
      <c r="F62" s="118"/>
      <c r="G62" s="119" t="str">
        <f>IF($B62="","",COUNTIFS(Jan[What was resident doing prior to fall?],$B62))</f>
        <v/>
      </c>
      <c r="H62" s="119" t="str">
        <f>IF($B62="","",COUNTIFS(Feb[What was resident doing prior to fall?],$B62))</f>
        <v/>
      </c>
      <c r="I62" s="119" t="str">
        <f>IF($B62="","",COUNTIFS(Mar[What was resident doing prior to fall?],$B62))</f>
        <v/>
      </c>
      <c r="J62" s="119" t="str">
        <f>IF($B62="","",COUNTIFS(Apr[What was resident doing prior to fall?],$B62))</f>
        <v/>
      </c>
      <c r="K62" s="119" t="str">
        <f>IF($B62="","",COUNTIFS(May[What was resident doing prior to fall?],$B62))</f>
        <v/>
      </c>
      <c r="L62" s="119" t="str">
        <f>IF($B62="","",COUNTIFS(June[What was resident doing prior to fall?],$B62))</f>
        <v/>
      </c>
      <c r="M62" s="119" t="str">
        <f>IF($B62="","",COUNTIFS(July[What was resident doing prior to fall?],$B62))</f>
        <v/>
      </c>
      <c r="N62" s="119" t="str">
        <f>IF($B62="","",COUNTIFS(Aug[What was resident doing prior to fall?],$B62))</f>
        <v/>
      </c>
      <c r="O62" s="119" t="str">
        <f>IF($B62="","",COUNTIFS(Sept[What was resident doing prior to fall?],$B62))</f>
        <v/>
      </c>
      <c r="P62" s="119" t="str">
        <f>IF($B62="","",COUNTIFS(Oct[What was resident doing prior to fall?],$B62))</f>
        <v/>
      </c>
      <c r="Q62" s="119" t="str">
        <f>IF($B62="","",COUNTIFS(Nov[What was resident doing prior to fall?],$B62))</f>
        <v/>
      </c>
      <c r="R62" s="119" t="str">
        <f>IF($B62="","",COUNTIFS(Dec[What was resident doing prior to fall?],$B62))</f>
        <v/>
      </c>
      <c r="S62" s="85" t="str">
        <f t="shared" si="5"/>
        <v/>
      </c>
    </row>
    <row r="63" spans="2:19" x14ac:dyDescent="0.25">
      <c r="B63" s="116" t="str">
        <v/>
      </c>
      <c r="C63" s="117"/>
      <c r="D63" s="117"/>
      <c r="E63" s="117"/>
      <c r="F63" s="118"/>
      <c r="G63" s="119" t="str">
        <f>IF($B63="","",COUNTIFS(Jan[What was resident doing prior to fall?],$B63))</f>
        <v/>
      </c>
      <c r="H63" s="119" t="str">
        <f>IF($B63="","",COUNTIFS(Feb[What was resident doing prior to fall?],$B63))</f>
        <v/>
      </c>
      <c r="I63" s="119" t="str">
        <f>IF($B63="","",COUNTIFS(Mar[What was resident doing prior to fall?],$B63))</f>
        <v/>
      </c>
      <c r="J63" s="119" t="str">
        <f>IF($B63="","",COUNTIFS(Apr[What was resident doing prior to fall?],$B63))</f>
        <v/>
      </c>
      <c r="K63" s="119" t="str">
        <f>IF($B63="","",COUNTIFS(May[What was resident doing prior to fall?],$B63))</f>
        <v/>
      </c>
      <c r="L63" s="119" t="str">
        <f>IF($B63="","",COUNTIFS(June[What was resident doing prior to fall?],$B63))</f>
        <v/>
      </c>
      <c r="M63" s="119" t="str">
        <f>IF($B63="","",COUNTIFS(July[What was resident doing prior to fall?],$B63))</f>
        <v/>
      </c>
      <c r="N63" s="119" t="str">
        <f>IF($B63="","",COUNTIFS(Aug[What was resident doing prior to fall?],$B63))</f>
        <v/>
      </c>
      <c r="O63" s="119" t="str">
        <f>IF($B63="","",COUNTIFS(Sept[What was resident doing prior to fall?],$B63))</f>
        <v/>
      </c>
      <c r="P63" s="119" t="str">
        <f>IF($B63="","",COUNTIFS(Oct[What was resident doing prior to fall?],$B63))</f>
        <v/>
      </c>
      <c r="Q63" s="119" t="str">
        <f>IF($B63="","",COUNTIFS(Nov[What was resident doing prior to fall?],$B63))</f>
        <v/>
      </c>
      <c r="R63" s="119" t="str">
        <f>IF($B63="","",COUNTIFS(Dec[What was resident doing prior to fall?],$B63))</f>
        <v/>
      </c>
      <c r="S63" s="85" t="str">
        <f t="shared" si="5"/>
        <v/>
      </c>
    </row>
    <row r="64" spans="2:19" x14ac:dyDescent="0.25">
      <c r="B64" s="116" t="str">
        <v/>
      </c>
      <c r="C64" s="117"/>
      <c r="D64" s="117"/>
      <c r="E64" s="117"/>
      <c r="F64" s="118"/>
      <c r="G64" s="119" t="str">
        <f>IF($B64="","",COUNTIFS(Jan[What was resident doing prior to fall?],$B64))</f>
        <v/>
      </c>
      <c r="H64" s="119" t="str">
        <f>IF($B64="","",COUNTIFS(Feb[What was resident doing prior to fall?],$B64))</f>
        <v/>
      </c>
      <c r="I64" s="119" t="str">
        <f>IF($B64="","",COUNTIFS(Mar[What was resident doing prior to fall?],$B64))</f>
        <v/>
      </c>
      <c r="J64" s="119" t="str">
        <f>IF($B64="","",COUNTIFS(Apr[What was resident doing prior to fall?],$B64))</f>
        <v/>
      </c>
      <c r="K64" s="119" t="str">
        <f>IF($B64="","",COUNTIFS(May[What was resident doing prior to fall?],$B64))</f>
        <v/>
      </c>
      <c r="L64" s="119" t="str">
        <f>IF($B64="","",COUNTIFS(June[What was resident doing prior to fall?],$B64))</f>
        <v/>
      </c>
      <c r="M64" s="119" t="str">
        <f>IF($B64="","",COUNTIFS(July[What was resident doing prior to fall?],$B64))</f>
        <v/>
      </c>
      <c r="N64" s="119" t="str">
        <f>IF($B64="","",COUNTIFS(Aug[What was resident doing prior to fall?],$B64))</f>
        <v/>
      </c>
      <c r="O64" s="119" t="str">
        <f>IF($B64="","",COUNTIFS(Sept[What was resident doing prior to fall?],$B64))</f>
        <v/>
      </c>
      <c r="P64" s="119" t="str">
        <f>IF($B64="","",COUNTIFS(Oct[What was resident doing prior to fall?],$B64))</f>
        <v/>
      </c>
      <c r="Q64" s="119" t="str">
        <f>IF($B64="","",COUNTIFS(Nov[What was resident doing prior to fall?],$B64))</f>
        <v/>
      </c>
      <c r="R64" s="119" t="str">
        <f>IF($B64="","",COUNTIFS(Dec[What was resident doing prior to fall?],$B64))</f>
        <v/>
      </c>
      <c r="S64" s="85" t="str">
        <f t="shared" si="5"/>
        <v/>
      </c>
    </row>
    <row r="65" spans="1:19" x14ac:dyDescent="0.25">
      <c r="B65" s="116" t="str">
        <v/>
      </c>
      <c r="C65" s="117"/>
      <c r="D65" s="117"/>
      <c r="E65" s="117"/>
      <c r="F65" s="118"/>
      <c r="G65" s="119" t="str">
        <f>IF($B65="","",COUNTIFS(Jan[What was resident doing prior to fall?],$B65))</f>
        <v/>
      </c>
      <c r="H65" s="119" t="str">
        <f>IF($B65="","",COUNTIFS(Feb[What was resident doing prior to fall?],$B65))</f>
        <v/>
      </c>
      <c r="I65" s="119" t="str">
        <f>IF($B65="","",COUNTIFS(Mar[What was resident doing prior to fall?],$B65))</f>
        <v/>
      </c>
      <c r="J65" s="119" t="str">
        <f>IF($B65="","",COUNTIFS(Apr[What was resident doing prior to fall?],$B65))</f>
        <v/>
      </c>
      <c r="K65" s="119" t="str">
        <f>IF($B65="","",COUNTIFS(May[What was resident doing prior to fall?],$B65))</f>
        <v/>
      </c>
      <c r="L65" s="119" t="str">
        <f>IF($B65="","",COUNTIFS(June[What was resident doing prior to fall?],$B65))</f>
        <v/>
      </c>
      <c r="M65" s="119" t="str">
        <f>IF($B65="","",COUNTIFS(July[What was resident doing prior to fall?],$B65))</f>
        <v/>
      </c>
      <c r="N65" s="119" t="str">
        <f>IF($B65="","",COUNTIFS(Aug[What was resident doing prior to fall?],$B65))</f>
        <v/>
      </c>
      <c r="O65" s="119" t="str">
        <f>IF($B65="","",COUNTIFS(Sept[What was resident doing prior to fall?],$B65))</f>
        <v/>
      </c>
      <c r="P65" s="119" t="str">
        <f>IF($B65="","",COUNTIFS(Oct[What was resident doing prior to fall?],$B65))</f>
        <v/>
      </c>
      <c r="Q65" s="119" t="str">
        <f>IF($B65="","",COUNTIFS(Nov[What was resident doing prior to fall?],$B65))</f>
        <v/>
      </c>
      <c r="R65" s="119" t="str">
        <f>IF($B65="","",COUNTIFS(Dec[What was resident doing prior to fall?],$B65))</f>
        <v/>
      </c>
      <c r="S65" s="85" t="str">
        <f t="shared" si="5"/>
        <v/>
      </c>
    </row>
    <row r="66" spans="1:19" x14ac:dyDescent="0.25">
      <c r="B66" s="116" t="str">
        <v/>
      </c>
      <c r="C66" s="117"/>
      <c r="D66" s="117"/>
      <c r="E66" s="117"/>
      <c r="F66" s="118"/>
      <c r="G66" s="119" t="str">
        <f>IF($B66="","",COUNTIFS(Jan[What was resident doing prior to fall?],$B66))</f>
        <v/>
      </c>
      <c r="H66" s="119" t="str">
        <f>IF($B66="","",COUNTIFS(Feb[What was resident doing prior to fall?],$B66))</f>
        <v/>
      </c>
      <c r="I66" s="119" t="str">
        <f>IF($B66="","",COUNTIFS(Mar[What was resident doing prior to fall?],$B66))</f>
        <v/>
      </c>
      <c r="J66" s="119" t="str">
        <f>IF($B66="","",COUNTIFS(Apr[What was resident doing prior to fall?],$B66))</f>
        <v/>
      </c>
      <c r="K66" s="119" t="str">
        <f>IF($B66="","",COUNTIFS(May[What was resident doing prior to fall?],$B66))</f>
        <v/>
      </c>
      <c r="L66" s="119" t="str">
        <f>IF($B66="","",COUNTIFS(June[What was resident doing prior to fall?],$B66))</f>
        <v/>
      </c>
      <c r="M66" s="119" t="str">
        <f>IF($B66="","",COUNTIFS(July[What was resident doing prior to fall?],$B66))</f>
        <v/>
      </c>
      <c r="N66" s="119" t="str">
        <f>IF($B66="","",COUNTIFS(Aug[What was resident doing prior to fall?],$B66))</f>
        <v/>
      </c>
      <c r="O66" s="119" t="str">
        <f>IF($B66="","",COUNTIFS(Sept[What was resident doing prior to fall?],$B66))</f>
        <v/>
      </c>
      <c r="P66" s="119" t="str">
        <f>IF($B66="","",COUNTIFS(Oct[What was resident doing prior to fall?],$B66))</f>
        <v/>
      </c>
      <c r="Q66" s="119" t="str">
        <f>IF($B66="","",COUNTIFS(Nov[What was resident doing prior to fall?],$B66))</f>
        <v/>
      </c>
      <c r="R66" s="119" t="str">
        <f>IF($B66="","",COUNTIFS(Dec[What was resident doing prior to fall?],$B66))</f>
        <v/>
      </c>
      <c r="S66" s="85" t="str">
        <f t="shared" si="5"/>
        <v/>
      </c>
    </row>
    <row r="67" spans="1:19" x14ac:dyDescent="0.25">
      <c r="B67" s="116" t="str">
        <v/>
      </c>
      <c r="C67" s="117"/>
      <c r="D67" s="117"/>
      <c r="E67" s="117"/>
      <c r="F67" s="118"/>
      <c r="G67" s="119" t="str">
        <f>IF($B67="","",COUNTIFS(Jan[What was resident doing prior to fall?],$B67))</f>
        <v/>
      </c>
      <c r="H67" s="119" t="str">
        <f>IF($B67="","",COUNTIFS(Feb[What was resident doing prior to fall?],$B67))</f>
        <v/>
      </c>
      <c r="I67" s="119" t="str">
        <f>IF($B67="","",COUNTIFS(Mar[What was resident doing prior to fall?],$B67))</f>
        <v/>
      </c>
      <c r="J67" s="119" t="str">
        <f>IF($B67="","",COUNTIFS(Apr[What was resident doing prior to fall?],$B67))</f>
        <v/>
      </c>
      <c r="K67" s="119" t="str">
        <f>IF($B67="","",COUNTIFS(May[What was resident doing prior to fall?],$B67))</f>
        <v/>
      </c>
      <c r="L67" s="119" t="str">
        <f>IF($B67="","",COUNTIFS(June[What was resident doing prior to fall?],$B67))</f>
        <v/>
      </c>
      <c r="M67" s="119" t="str">
        <f>IF($B67="","",COUNTIFS(July[What was resident doing prior to fall?],$B67))</f>
        <v/>
      </c>
      <c r="N67" s="119" t="str">
        <f>IF($B67="","",COUNTIFS(Aug[What was resident doing prior to fall?],$B67))</f>
        <v/>
      </c>
      <c r="O67" s="119" t="str">
        <f>IF($B67="","",COUNTIFS(Sept[What was resident doing prior to fall?],$B67))</f>
        <v/>
      </c>
      <c r="P67" s="119" t="str">
        <f>IF($B67="","",COUNTIFS(Oct[What was resident doing prior to fall?],$B67))</f>
        <v/>
      </c>
      <c r="Q67" s="119" t="str">
        <f>IF($B67="","",COUNTIFS(Nov[What was resident doing prior to fall?],$B67))</f>
        <v/>
      </c>
      <c r="R67" s="119" t="str">
        <f>IF($B67="","",COUNTIFS(Dec[What was resident doing prior to fall?],$B67))</f>
        <v/>
      </c>
      <c r="S67" s="85" t="str">
        <f t="shared" si="5"/>
        <v/>
      </c>
    </row>
    <row r="68" spans="1:19" x14ac:dyDescent="0.25">
      <c r="B68" s="116" t="str">
        <v/>
      </c>
      <c r="C68" s="117"/>
      <c r="D68" s="117"/>
      <c r="E68" s="117"/>
      <c r="F68" s="118"/>
      <c r="G68" s="119" t="str">
        <f>IF($B68="","",COUNTIFS(Jan[What was resident doing prior to fall?],$B68))</f>
        <v/>
      </c>
      <c r="H68" s="119" t="str">
        <f>IF($B68="","",COUNTIFS(Feb[What was resident doing prior to fall?],$B68))</f>
        <v/>
      </c>
      <c r="I68" s="119" t="str">
        <f>IF($B68="","",COUNTIFS(Mar[What was resident doing prior to fall?],$B68))</f>
        <v/>
      </c>
      <c r="J68" s="119" t="str">
        <f>IF($B68="","",COUNTIFS(Apr[What was resident doing prior to fall?],$B68))</f>
        <v/>
      </c>
      <c r="K68" s="119" t="str">
        <f>IF($B68="","",COUNTIFS(May[What was resident doing prior to fall?],$B68))</f>
        <v/>
      </c>
      <c r="L68" s="119" t="str">
        <f>IF($B68="","",COUNTIFS(June[What was resident doing prior to fall?],$B68))</f>
        <v/>
      </c>
      <c r="M68" s="119" t="str">
        <f>IF($B68="","",COUNTIFS(July[What was resident doing prior to fall?],$B68))</f>
        <v/>
      </c>
      <c r="N68" s="119" t="str">
        <f>IF($B68="","",COUNTIFS(Aug[What was resident doing prior to fall?],$B68))</f>
        <v/>
      </c>
      <c r="O68" s="119" t="str">
        <f>IF($B68="","",COUNTIFS(Sept[What was resident doing prior to fall?],$B68))</f>
        <v/>
      </c>
      <c r="P68" s="119" t="str">
        <f>IF($B68="","",COUNTIFS(Oct[What was resident doing prior to fall?],$B68))</f>
        <v/>
      </c>
      <c r="Q68" s="119" t="str">
        <f>IF($B68="","",COUNTIFS(Nov[What was resident doing prior to fall?],$B68))</f>
        <v/>
      </c>
      <c r="R68" s="119" t="str">
        <f>IF($B68="","",COUNTIFS(Dec[What was resident doing prior to fall?],$B68))</f>
        <v/>
      </c>
      <c r="S68" s="85" t="str">
        <f>IF($B68="","",_xlfn.AGGREGATE(9,6,G68:R68))</f>
        <v/>
      </c>
    </row>
    <row r="69" spans="1:19" x14ac:dyDescent="0.25">
      <c r="B69" s="116" t="s">
        <v>35</v>
      </c>
      <c r="C69" s="120"/>
      <c r="D69" s="120"/>
      <c r="E69" s="120"/>
      <c r="F69" s="121"/>
      <c r="G69" s="122">
        <f>SUM(G45:G68)</f>
        <v>0</v>
      </c>
      <c r="H69" s="85">
        <f t="shared" ref="H69:R69" si="6">SUM(H45:H68)</f>
        <v>0</v>
      </c>
      <c r="I69" s="85">
        <f t="shared" si="6"/>
        <v>0</v>
      </c>
      <c r="J69" s="85">
        <f t="shared" si="6"/>
        <v>0</v>
      </c>
      <c r="K69" s="85">
        <f t="shared" si="6"/>
        <v>0</v>
      </c>
      <c r="L69" s="85">
        <f t="shared" si="6"/>
        <v>0</v>
      </c>
      <c r="M69" s="85">
        <f t="shared" si="6"/>
        <v>0</v>
      </c>
      <c r="N69" s="85">
        <f t="shared" si="6"/>
        <v>0</v>
      </c>
      <c r="O69" s="85">
        <f t="shared" si="6"/>
        <v>0</v>
      </c>
      <c r="P69" s="85">
        <f t="shared" si="6"/>
        <v>0</v>
      </c>
      <c r="Q69" s="85">
        <f t="shared" si="6"/>
        <v>0</v>
      </c>
      <c r="R69" s="85">
        <f t="shared" si="6"/>
        <v>0</v>
      </c>
      <c r="S69" s="85">
        <f>SUM(S45:S68)</f>
        <v>0</v>
      </c>
    </row>
    <row r="71" spans="1:19" ht="21.4" customHeight="1" x14ac:dyDescent="0.25">
      <c r="B71" s="75" t="str">
        <f>"Falls by Activity "</f>
        <v xml:space="preserve">Falls by Activity </v>
      </c>
      <c r="C71" s="75"/>
      <c r="D71" s="75"/>
      <c r="E71" s="75"/>
      <c r="F71" s="75"/>
      <c r="G71" s="75"/>
    </row>
    <row r="72" spans="1:19" ht="15.6" customHeight="1" x14ac:dyDescent="0.25">
      <c r="A72" s="38"/>
      <c r="B72" s="123" t="s">
        <v>86</v>
      </c>
      <c r="C72" s="113"/>
      <c r="D72" s="124"/>
      <c r="E72" s="113"/>
      <c r="F72" s="125"/>
      <c r="G72" s="126" t="s">
        <v>35</v>
      </c>
    </row>
    <row r="73" spans="1:19" x14ac:dyDescent="0.25">
      <c r="A73" s="38"/>
      <c r="B73" s="116" t="str" cm="1">
        <f t="array" ref="B73:B96">IF(_xlfn._xlws.SORT(PriortoFall[What was the resident doing prior to fall?],1,1,TRUE)=0,"",(_xlfn._xlws.SORT(PriortoFall[What was the resident doing prior to fall?],1,1,TRUE)))</f>
        <v>Ambulating with assistive device (walker, cane, wheelchair)</v>
      </c>
      <c r="C73" s="117"/>
      <c r="D73" s="117"/>
      <c r="E73" s="117"/>
      <c r="F73" s="118"/>
      <c r="G73" s="119">
        <f>IF($B73="",NA(),$S45)</f>
        <v>0</v>
      </c>
      <c r="H73" s="43"/>
    </row>
    <row r="74" spans="1:19" x14ac:dyDescent="0.25">
      <c r="A74" s="38"/>
      <c r="B74" s="116" t="str">
        <v>Ambulating with staff assistance</v>
      </c>
      <c r="C74" s="117"/>
      <c r="D74" s="117"/>
      <c r="E74" s="117"/>
      <c r="F74" s="118"/>
      <c r="G74" s="119">
        <f t="shared" ref="G74:G96" si="7">IF($B74="",NA(),$S46)</f>
        <v>0</v>
      </c>
    </row>
    <row r="75" spans="1:19" x14ac:dyDescent="0.25">
      <c r="A75" s="38"/>
      <c r="B75" s="116" t="str">
        <v>Ambulating without assistance or assistive device</v>
      </c>
      <c r="C75" s="117"/>
      <c r="D75" s="117"/>
      <c r="E75" s="117"/>
      <c r="F75" s="118"/>
      <c r="G75" s="119">
        <f t="shared" si="7"/>
        <v>0</v>
      </c>
    </row>
    <row r="76" spans="1:19" x14ac:dyDescent="0.25">
      <c r="A76" s="38"/>
      <c r="B76" s="116" t="str">
        <v>Changing position (e.g., in bed, chair)</v>
      </c>
      <c r="C76" s="117"/>
      <c r="D76" s="117"/>
      <c r="E76" s="117"/>
      <c r="F76" s="118"/>
      <c r="G76" s="119">
        <f t="shared" si="7"/>
        <v>0</v>
      </c>
    </row>
    <row r="77" spans="1:19" x14ac:dyDescent="0.25">
      <c r="A77" s="38"/>
      <c r="B77" s="116" t="str">
        <v>Dressing or undressing</v>
      </c>
      <c r="C77" s="117"/>
      <c r="D77" s="117"/>
      <c r="E77" s="117"/>
      <c r="F77" s="118"/>
      <c r="G77" s="119">
        <f t="shared" si="7"/>
        <v>0</v>
      </c>
    </row>
    <row r="78" spans="1:19" x14ac:dyDescent="0.25">
      <c r="A78" s="38"/>
      <c r="B78" s="116" t="str">
        <v>Other activity</v>
      </c>
      <c r="C78" s="117"/>
      <c r="D78" s="117"/>
      <c r="E78" s="117"/>
      <c r="F78" s="118"/>
      <c r="G78" s="119">
        <f t="shared" si="7"/>
        <v>0</v>
      </c>
    </row>
    <row r="79" spans="1:19" x14ac:dyDescent="0.25">
      <c r="A79" s="38"/>
      <c r="B79" s="116" t="str">
        <v>Reaching for an item</v>
      </c>
      <c r="C79" s="117"/>
      <c r="D79" s="117"/>
      <c r="E79" s="117"/>
      <c r="F79" s="118"/>
      <c r="G79" s="119">
        <f t="shared" si="7"/>
        <v>0</v>
      </c>
    </row>
    <row r="80" spans="1:19" x14ac:dyDescent="0.25">
      <c r="A80" s="38"/>
      <c r="B80" s="116" t="str">
        <v>Showering or bathing</v>
      </c>
      <c r="C80" s="117"/>
      <c r="D80" s="117"/>
      <c r="E80" s="117"/>
      <c r="F80" s="118"/>
      <c r="G80" s="119">
        <f t="shared" si="7"/>
        <v>0</v>
      </c>
    </row>
    <row r="81" spans="1:7" x14ac:dyDescent="0.25">
      <c r="A81" s="38"/>
      <c r="B81" s="116" t="str">
        <v>Toileting</v>
      </c>
      <c r="C81" s="117"/>
      <c r="D81" s="117"/>
      <c r="E81" s="117"/>
      <c r="F81" s="118"/>
      <c r="G81" s="119">
        <f t="shared" si="7"/>
        <v>0</v>
      </c>
    </row>
    <row r="82" spans="1:7" x14ac:dyDescent="0.25">
      <c r="A82" s="38"/>
      <c r="B82" s="116" t="str">
        <v>Transferring to or from bed, chair, wheelchair, etc.</v>
      </c>
      <c r="C82" s="117"/>
      <c r="D82" s="117"/>
      <c r="E82" s="117"/>
      <c r="F82" s="118"/>
      <c r="G82" s="119">
        <f t="shared" si="7"/>
        <v>0</v>
      </c>
    </row>
    <row r="83" spans="1:7" x14ac:dyDescent="0.25">
      <c r="A83" s="38"/>
      <c r="B83" s="116" t="str">
        <v>Unknown</v>
      </c>
      <c r="C83" s="117"/>
      <c r="D83" s="117"/>
      <c r="E83" s="117"/>
      <c r="F83" s="118"/>
      <c r="G83" s="119">
        <f t="shared" si="7"/>
        <v>0</v>
      </c>
    </row>
    <row r="84" spans="1:7" x14ac:dyDescent="0.25">
      <c r="A84" s="38"/>
      <c r="B84" s="116" t="str">
        <v/>
      </c>
      <c r="C84" s="117"/>
      <c r="D84" s="117"/>
      <c r="E84" s="117"/>
      <c r="F84" s="118"/>
      <c r="G84" s="119" t="e">
        <f t="shared" si="7"/>
        <v>#N/A</v>
      </c>
    </row>
    <row r="85" spans="1:7" x14ac:dyDescent="0.25">
      <c r="A85" s="38"/>
      <c r="B85" s="116" t="str">
        <v/>
      </c>
      <c r="C85" s="117"/>
      <c r="D85" s="117"/>
      <c r="E85" s="117"/>
      <c r="F85" s="118"/>
      <c r="G85" s="119" t="e">
        <f t="shared" si="7"/>
        <v>#N/A</v>
      </c>
    </row>
    <row r="86" spans="1:7" x14ac:dyDescent="0.25">
      <c r="A86" s="38"/>
      <c r="B86" s="116" t="str">
        <v/>
      </c>
      <c r="C86" s="117"/>
      <c r="D86" s="117"/>
      <c r="E86" s="117"/>
      <c r="F86" s="118"/>
      <c r="G86" s="119" t="e">
        <f t="shared" si="7"/>
        <v>#N/A</v>
      </c>
    </row>
    <row r="87" spans="1:7" x14ac:dyDescent="0.25">
      <c r="A87" s="38"/>
      <c r="B87" s="116" t="str">
        <v/>
      </c>
      <c r="C87" s="117"/>
      <c r="D87" s="117"/>
      <c r="E87" s="117"/>
      <c r="F87" s="118"/>
      <c r="G87" s="119" t="e">
        <f t="shared" si="7"/>
        <v>#N/A</v>
      </c>
    </row>
    <row r="88" spans="1:7" x14ac:dyDescent="0.25">
      <c r="A88" s="38"/>
      <c r="B88" s="116" t="str">
        <v/>
      </c>
      <c r="C88" s="117"/>
      <c r="D88" s="117"/>
      <c r="E88" s="117"/>
      <c r="F88" s="118"/>
      <c r="G88" s="119" t="e">
        <f t="shared" si="7"/>
        <v>#N/A</v>
      </c>
    </row>
    <row r="89" spans="1:7" x14ac:dyDescent="0.25">
      <c r="A89" s="38"/>
      <c r="B89" s="116" t="str">
        <v/>
      </c>
      <c r="C89" s="117"/>
      <c r="D89" s="117"/>
      <c r="E89" s="117"/>
      <c r="F89" s="118"/>
      <c r="G89" s="119" t="e">
        <f t="shared" si="7"/>
        <v>#N/A</v>
      </c>
    </row>
    <row r="90" spans="1:7" x14ac:dyDescent="0.25">
      <c r="A90" s="38"/>
      <c r="B90" s="116" t="str">
        <v/>
      </c>
      <c r="C90" s="117"/>
      <c r="D90" s="117"/>
      <c r="E90" s="117"/>
      <c r="F90" s="118"/>
      <c r="G90" s="119" t="e">
        <f>IF($B90="",NA(),$S62)</f>
        <v>#N/A</v>
      </c>
    </row>
    <row r="91" spans="1:7" x14ac:dyDescent="0.25">
      <c r="A91" s="38"/>
      <c r="B91" s="116" t="str">
        <v/>
      </c>
      <c r="C91" s="117"/>
      <c r="D91" s="117"/>
      <c r="E91" s="117"/>
      <c r="F91" s="118"/>
      <c r="G91" s="119" t="e">
        <f t="shared" si="7"/>
        <v>#N/A</v>
      </c>
    </row>
    <row r="92" spans="1:7" x14ac:dyDescent="0.25">
      <c r="A92" s="38"/>
      <c r="B92" s="116" t="str">
        <v/>
      </c>
      <c r="C92" s="117"/>
      <c r="D92" s="117"/>
      <c r="E92" s="117"/>
      <c r="F92" s="118"/>
      <c r="G92" s="119" t="e">
        <f t="shared" si="7"/>
        <v>#N/A</v>
      </c>
    </row>
    <row r="93" spans="1:7" x14ac:dyDescent="0.25">
      <c r="A93" s="38"/>
      <c r="B93" s="116" t="str">
        <v/>
      </c>
      <c r="C93" s="117"/>
      <c r="D93" s="117"/>
      <c r="E93" s="117"/>
      <c r="F93" s="118"/>
      <c r="G93" s="119" t="e">
        <f t="shared" si="7"/>
        <v>#N/A</v>
      </c>
    </row>
    <row r="94" spans="1:7" x14ac:dyDescent="0.25">
      <c r="A94" s="38"/>
      <c r="B94" s="116" t="str">
        <v/>
      </c>
      <c r="C94" s="117"/>
      <c r="D94" s="117"/>
      <c r="E94" s="117"/>
      <c r="F94" s="118"/>
      <c r="G94" s="119" t="e">
        <f t="shared" si="7"/>
        <v>#N/A</v>
      </c>
    </row>
    <row r="95" spans="1:7" x14ac:dyDescent="0.25">
      <c r="A95" s="38"/>
      <c r="B95" s="116" t="str">
        <v/>
      </c>
      <c r="C95" s="117"/>
      <c r="D95" s="117"/>
      <c r="E95" s="117"/>
      <c r="F95" s="118"/>
      <c r="G95" s="119" t="e">
        <f t="shared" si="7"/>
        <v>#N/A</v>
      </c>
    </row>
    <row r="96" spans="1:7" x14ac:dyDescent="0.25">
      <c r="A96" s="38"/>
      <c r="B96" s="116" t="str">
        <v/>
      </c>
      <c r="C96" s="117"/>
      <c r="D96" s="117"/>
      <c r="E96" s="117"/>
      <c r="F96" s="118"/>
      <c r="G96" s="119" t="e">
        <f t="shared" si="7"/>
        <v>#N/A</v>
      </c>
    </row>
    <row r="97" spans="2:19" ht="15.6" customHeight="1" x14ac:dyDescent="0.25">
      <c r="B97" s="116" t="s">
        <v>35</v>
      </c>
      <c r="C97" s="120"/>
      <c r="D97" s="120"/>
      <c r="E97" s="120"/>
      <c r="F97" s="121"/>
      <c r="G97" s="127">
        <f>_xlfn.AGGREGATE(9,6,G73:G96)</f>
        <v>0</v>
      </c>
    </row>
    <row r="99" spans="2:19" x14ac:dyDescent="0.25">
      <c r="B99" s="110" t="str">
        <f>"Falls by Contributing Factors "&amp;IF(Jan!$C$1=0,"",Jan!$C$1)</f>
        <v xml:space="preserve">Falls by Contributing Factors </v>
      </c>
      <c r="C99" s="111"/>
      <c r="D99" s="111"/>
      <c r="E99" s="111"/>
      <c r="F99" s="111"/>
      <c r="G99" s="78"/>
      <c r="H99" s="78"/>
      <c r="I99" s="78"/>
      <c r="J99" s="78"/>
      <c r="K99" s="78"/>
      <c r="L99" s="79"/>
      <c r="M99" s="79"/>
      <c r="N99" s="79"/>
      <c r="O99" s="79"/>
      <c r="P99" s="79"/>
      <c r="Q99" s="79"/>
      <c r="R99" s="79"/>
      <c r="S99" s="79"/>
    </row>
    <row r="100" spans="2:19" x14ac:dyDescent="0.25">
      <c r="B100" s="128" t="s">
        <v>92</v>
      </c>
      <c r="C100" s="129"/>
      <c r="D100" s="129"/>
      <c r="E100" s="129"/>
      <c r="F100" s="130"/>
      <c r="G100" s="115" t="s">
        <v>4</v>
      </c>
      <c r="H100" s="82" t="s">
        <v>5</v>
      </c>
      <c r="I100" s="82" t="s">
        <v>6</v>
      </c>
      <c r="J100" s="82" t="s">
        <v>7</v>
      </c>
      <c r="K100" s="82" t="s">
        <v>8</v>
      </c>
      <c r="L100" s="82" t="s">
        <v>9</v>
      </c>
      <c r="M100" s="82" t="s">
        <v>10</v>
      </c>
      <c r="N100" s="82" t="s">
        <v>11</v>
      </c>
      <c r="O100" s="82" t="s">
        <v>12</v>
      </c>
      <c r="P100" s="82" t="s">
        <v>13</v>
      </c>
      <c r="Q100" s="82" t="s">
        <v>14</v>
      </c>
      <c r="R100" s="82" t="s">
        <v>15</v>
      </c>
      <c r="S100" s="82" t="s">
        <v>16</v>
      </c>
    </row>
    <row r="101" spans="2:19" x14ac:dyDescent="0.25">
      <c r="B101" s="116" t="str" cm="1">
        <f t="array" ref="B101:B124">IF(_xlfn._xlws.SORT(CF[Contributing Factors],1,1,TRUE)=0,"",(_xlfn._xlws.SORT(CF[Contributing Factors],1,1,TRUE)))</f>
        <v>Assisted/caregiver transfer</v>
      </c>
      <c r="C101" s="117"/>
      <c r="D101" s="117"/>
      <c r="E101" s="117"/>
      <c r="F101" s="118"/>
      <c r="G101" s="119">
        <f>IF($B101="","",COUNTIFS(Jan[Contributing Factors],$B101))</f>
        <v>0</v>
      </c>
      <c r="H101" s="119">
        <f>IF($B101="","",COUNTIFS(Feb[Contributing Factors],$B101))</f>
        <v>0</v>
      </c>
      <c r="I101" s="119">
        <f>IF($B101="","",COUNTIFS(Mar[Contributing Factors],$B101))</f>
        <v>0</v>
      </c>
      <c r="J101" s="119">
        <f>IF($B101="","",COUNTIFS(Apr[Contributing Factors],$B101))</f>
        <v>0</v>
      </c>
      <c r="K101" s="119">
        <f>IF($B101="","",COUNTIFS(May[Contributing Factors],$B101))</f>
        <v>0</v>
      </c>
      <c r="L101" s="119">
        <f>IF($B101="","",COUNTIFS(June[Contributing Factors],$B101))</f>
        <v>0</v>
      </c>
      <c r="M101" s="119">
        <f>IF($B101="","",COUNTIFS(July[Contributing Factors],$B101))</f>
        <v>0</v>
      </c>
      <c r="N101" s="119">
        <f>IF($B101="","",COUNTIFS(Aug[Contributing Factors],$B101))</f>
        <v>0</v>
      </c>
      <c r="O101" s="119">
        <f>IF($B101="","",COUNTIFS(Sept[Contributing Factors],$B101))</f>
        <v>0</v>
      </c>
      <c r="P101" s="119">
        <f>IF($B101="","",COUNTIFS(Oct[Contributing Factors],$B101))</f>
        <v>0</v>
      </c>
      <c r="Q101" s="119">
        <f>IF($B101="","",COUNTIFS(Nov[Contributing Factors],$B101))</f>
        <v>0</v>
      </c>
      <c r="R101" s="119">
        <f>IF($B101="","",COUNTIFS(Dec[Contributing Factors],$B101))</f>
        <v>0</v>
      </c>
      <c r="S101" s="85">
        <f>IF($B101="","",_xlfn.AGGREGATE(9,6,G101:R101))</f>
        <v>0</v>
      </c>
    </row>
    <row r="102" spans="2:19" x14ac:dyDescent="0.25">
      <c r="B102" s="116" t="str">
        <v>Bowel and bladder (B&amp;B) needs</v>
      </c>
      <c r="C102" s="117"/>
      <c r="D102" s="117"/>
      <c r="E102" s="117"/>
      <c r="F102" s="118"/>
      <c r="G102" s="119">
        <f>IF($B102="","",COUNTIFS(Jan[Contributing Factors],$B102))</f>
        <v>0</v>
      </c>
      <c r="H102" s="119">
        <f>IF($B102="","",COUNTIFS(Feb[Contributing Factors],$B102))</f>
        <v>0</v>
      </c>
      <c r="I102" s="119">
        <f>IF($B102="","",COUNTIFS(Mar[Contributing Factors],$B102))</f>
        <v>0</v>
      </c>
      <c r="J102" s="119">
        <f>IF($B102="","",COUNTIFS(Apr[Contributing Factors],$B102))</f>
        <v>0</v>
      </c>
      <c r="K102" s="119">
        <f>IF($B102="","",COUNTIFS(May[Contributing Factors],$B102))</f>
        <v>0</v>
      </c>
      <c r="L102" s="119">
        <f>IF($B102="","",COUNTIFS(June[Contributing Factors],$B102))</f>
        <v>0</v>
      </c>
      <c r="M102" s="119">
        <f>IF($B102="","",COUNTIFS(July[Contributing Factors],$B102))</f>
        <v>0</v>
      </c>
      <c r="N102" s="119">
        <f>IF($B102="","",COUNTIFS(Aug[Contributing Factors],$B102))</f>
        <v>0</v>
      </c>
      <c r="O102" s="119">
        <f>IF($B102="","",COUNTIFS(Sept[Contributing Factors],$B102))</f>
        <v>0</v>
      </c>
      <c r="P102" s="119">
        <f>IF($B102="","",COUNTIFS(Oct[Contributing Factors],$B102))</f>
        <v>0</v>
      </c>
      <c r="Q102" s="119">
        <f>IF($B102="","",COUNTIFS(Nov[Contributing Factors],$B102))</f>
        <v>0</v>
      </c>
      <c r="R102" s="119">
        <f>IF($B102="","",COUNTIFS(Dec[Contributing Factors],$B102))</f>
        <v>0</v>
      </c>
      <c r="S102" s="85">
        <f t="shared" ref="S102:S124" si="8">IF($B102="","",_xlfn.AGGREGATE(9,6,G102:R102))</f>
        <v>0</v>
      </c>
    </row>
    <row r="103" spans="2:19" x14ac:dyDescent="0.25">
      <c r="B103" s="116" t="str">
        <v>Behavioral or situational</v>
      </c>
      <c r="C103" s="117"/>
      <c r="D103" s="117"/>
      <c r="E103" s="117"/>
      <c r="F103" s="118"/>
      <c r="G103" s="119">
        <f>IF($B103="","",COUNTIFS(Jan[Contributing Factors],$B103))</f>
        <v>0</v>
      </c>
      <c r="H103" s="119">
        <f>IF($B103="","",COUNTIFS(Feb[Contributing Factors],$B103))</f>
        <v>0</v>
      </c>
      <c r="I103" s="119">
        <f>IF($B103="","",COUNTIFS(Mar[Contributing Factors],$B103))</f>
        <v>0</v>
      </c>
      <c r="J103" s="119">
        <f>IF($B103="","",COUNTIFS(Apr[Contributing Factors],$B103))</f>
        <v>0</v>
      </c>
      <c r="K103" s="119">
        <f>IF($B103="","",COUNTIFS(May[Contributing Factors],$B103))</f>
        <v>0</v>
      </c>
      <c r="L103" s="119">
        <f>IF($B103="","",COUNTIFS(June[Contributing Factors],$B103))</f>
        <v>0</v>
      </c>
      <c r="M103" s="119">
        <f>IF($B103="","",COUNTIFS(July[Contributing Factors],$B103))</f>
        <v>0</v>
      </c>
      <c r="N103" s="119">
        <f>IF($B103="","",COUNTIFS(Aug[Contributing Factors],$B103))</f>
        <v>0</v>
      </c>
      <c r="O103" s="119">
        <f>IF($B103="","",COUNTIFS(Sept[Contributing Factors],$B103))</f>
        <v>0</v>
      </c>
      <c r="P103" s="119">
        <f>IF($B103="","",COUNTIFS(Oct[Contributing Factors],$B103))</f>
        <v>0</v>
      </c>
      <c r="Q103" s="119">
        <f>IF($B103="","",COUNTIFS(Nov[Contributing Factors],$B103))</f>
        <v>0</v>
      </c>
      <c r="R103" s="119">
        <f>IF($B103="","",COUNTIFS(Dec[Contributing Factors],$B103))</f>
        <v>0</v>
      </c>
      <c r="S103" s="85">
        <f t="shared" si="8"/>
        <v>0</v>
      </c>
    </row>
    <row r="104" spans="2:19" x14ac:dyDescent="0.25">
      <c r="B104" s="116" t="str">
        <v>Change of condition</v>
      </c>
      <c r="C104" s="117"/>
      <c r="D104" s="117"/>
      <c r="E104" s="117"/>
      <c r="F104" s="118"/>
      <c r="G104" s="119">
        <f>IF($B104="","",COUNTIFS(Jan[Contributing Factors],$B104))</f>
        <v>0</v>
      </c>
      <c r="H104" s="119">
        <f>IF($B104="","",COUNTIFS(Feb[Contributing Factors],$B104))</f>
        <v>0</v>
      </c>
      <c r="I104" s="119">
        <f>IF($B104="","",COUNTIFS(Mar[Contributing Factors],$B104))</f>
        <v>0</v>
      </c>
      <c r="J104" s="119">
        <f>IF($B104="","",COUNTIFS(Apr[Contributing Factors],$B104))</f>
        <v>0</v>
      </c>
      <c r="K104" s="119">
        <f>IF($B104="","",COUNTIFS(May[Contributing Factors],$B104))</f>
        <v>0</v>
      </c>
      <c r="L104" s="119">
        <f>IF($B104="","",COUNTIFS(June[Contributing Factors],$B104))</f>
        <v>0</v>
      </c>
      <c r="M104" s="119">
        <f>IF($B104="","",COUNTIFS(July[Contributing Factors],$B104))</f>
        <v>0</v>
      </c>
      <c r="N104" s="119">
        <f>IF($B104="","",COUNTIFS(Aug[Contributing Factors],$B104))</f>
        <v>0</v>
      </c>
      <c r="O104" s="119">
        <f>IF($B104="","",COUNTIFS(Sept[Contributing Factors],$B104))</f>
        <v>0</v>
      </c>
      <c r="P104" s="119">
        <f>IF($B104="","",COUNTIFS(Oct[Contributing Factors],$B104))</f>
        <v>0</v>
      </c>
      <c r="Q104" s="119">
        <f>IF($B104="","",COUNTIFS(Nov[Contributing Factors],$B104))</f>
        <v>0</v>
      </c>
      <c r="R104" s="119">
        <f>IF($B104="","",COUNTIFS(Dec[Contributing Factors],$B104))</f>
        <v>0</v>
      </c>
      <c r="S104" s="85">
        <f t="shared" si="8"/>
        <v>0</v>
      </c>
    </row>
    <row r="105" spans="2:19" x14ac:dyDescent="0.25">
      <c r="B105" s="116" t="str">
        <v>Environmental factors</v>
      </c>
      <c r="C105" s="117"/>
      <c r="D105" s="117"/>
      <c r="E105" s="117"/>
      <c r="F105" s="118"/>
      <c r="G105" s="119">
        <f>IF($B105="","",COUNTIFS(Jan[Contributing Factors],$B105))</f>
        <v>0</v>
      </c>
      <c r="H105" s="119">
        <f>IF($B105="","",COUNTIFS(Feb[Contributing Factors],$B105))</f>
        <v>0</v>
      </c>
      <c r="I105" s="119">
        <f>IF($B105="","",COUNTIFS(Mar[Contributing Factors],$B105))</f>
        <v>0</v>
      </c>
      <c r="J105" s="119">
        <f>IF($B105="","",COUNTIFS(Apr[Contributing Factors],$B105))</f>
        <v>0</v>
      </c>
      <c r="K105" s="119">
        <f>IF($B105="","",COUNTIFS(May[Contributing Factors],$B105))</f>
        <v>0</v>
      </c>
      <c r="L105" s="119">
        <f>IF($B105="","",COUNTIFS(June[Contributing Factors],$B105))</f>
        <v>0</v>
      </c>
      <c r="M105" s="119">
        <f>IF($B105="","",COUNTIFS(July[Contributing Factors],$B105))</f>
        <v>0</v>
      </c>
      <c r="N105" s="119">
        <f>IF($B105="","",COUNTIFS(Aug[Contributing Factors],$B105))</f>
        <v>0</v>
      </c>
      <c r="O105" s="119">
        <f>IF($B105="","",COUNTIFS(Sept[Contributing Factors],$B105))</f>
        <v>0</v>
      </c>
      <c r="P105" s="119">
        <f>IF($B105="","",COUNTIFS(Oct[Contributing Factors],$B105))</f>
        <v>0</v>
      </c>
      <c r="Q105" s="119">
        <f>IF($B105="","",COUNTIFS(Nov[Contributing Factors],$B105))</f>
        <v>0</v>
      </c>
      <c r="R105" s="119">
        <f>IF($B105="","",COUNTIFS(Dec[Contributing Factors],$B105))</f>
        <v>0</v>
      </c>
      <c r="S105" s="85">
        <f t="shared" si="8"/>
        <v>0</v>
      </c>
    </row>
    <row r="106" spans="2:19" x14ac:dyDescent="0.25">
      <c r="B106" s="116" t="str">
        <v>Equipment malfunction</v>
      </c>
      <c r="C106" s="117"/>
      <c r="D106" s="117"/>
      <c r="E106" s="117"/>
      <c r="F106" s="118"/>
      <c r="G106" s="119">
        <f>IF($B106="","",COUNTIFS(Jan[Contributing Factors],$B106))</f>
        <v>0</v>
      </c>
      <c r="H106" s="119">
        <f>IF($B106="","",COUNTIFS(Feb[Contributing Factors],$B106))</f>
        <v>0</v>
      </c>
      <c r="I106" s="119">
        <f>IF($B106="","",COUNTIFS(Mar[Contributing Factors],$B106))</f>
        <v>0</v>
      </c>
      <c r="J106" s="119">
        <f>IF($B106="","",COUNTIFS(Apr[Contributing Factors],$B106))</f>
        <v>0</v>
      </c>
      <c r="K106" s="119">
        <f>IF($B106="","",COUNTIFS(May[Contributing Factors],$B106))</f>
        <v>0</v>
      </c>
      <c r="L106" s="119">
        <f>IF($B106="","",COUNTIFS(June[Contributing Factors],$B106))</f>
        <v>0</v>
      </c>
      <c r="M106" s="119">
        <f>IF($B106="","",COUNTIFS(July[Contributing Factors],$B106))</f>
        <v>0</v>
      </c>
      <c r="N106" s="119">
        <f>IF($B106="","",COUNTIFS(Aug[Contributing Factors],$B106))</f>
        <v>0</v>
      </c>
      <c r="O106" s="119">
        <f>IF($B106="","",COUNTIFS(Sept[Contributing Factors],$B106))</f>
        <v>0</v>
      </c>
      <c r="P106" s="119">
        <f>IF($B106="","",COUNTIFS(Oct[Contributing Factors],$B106))</f>
        <v>0</v>
      </c>
      <c r="Q106" s="119">
        <f>IF($B106="","",COUNTIFS(Nov[Contributing Factors],$B106))</f>
        <v>0</v>
      </c>
      <c r="R106" s="119">
        <f>IF($B106="","",COUNTIFS(Dec[Contributing Factors],$B106))</f>
        <v>0</v>
      </c>
      <c r="S106" s="85">
        <f t="shared" si="8"/>
        <v>0</v>
      </c>
    </row>
    <row r="107" spans="2:19" x14ac:dyDescent="0.25">
      <c r="B107" s="116" t="str">
        <v>Equipment or assistive device</v>
      </c>
      <c r="C107" s="117"/>
      <c r="D107" s="117"/>
      <c r="E107" s="117"/>
      <c r="F107" s="118"/>
      <c r="G107" s="119">
        <f>IF($B107="","",COUNTIFS(Jan[Contributing Factors],$B107))</f>
        <v>0</v>
      </c>
      <c r="H107" s="119">
        <f>IF($B107="","",COUNTIFS(Feb[Contributing Factors],$B107))</f>
        <v>0</v>
      </c>
      <c r="I107" s="119">
        <f>IF($B107="","",COUNTIFS(Mar[Contributing Factors],$B107))</f>
        <v>0</v>
      </c>
      <c r="J107" s="119">
        <f>IF($B107="","",COUNTIFS(Apr[Contributing Factors],$B107))</f>
        <v>0</v>
      </c>
      <c r="K107" s="119">
        <f>IF($B107="","",COUNTIFS(May[Contributing Factors],$B107))</f>
        <v>0</v>
      </c>
      <c r="L107" s="119">
        <f>IF($B107="","",COUNTIFS(June[Contributing Factors],$B107))</f>
        <v>0</v>
      </c>
      <c r="M107" s="119">
        <f>IF($B107="","",COUNTIFS(July[Contributing Factors],$B107))</f>
        <v>0</v>
      </c>
      <c r="N107" s="119">
        <f>IF($B107="","",COUNTIFS(Aug[Contributing Factors],$B107))</f>
        <v>0</v>
      </c>
      <c r="O107" s="119">
        <f>IF($B107="","",COUNTIFS(Sept[Contributing Factors],$B107))</f>
        <v>0</v>
      </c>
      <c r="P107" s="119">
        <f>IF($B107="","",COUNTIFS(Oct[Contributing Factors],$B107))</f>
        <v>0</v>
      </c>
      <c r="Q107" s="119">
        <f>IF($B107="","",COUNTIFS(Nov[Contributing Factors],$B107))</f>
        <v>0</v>
      </c>
      <c r="R107" s="119">
        <f>IF($B107="","",COUNTIFS(Dec[Contributing Factors],$B107))</f>
        <v>0</v>
      </c>
      <c r="S107" s="85">
        <f t="shared" si="8"/>
        <v>0</v>
      </c>
    </row>
    <row r="108" spans="2:19" x14ac:dyDescent="0.25">
      <c r="B108" s="116" t="str">
        <v>Medication related</v>
      </c>
      <c r="C108" s="117"/>
      <c r="D108" s="117"/>
      <c r="E108" s="117"/>
      <c r="F108" s="118"/>
      <c r="G108" s="119">
        <f>IF($B108="","",COUNTIFS(Jan[Contributing Factors],$B108))</f>
        <v>0</v>
      </c>
      <c r="H108" s="119">
        <f>IF($B108="","",COUNTIFS(Feb[Contributing Factors],$B108))</f>
        <v>0</v>
      </c>
      <c r="I108" s="119">
        <f>IF($B108="","",COUNTIFS(Mar[Contributing Factors],$B108))</f>
        <v>0</v>
      </c>
      <c r="J108" s="119">
        <f>IF($B108="","",COUNTIFS(Apr[Contributing Factors],$B108))</f>
        <v>0</v>
      </c>
      <c r="K108" s="119">
        <f>IF($B108="","",COUNTIFS(May[Contributing Factors],$B108))</f>
        <v>0</v>
      </c>
      <c r="L108" s="119">
        <f>IF($B108="","",COUNTIFS(June[Contributing Factors],$B108))</f>
        <v>0</v>
      </c>
      <c r="M108" s="119">
        <f>IF($B108="","",COUNTIFS(July[Contributing Factors],$B108))</f>
        <v>0</v>
      </c>
      <c r="N108" s="119">
        <f>IF($B108="","",COUNTIFS(Aug[Contributing Factors],$B108))</f>
        <v>0</v>
      </c>
      <c r="O108" s="119">
        <f>IF($B108="","",COUNTIFS(Sept[Contributing Factors],$B108))</f>
        <v>0</v>
      </c>
      <c r="P108" s="119">
        <f>IF($B108="","",COUNTIFS(Oct[Contributing Factors],$B108))</f>
        <v>0</v>
      </c>
      <c r="Q108" s="119">
        <f>IF($B108="","",COUNTIFS(Nov[Contributing Factors],$B108))</f>
        <v>0</v>
      </c>
      <c r="R108" s="119">
        <f>IF($B108="","",COUNTIFS(Dec[Contributing Factors],$B108))</f>
        <v>0</v>
      </c>
      <c r="S108" s="85">
        <f t="shared" si="8"/>
        <v>0</v>
      </c>
    </row>
    <row r="109" spans="2:19" x14ac:dyDescent="0.25">
      <c r="B109" s="116" t="str">
        <v>Process(s) not followed</v>
      </c>
      <c r="C109" s="117"/>
      <c r="D109" s="117"/>
      <c r="E109" s="117"/>
      <c r="F109" s="118"/>
      <c r="G109" s="119">
        <f>IF($B109="","",COUNTIFS(Jan[Contributing Factors],$B109))</f>
        <v>0</v>
      </c>
      <c r="H109" s="119">
        <f>IF($B109="","",COUNTIFS(Feb[Contributing Factors],$B109))</f>
        <v>0</v>
      </c>
      <c r="I109" s="119">
        <f>IF($B109="","",COUNTIFS(Mar[Contributing Factors],$B109))</f>
        <v>0</v>
      </c>
      <c r="J109" s="119">
        <f>IF($B109="","",COUNTIFS(Apr[Contributing Factors],$B109))</f>
        <v>0</v>
      </c>
      <c r="K109" s="119">
        <f>IF($B109="","",COUNTIFS(May[Contributing Factors],$B109))</f>
        <v>0</v>
      </c>
      <c r="L109" s="119">
        <f>IF($B109="","",COUNTIFS(June[Contributing Factors],$B109))</f>
        <v>0</v>
      </c>
      <c r="M109" s="119">
        <f>IF($B109="","",COUNTIFS(July[Contributing Factors],$B109))</f>
        <v>0</v>
      </c>
      <c r="N109" s="119">
        <f>IF($B109="","",COUNTIFS(Aug[Contributing Factors],$B109))</f>
        <v>0</v>
      </c>
      <c r="O109" s="119">
        <f>IF($B109="","",COUNTIFS(Sept[Contributing Factors],$B109))</f>
        <v>0</v>
      </c>
      <c r="P109" s="119">
        <f>IF($B109="","",COUNTIFS(Oct[Contributing Factors],$B109))</f>
        <v>0</v>
      </c>
      <c r="Q109" s="119">
        <f>IF($B109="","",COUNTIFS(Nov[Contributing Factors],$B109))</f>
        <v>0</v>
      </c>
      <c r="R109" s="119">
        <f>IF($B109="","",COUNTIFS(Dec[Contributing Factors],$B109))</f>
        <v>0</v>
      </c>
      <c r="S109" s="85">
        <f t="shared" si="8"/>
        <v>0</v>
      </c>
    </row>
    <row r="110" spans="2:19" x14ac:dyDescent="0.25">
      <c r="B110" s="116" t="str">
        <v>Resident health conditions</v>
      </c>
      <c r="C110" s="117"/>
      <c r="D110" s="117"/>
      <c r="E110" s="117"/>
      <c r="F110" s="118"/>
      <c r="G110" s="119">
        <f>IF($B110="","",COUNTIFS(Jan[Contributing Factors],$B110))</f>
        <v>0</v>
      </c>
      <c r="H110" s="119">
        <f>IF($B110="","",COUNTIFS(Feb[Contributing Factors],$B110))</f>
        <v>0</v>
      </c>
      <c r="I110" s="119">
        <f>IF($B110="","",COUNTIFS(Mar[Contributing Factors],$B110))</f>
        <v>0</v>
      </c>
      <c r="J110" s="119">
        <f>IF($B110="","",COUNTIFS(Apr[Contributing Factors],$B110))</f>
        <v>0</v>
      </c>
      <c r="K110" s="119">
        <f>IF($B110="","",COUNTIFS(May[Contributing Factors],$B110))</f>
        <v>0</v>
      </c>
      <c r="L110" s="119">
        <f>IF($B110="","",COUNTIFS(June[Contributing Factors],$B110))</f>
        <v>0</v>
      </c>
      <c r="M110" s="119">
        <f>IF($B110="","",COUNTIFS(July[Contributing Factors],$B110))</f>
        <v>0</v>
      </c>
      <c r="N110" s="119">
        <f>IF($B110="","",COUNTIFS(Aug[Contributing Factors],$B110))</f>
        <v>0</v>
      </c>
      <c r="O110" s="119">
        <f>IF($B110="","",COUNTIFS(Sept[Contributing Factors],$B110))</f>
        <v>0</v>
      </c>
      <c r="P110" s="119">
        <f>IF($B110="","",COUNTIFS(Oct[Contributing Factors],$B110))</f>
        <v>0</v>
      </c>
      <c r="Q110" s="119">
        <f>IF($B110="","",COUNTIFS(Nov[Contributing Factors],$B110))</f>
        <v>0</v>
      </c>
      <c r="R110" s="119">
        <f>IF($B110="","",COUNTIFS(Dec[Contributing Factors],$B110))</f>
        <v>0</v>
      </c>
      <c r="S110" s="85">
        <f t="shared" si="8"/>
        <v>0</v>
      </c>
    </row>
    <row r="111" spans="2:19" x14ac:dyDescent="0.25">
      <c r="B111" s="116" t="str">
        <v>Staff</v>
      </c>
      <c r="C111" s="117"/>
      <c r="D111" s="117"/>
      <c r="E111" s="117"/>
      <c r="F111" s="118"/>
      <c r="G111" s="119">
        <f>IF($B111="","",COUNTIFS(Jan[Contributing Factors],$B111))</f>
        <v>0</v>
      </c>
      <c r="H111" s="119">
        <f>IF($B111="","",COUNTIFS(Feb[Contributing Factors],$B111))</f>
        <v>0</v>
      </c>
      <c r="I111" s="119">
        <f>IF($B111="","",COUNTIFS(Mar[Contributing Factors],$B111))</f>
        <v>0</v>
      </c>
      <c r="J111" s="119">
        <f>IF($B111="","",COUNTIFS(Apr[Contributing Factors],$B111))</f>
        <v>0</v>
      </c>
      <c r="K111" s="119">
        <f>IF($B111="","",COUNTIFS(May[Contributing Factors],$B111))</f>
        <v>0</v>
      </c>
      <c r="L111" s="119">
        <f>IF($B111="","",COUNTIFS(June[Contributing Factors],$B111))</f>
        <v>0</v>
      </c>
      <c r="M111" s="119">
        <f>IF($B111="","",COUNTIFS(July[Contributing Factors],$B111))</f>
        <v>0</v>
      </c>
      <c r="N111" s="119">
        <f>IF($B111="","",COUNTIFS(Aug[Contributing Factors],$B111))</f>
        <v>0</v>
      </c>
      <c r="O111" s="119">
        <f>IF($B111="","",COUNTIFS(Sept[Contributing Factors],$B111))</f>
        <v>0</v>
      </c>
      <c r="P111" s="119">
        <f>IF($B111="","",COUNTIFS(Oct[Contributing Factors],$B111))</f>
        <v>0</v>
      </c>
      <c r="Q111" s="119">
        <f>IF($B111="","",COUNTIFS(Nov[Contributing Factors],$B111))</f>
        <v>0</v>
      </c>
      <c r="R111" s="119">
        <f>IF($B111="","",COUNTIFS(Dec[Contributing Factors],$B111))</f>
        <v>0</v>
      </c>
      <c r="S111" s="85">
        <f t="shared" si="8"/>
        <v>0</v>
      </c>
    </row>
    <row r="112" spans="2:19" x14ac:dyDescent="0.25">
      <c r="B112" s="116" t="str">
        <v/>
      </c>
      <c r="C112" s="117"/>
      <c r="D112" s="117"/>
      <c r="E112" s="117"/>
      <c r="F112" s="118"/>
      <c r="G112" s="119" t="str">
        <f>IF($B112="","",COUNTIFS(Jan[Contributing Factors],$B112))</f>
        <v/>
      </c>
      <c r="H112" s="119" t="str">
        <f>IF($B112="","",COUNTIFS(Feb[Contributing Factors],$B112))</f>
        <v/>
      </c>
      <c r="I112" s="119" t="str">
        <f>IF($B112="","",COUNTIFS(Mar[Contributing Factors],$B112))</f>
        <v/>
      </c>
      <c r="J112" s="119" t="str">
        <f>IF($B112="","",COUNTIFS(Apr[Contributing Factors],$B112))</f>
        <v/>
      </c>
      <c r="K112" s="119" t="str">
        <f>IF($B112="","",COUNTIFS(May[Contributing Factors],$B112))</f>
        <v/>
      </c>
      <c r="L112" s="119" t="str">
        <f>IF($B112="","",COUNTIFS(June[Contributing Factors],$B112))</f>
        <v/>
      </c>
      <c r="M112" s="119" t="str">
        <f>IF($B112="","",COUNTIFS(July[Contributing Factors],$B112))</f>
        <v/>
      </c>
      <c r="N112" s="119" t="str">
        <f>IF($B112="","",COUNTIFS(Aug[Contributing Factors],$B112))</f>
        <v/>
      </c>
      <c r="O112" s="119" t="str">
        <f>IF($B112="","",COUNTIFS(Sept[Contributing Factors],$B112))</f>
        <v/>
      </c>
      <c r="P112" s="119" t="str">
        <f>IF($B112="","",COUNTIFS(Oct[Contributing Factors],$B112))</f>
        <v/>
      </c>
      <c r="Q112" s="119" t="str">
        <f>IF($B112="","",COUNTIFS(Nov[Contributing Factors],$B112))</f>
        <v/>
      </c>
      <c r="R112" s="119" t="str">
        <f>IF($B112="","",COUNTIFS(Dec[Contributing Factors],$B112))</f>
        <v/>
      </c>
      <c r="S112" s="85" t="str">
        <f t="shared" si="8"/>
        <v/>
      </c>
    </row>
    <row r="113" spans="1:19" x14ac:dyDescent="0.25">
      <c r="B113" s="116" t="str">
        <v/>
      </c>
      <c r="C113" s="117"/>
      <c r="D113" s="117"/>
      <c r="E113" s="117"/>
      <c r="F113" s="118"/>
      <c r="G113" s="119" t="str">
        <f>IF($B113="","",COUNTIFS(Jan[Contributing Factors],$B113))</f>
        <v/>
      </c>
      <c r="H113" s="119" t="str">
        <f>IF($B113="","",COUNTIFS(Feb[Contributing Factors],$B113))</f>
        <v/>
      </c>
      <c r="I113" s="119" t="str">
        <f>IF($B113="","",COUNTIFS(Mar[Contributing Factors],$B113))</f>
        <v/>
      </c>
      <c r="J113" s="119" t="str">
        <f>IF($B113="","",COUNTIFS(Apr[Contributing Factors],$B113))</f>
        <v/>
      </c>
      <c r="K113" s="119" t="str">
        <f>IF($B113="","",COUNTIFS(May[Contributing Factors],$B113))</f>
        <v/>
      </c>
      <c r="L113" s="119" t="str">
        <f>IF($B113="","",COUNTIFS(June[Contributing Factors],$B113))</f>
        <v/>
      </c>
      <c r="M113" s="119" t="str">
        <f>IF($B113="","",COUNTIFS(July[Contributing Factors],$B113))</f>
        <v/>
      </c>
      <c r="N113" s="119" t="str">
        <f>IF($B113="","",COUNTIFS(Aug[Contributing Factors],$B113))</f>
        <v/>
      </c>
      <c r="O113" s="119" t="str">
        <f>IF($B113="","",COUNTIFS(Sept[Contributing Factors],$B113))</f>
        <v/>
      </c>
      <c r="P113" s="119" t="str">
        <f>IF($B113="","",COUNTIFS(Oct[Contributing Factors],$B113))</f>
        <v/>
      </c>
      <c r="Q113" s="119" t="str">
        <f>IF($B113="","",COUNTIFS(Nov[Contributing Factors],$B113))</f>
        <v/>
      </c>
      <c r="R113" s="119" t="str">
        <f>IF($B113="","",COUNTIFS(Dec[Contributing Factors],$B113))</f>
        <v/>
      </c>
      <c r="S113" s="85" t="str">
        <f t="shared" si="8"/>
        <v/>
      </c>
    </row>
    <row r="114" spans="1:19" x14ac:dyDescent="0.25">
      <c r="B114" s="116" t="str">
        <v/>
      </c>
      <c r="C114" s="117"/>
      <c r="D114" s="117"/>
      <c r="E114" s="117"/>
      <c r="F114" s="118"/>
      <c r="G114" s="119" t="str">
        <f>IF($B114="","",COUNTIFS(Jan[Contributing Factors],$B114))</f>
        <v/>
      </c>
      <c r="H114" s="119" t="str">
        <f>IF($B114="","",COUNTIFS(Feb[Contributing Factors],$B114))</f>
        <v/>
      </c>
      <c r="I114" s="119" t="str">
        <f>IF($B114="","",COUNTIFS(Mar[Contributing Factors],$B114))</f>
        <v/>
      </c>
      <c r="J114" s="119" t="str">
        <f>IF($B114="","",COUNTIFS(Apr[Contributing Factors],$B114))</f>
        <v/>
      </c>
      <c r="K114" s="119" t="str">
        <f>IF($B114="","",COUNTIFS(May[Contributing Factors],$B114))</f>
        <v/>
      </c>
      <c r="L114" s="119" t="str">
        <f>IF($B114="","",COUNTIFS(June[Contributing Factors],$B114))</f>
        <v/>
      </c>
      <c r="M114" s="119" t="str">
        <f>IF($B114="","",COUNTIFS(July[Contributing Factors],$B114))</f>
        <v/>
      </c>
      <c r="N114" s="119" t="str">
        <f>IF($B114="","",COUNTIFS(Aug[Contributing Factors],$B114))</f>
        <v/>
      </c>
      <c r="O114" s="119" t="str">
        <f>IF($B114="","",COUNTIFS(Sept[Contributing Factors],$B114))</f>
        <v/>
      </c>
      <c r="P114" s="119" t="str">
        <f>IF($B114="","",COUNTIFS(Oct[Contributing Factors],$B114))</f>
        <v/>
      </c>
      <c r="Q114" s="119" t="str">
        <f>IF($B114="","",COUNTIFS(Nov[Contributing Factors],$B114))</f>
        <v/>
      </c>
      <c r="R114" s="119" t="str">
        <f>IF($B114="","",COUNTIFS(Dec[Contributing Factors],$B114))</f>
        <v/>
      </c>
      <c r="S114" s="85" t="str">
        <f t="shared" si="8"/>
        <v/>
      </c>
    </row>
    <row r="115" spans="1:19" x14ac:dyDescent="0.25">
      <c r="B115" s="116" t="str">
        <v/>
      </c>
      <c r="C115" s="117"/>
      <c r="D115" s="117"/>
      <c r="E115" s="117"/>
      <c r="F115" s="118"/>
      <c r="G115" s="119" t="str">
        <f>IF($B115="","",COUNTIFS(Jan[Contributing Factors],$B115))</f>
        <v/>
      </c>
      <c r="H115" s="119" t="str">
        <f>IF($B115="","",COUNTIFS(Feb[Contributing Factors],$B115))</f>
        <v/>
      </c>
      <c r="I115" s="119" t="str">
        <f>IF($B115="","",COUNTIFS(Mar[Contributing Factors],$B115))</f>
        <v/>
      </c>
      <c r="J115" s="119" t="str">
        <f>IF($B115="","",COUNTIFS(Apr[Contributing Factors],$B115))</f>
        <v/>
      </c>
      <c r="K115" s="119" t="str">
        <f>IF($B115="","",COUNTIFS(May[Contributing Factors],$B115))</f>
        <v/>
      </c>
      <c r="L115" s="119" t="str">
        <f>IF($B115="","",COUNTIFS(June[Contributing Factors],$B115))</f>
        <v/>
      </c>
      <c r="M115" s="119" t="str">
        <f>IF($B115="","",COUNTIFS(July[Contributing Factors],$B115))</f>
        <v/>
      </c>
      <c r="N115" s="119" t="str">
        <f>IF($B115="","",COUNTIFS(Aug[Contributing Factors],$B115))</f>
        <v/>
      </c>
      <c r="O115" s="119" t="str">
        <f>IF($B115="","",COUNTIFS(Sept[Contributing Factors],$B115))</f>
        <v/>
      </c>
      <c r="P115" s="119" t="str">
        <f>IF($B115="","",COUNTIFS(Oct[Contributing Factors],$B115))</f>
        <v/>
      </c>
      <c r="Q115" s="119" t="str">
        <f>IF($B115="","",COUNTIFS(Nov[Contributing Factors],$B115))</f>
        <v/>
      </c>
      <c r="R115" s="119" t="str">
        <f>IF($B115="","",COUNTIFS(Dec[Contributing Factors],$B115))</f>
        <v/>
      </c>
      <c r="S115" s="85" t="str">
        <f t="shared" si="8"/>
        <v/>
      </c>
    </row>
    <row r="116" spans="1:19" x14ac:dyDescent="0.25">
      <c r="B116" s="116" t="str">
        <v/>
      </c>
      <c r="C116" s="117"/>
      <c r="D116" s="117"/>
      <c r="E116" s="117"/>
      <c r="F116" s="118"/>
      <c r="G116" s="119" t="str">
        <f>IF($B116="","",COUNTIFS(Jan[Contributing Factors],$B116))</f>
        <v/>
      </c>
      <c r="H116" s="119" t="str">
        <f>IF($B116="","",COUNTIFS(Feb[Contributing Factors],$B116))</f>
        <v/>
      </c>
      <c r="I116" s="119" t="str">
        <f>IF($B116="","",COUNTIFS(Mar[Contributing Factors],$B116))</f>
        <v/>
      </c>
      <c r="J116" s="119" t="str">
        <f>IF($B116="","",COUNTIFS(Apr[Contributing Factors],$B116))</f>
        <v/>
      </c>
      <c r="K116" s="119" t="str">
        <f>IF($B116="","",COUNTIFS(May[Contributing Factors],$B116))</f>
        <v/>
      </c>
      <c r="L116" s="119" t="str">
        <f>IF($B116="","",COUNTIFS(June[Contributing Factors],$B116))</f>
        <v/>
      </c>
      <c r="M116" s="119" t="str">
        <f>IF($B116="","",COUNTIFS(July[Contributing Factors],$B116))</f>
        <v/>
      </c>
      <c r="N116" s="119" t="str">
        <f>IF($B116="","",COUNTIFS(Aug[Contributing Factors],$B116))</f>
        <v/>
      </c>
      <c r="O116" s="119" t="str">
        <f>IF($B116="","",COUNTIFS(Sept[Contributing Factors],$B116))</f>
        <v/>
      </c>
      <c r="P116" s="119" t="str">
        <f>IF($B116="","",COUNTIFS(Oct[Contributing Factors],$B116))</f>
        <v/>
      </c>
      <c r="Q116" s="119" t="str">
        <f>IF($B116="","",COUNTIFS(Nov[Contributing Factors],$B116))</f>
        <v/>
      </c>
      <c r="R116" s="119" t="str">
        <f>IF($B116="","",COUNTIFS(Dec[Contributing Factors],$B116))</f>
        <v/>
      </c>
      <c r="S116" s="85" t="str">
        <f t="shared" si="8"/>
        <v/>
      </c>
    </row>
    <row r="117" spans="1:19" x14ac:dyDescent="0.25">
      <c r="B117" s="116" t="str">
        <v/>
      </c>
      <c r="C117" s="117"/>
      <c r="D117" s="117"/>
      <c r="E117" s="117"/>
      <c r="F117" s="118"/>
      <c r="G117" s="119" t="str">
        <f>IF($B117="","",COUNTIFS(Jan[Contributing Factors],$B117))</f>
        <v/>
      </c>
      <c r="H117" s="119" t="str">
        <f>IF($B117="","",COUNTIFS(Feb[Contributing Factors],$B117))</f>
        <v/>
      </c>
      <c r="I117" s="119" t="str">
        <f>IF($B117="","",COUNTIFS(Mar[Contributing Factors],$B117))</f>
        <v/>
      </c>
      <c r="J117" s="119" t="str">
        <f>IF($B117="","",COUNTIFS(Apr[Contributing Factors],$B117))</f>
        <v/>
      </c>
      <c r="K117" s="119" t="str">
        <f>IF($B117="","",COUNTIFS(May[Contributing Factors],$B117))</f>
        <v/>
      </c>
      <c r="L117" s="119" t="str">
        <f>IF($B117="","",COUNTIFS(June[Contributing Factors],$B117))</f>
        <v/>
      </c>
      <c r="M117" s="119" t="str">
        <f>IF($B117="","",COUNTIFS(July[Contributing Factors],$B117))</f>
        <v/>
      </c>
      <c r="N117" s="119" t="str">
        <f>IF($B117="","",COUNTIFS(Aug[Contributing Factors],$B117))</f>
        <v/>
      </c>
      <c r="O117" s="119" t="str">
        <f>IF($B117="","",COUNTIFS(Sept[Contributing Factors],$B117))</f>
        <v/>
      </c>
      <c r="P117" s="119" t="str">
        <f>IF($B117="","",COUNTIFS(Oct[Contributing Factors],$B117))</f>
        <v/>
      </c>
      <c r="Q117" s="119" t="str">
        <f>IF($B117="","",COUNTIFS(Nov[Contributing Factors],$B117))</f>
        <v/>
      </c>
      <c r="R117" s="119" t="str">
        <f>IF($B117="","",COUNTIFS(Dec[Contributing Factors],$B117))</f>
        <v/>
      </c>
      <c r="S117" s="85" t="str">
        <f t="shared" si="8"/>
        <v/>
      </c>
    </row>
    <row r="118" spans="1:19" x14ac:dyDescent="0.25">
      <c r="B118" s="116" t="str">
        <v/>
      </c>
      <c r="C118" s="117"/>
      <c r="D118" s="117"/>
      <c r="E118" s="117"/>
      <c r="F118" s="118"/>
      <c r="G118" s="119" t="str">
        <f>IF($B118="","",COUNTIFS(Jan[Contributing Factors],$B118))</f>
        <v/>
      </c>
      <c r="H118" s="119" t="str">
        <f>IF($B118="","",COUNTIFS(Feb[Contributing Factors],$B118))</f>
        <v/>
      </c>
      <c r="I118" s="119" t="str">
        <f>IF($B118="","",COUNTIFS(Mar[Contributing Factors],$B118))</f>
        <v/>
      </c>
      <c r="J118" s="119" t="str">
        <f>IF($B118="","",COUNTIFS(Apr[Contributing Factors],$B118))</f>
        <v/>
      </c>
      <c r="K118" s="119" t="str">
        <f>IF($B118="","",COUNTIFS(May[Contributing Factors],$B118))</f>
        <v/>
      </c>
      <c r="L118" s="119" t="str">
        <f>IF($B118="","",COUNTIFS(June[Contributing Factors],$B118))</f>
        <v/>
      </c>
      <c r="M118" s="119" t="str">
        <f>IF($B118="","",COUNTIFS(July[Contributing Factors],$B118))</f>
        <v/>
      </c>
      <c r="N118" s="119" t="str">
        <f>IF($B118="","",COUNTIFS(Aug[Contributing Factors],$B118))</f>
        <v/>
      </c>
      <c r="O118" s="119" t="str">
        <f>IF($B118="","",COUNTIFS(Sept[Contributing Factors],$B118))</f>
        <v/>
      </c>
      <c r="P118" s="119" t="str">
        <f>IF($B118="","",COUNTIFS(Oct[Contributing Factors],$B118))</f>
        <v/>
      </c>
      <c r="Q118" s="119" t="str">
        <f>IF($B118="","",COUNTIFS(Nov[Contributing Factors],$B118))</f>
        <v/>
      </c>
      <c r="R118" s="119" t="str">
        <f>IF($B118="","",COUNTIFS(Dec[Contributing Factors],$B118))</f>
        <v/>
      </c>
      <c r="S118" s="85" t="str">
        <f t="shared" si="8"/>
        <v/>
      </c>
    </row>
    <row r="119" spans="1:19" x14ac:dyDescent="0.25">
      <c r="B119" s="116" t="str">
        <v/>
      </c>
      <c r="C119" s="117"/>
      <c r="D119" s="117"/>
      <c r="E119" s="117"/>
      <c r="F119" s="118"/>
      <c r="G119" s="119" t="str">
        <f>IF($B119="","",COUNTIFS(Jan[Contributing Factors],$B119))</f>
        <v/>
      </c>
      <c r="H119" s="119" t="str">
        <f>IF($B119="","",COUNTIFS(Feb[Contributing Factors],$B119))</f>
        <v/>
      </c>
      <c r="I119" s="119" t="str">
        <f>IF($B119="","",COUNTIFS(Mar[Contributing Factors],$B119))</f>
        <v/>
      </c>
      <c r="J119" s="119" t="str">
        <f>IF($B119="","",COUNTIFS(Apr[Contributing Factors],$B119))</f>
        <v/>
      </c>
      <c r="K119" s="119" t="str">
        <f>IF($B119="","",COUNTIFS(May[Contributing Factors],$B119))</f>
        <v/>
      </c>
      <c r="L119" s="119" t="str">
        <f>IF($B119="","",COUNTIFS(June[Contributing Factors],$B119))</f>
        <v/>
      </c>
      <c r="M119" s="119" t="str">
        <f>IF($B119="","",COUNTIFS(July[Contributing Factors],$B119))</f>
        <v/>
      </c>
      <c r="N119" s="119" t="str">
        <f>IF($B119="","",COUNTIFS(Aug[Contributing Factors],$B119))</f>
        <v/>
      </c>
      <c r="O119" s="119" t="str">
        <f>IF($B119="","",COUNTIFS(Sept[Contributing Factors],$B119))</f>
        <v/>
      </c>
      <c r="P119" s="119" t="str">
        <f>IF($B119="","",COUNTIFS(Oct[Contributing Factors],$B119))</f>
        <v/>
      </c>
      <c r="Q119" s="119" t="str">
        <f>IF($B119="","",COUNTIFS(Nov[Contributing Factors],$B119))</f>
        <v/>
      </c>
      <c r="R119" s="119" t="str">
        <f>IF($B119="","",COUNTIFS(Dec[Contributing Factors],$B119))</f>
        <v/>
      </c>
      <c r="S119" s="85" t="str">
        <f t="shared" si="8"/>
        <v/>
      </c>
    </row>
    <row r="120" spans="1:19" x14ac:dyDescent="0.25">
      <c r="B120" s="116" t="str">
        <v/>
      </c>
      <c r="C120" s="117"/>
      <c r="D120" s="117"/>
      <c r="E120" s="117"/>
      <c r="F120" s="118"/>
      <c r="G120" s="119" t="str">
        <f>IF($B120="","",COUNTIFS(Jan[Contributing Factors],$B120))</f>
        <v/>
      </c>
      <c r="H120" s="119" t="str">
        <f>IF($B120="","",COUNTIFS(Feb[Contributing Factors],$B120))</f>
        <v/>
      </c>
      <c r="I120" s="119" t="str">
        <f>IF($B120="","",COUNTIFS(Mar[Contributing Factors],$B120))</f>
        <v/>
      </c>
      <c r="J120" s="119" t="str">
        <f>IF($B120="","",COUNTIFS(Apr[Contributing Factors],$B120))</f>
        <v/>
      </c>
      <c r="K120" s="119" t="str">
        <f>IF($B120="","",COUNTIFS(May[Contributing Factors],$B120))</f>
        <v/>
      </c>
      <c r="L120" s="119" t="str">
        <f>IF($B120="","",COUNTIFS(June[Contributing Factors],$B120))</f>
        <v/>
      </c>
      <c r="M120" s="119" t="str">
        <f>IF($B120="","",COUNTIFS(July[Contributing Factors],$B120))</f>
        <v/>
      </c>
      <c r="N120" s="119" t="str">
        <f>IF($B120="","",COUNTIFS(Aug[Contributing Factors],$B120))</f>
        <v/>
      </c>
      <c r="O120" s="119" t="str">
        <f>IF($B120="","",COUNTIFS(Sept[Contributing Factors],$B120))</f>
        <v/>
      </c>
      <c r="P120" s="119" t="str">
        <f>IF($B120="","",COUNTIFS(Oct[Contributing Factors],$B120))</f>
        <v/>
      </c>
      <c r="Q120" s="119" t="str">
        <f>IF($B120="","",COUNTIFS(Nov[Contributing Factors],$B120))</f>
        <v/>
      </c>
      <c r="R120" s="119" t="str">
        <f>IF($B120="","",COUNTIFS(Dec[Contributing Factors],$B120))</f>
        <v/>
      </c>
      <c r="S120" s="85" t="str">
        <f t="shared" si="8"/>
        <v/>
      </c>
    </row>
    <row r="121" spans="1:19" x14ac:dyDescent="0.25">
      <c r="B121" s="116" t="str">
        <v/>
      </c>
      <c r="C121" s="117"/>
      <c r="D121" s="117"/>
      <c r="E121" s="117"/>
      <c r="F121" s="118"/>
      <c r="G121" s="119" t="str">
        <f>IF($B121="","",COUNTIFS(Jan[Contributing Factors],$B121))</f>
        <v/>
      </c>
      <c r="H121" s="119" t="str">
        <f>IF($B121="","",COUNTIFS(Feb[Contributing Factors],$B121))</f>
        <v/>
      </c>
      <c r="I121" s="119" t="str">
        <f>IF($B121="","",COUNTIFS(Mar[Contributing Factors],$B121))</f>
        <v/>
      </c>
      <c r="J121" s="119" t="str">
        <f>IF($B121="","",COUNTIFS(Apr[Contributing Factors],$B121))</f>
        <v/>
      </c>
      <c r="K121" s="119" t="str">
        <f>IF($B121="","",COUNTIFS(May[Contributing Factors],$B121))</f>
        <v/>
      </c>
      <c r="L121" s="119" t="str">
        <f>IF($B121="","",COUNTIFS(June[Contributing Factors],$B121))</f>
        <v/>
      </c>
      <c r="M121" s="119" t="str">
        <f>IF($B121="","",COUNTIFS(July[Contributing Factors],$B121))</f>
        <v/>
      </c>
      <c r="N121" s="119" t="str">
        <f>IF($B121="","",COUNTIFS(Aug[Contributing Factors],$B121))</f>
        <v/>
      </c>
      <c r="O121" s="119" t="str">
        <f>IF($B121="","",COUNTIFS(Sept[Contributing Factors],$B121))</f>
        <v/>
      </c>
      <c r="P121" s="119" t="str">
        <f>IF($B121="","",COUNTIFS(Oct[Contributing Factors],$B121))</f>
        <v/>
      </c>
      <c r="Q121" s="119" t="str">
        <f>IF($B121="","",COUNTIFS(Nov[Contributing Factors],$B121))</f>
        <v/>
      </c>
      <c r="R121" s="119" t="str">
        <f>IF($B121="","",COUNTIFS(Dec[Contributing Factors],$B121))</f>
        <v/>
      </c>
      <c r="S121" s="85" t="str">
        <f t="shared" si="8"/>
        <v/>
      </c>
    </row>
    <row r="122" spans="1:19" x14ac:dyDescent="0.25">
      <c r="B122" s="116" t="str">
        <v/>
      </c>
      <c r="C122" s="117"/>
      <c r="D122" s="117"/>
      <c r="E122" s="117"/>
      <c r="F122" s="118"/>
      <c r="G122" s="119" t="str">
        <f>IF($B122="","",COUNTIFS(Jan[Contributing Factors],$B122))</f>
        <v/>
      </c>
      <c r="H122" s="119" t="str">
        <f>IF($B122="","",COUNTIFS(Feb[Contributing Factors],$B122))</f>
        <v/>
      </c>
      <c r="I122" s="119" t="str">
        <f>IF($B122="","",COUNTIFS(Mar[Contributing Factors],$B122))</f>
        <v/>
      </c>
      <c r="J122" s="119" t="str">
        <f>IF($B122="","",COUNTIFS(Apr[Contributing Factors],$B122))</f>
        <v/>
      </c>
      <c r="K122" s="119" t="str">
        <f>IF($B122="","",COUNTIFS(May[Contributing Factors],$B122))</f>
        <v/>
      </c>
      <c r="L122" s="119" t="str">
        <f>IF($B122="","",COUNTIFS(June[Contributing Factors],$B122))</f>
        <v/>
      </c>
      <c r="M122" s="119" t="str">
        <f>IF($B122="","",COUNTIFS(July[Contributing Factors],$B122))</f>
        <v/>
      </c>
      <c r="N122" s="119" t="str">
        <f>IF($B122="","",COUNTIFS(Aug[Contributing Factors],$B122))</f>
        <v/>
      </c>
      <c r="O122" s="119" t="str">
        <f>IF($B122="","",COUNTIFS(Sept[Contributing Factors],$B122))</f>
        <v/>
      </c>
      <c r="P122" s="119" t="str">
        <f>IF($B122="","",COUNTIFS(Oct[Contributing Factors],$B122))</f>
        <v/>
      </c>
      <c r="Q122" s="119" t="str">
        <f>IF($B122="","",COUNTIFS(Nov[Contributing Factors],$B122))</f>
        <v/>
      </c>
      <c r="R122" s="119" t="str">
        <f>IF($B122="","",COUNTIFS(Dec[Contributing Factors],$B122))</f>
        <v/>
      </c>
      <c r="S122" s="85" t="str">
        <f t="shared" si="8"/>
        <v/>
      </c>
    </row>
    <row r="123" spans="1:19" x14ac:dyDescent="0.25">
      <c r="B123" s="116" t="str">
        <v/>
      </c>
      <c r="C123" s="117"/>
      <c r="D123" s="117"/>
      <c r="E123" s="117"/>
      <c r="F123" s="118"/>
      <c r="G123" s="119" t="str">
        <f>IF($B123="","",COUNTIFS(Jan[Contributing Factors],$B123))</f>
        <v/>
      </c>
      <c r="H123" s="119" t="str">
        <f>IF($B123="","",COUNTIFS(Feb[Contributing Factors],$B123))</f>
        <v/>
      </c>
      <c r="I123" s="119" t="str">
        <f>IF($B123="","",COUNTIFS(Mar[Contributing Factors],$B123))</f>
        <v/>
      </c>
      <c r="J123" s="119" t="str">
        <f>IF($B123="","",COUNTIFS(Apr[Contributing Factors],$B123))</f>
        <v/>
      </c>
      <c r="K123" s="119" t="str">
        <f>IF($B123="","",COUNTIFS(May[Contributing Factors],$B123))</f>
        <v/>
      </c>
      <c r="L123" s="119" t="str">
        <f>IF($B123="","",COUNTIFS(June[Contributing Factors],$B123))</f>
        <v/>
      </c>
      <c r="M123" s="119" t="str">
        <f>IF($B123="","",COUNTIFS(July[Contributing Factors],$B123))</f>
        <v/>
      </c>
      <c r="N123" s="119" t="str">
        <f>IF($B123="","",COUNTIFS(Aug[Contributing Factors],$B123))</f>
        <v/>
      </c>
      <c r="O123" s="119" t="str">
        <f>IF($B123="","",COUNTIFS(Sept[Contributing Factors],$B123))</f>
        <v/>
      </c>
      <c r="P123" s="119" t="str">
        <f>IF($B123="","",COUNTIFS(Oct[Contributing Factors],$B123))</f>
        <v/>
      </c>
      <c r="Q123" s="119" t="str">
        <f>IF($B123="","",COUNTIFS(Nov[Contributing Factors],$B123))</f>
        <v/>
      </c>
      <c r="R123" s="119" t="str">
        <f>IF($B123="","",COUNTIFS(Dec[Contributing Factors],$B123))</f>
        <v/>
      </c>
      <c r="S123" s="85" t="str">
        <f t="shared" si="8"/>
        <v/>
      </c>
    </row>
    <row r="124" spans="1:19" x14ac:dyDescent="0.25">
      <c r="B124" s="116" t="str">
        <v/>
      </c>
      <c r="C124" s="117"/>
      <c r="D124" s="117"/>
      <c r="E124" s="117"/>
      <c r="F124" s="118"/>
      <c r="G124" s="119" t="str">
        <f>IF($B124="","",COUNTIFS(Jan[Contributing Factors],$B124))</f>
        <v/>
      </c>
      <c r="H124" s="119" t="str">
        <f>IF($B124="","",COUNTIFS(Feb[Contributing Factors],$B124))</f>
        <v/>
      </c>
      <c r="I124" s="119" t="str">
        <f>IF($B124="","",COUNTIFS(Mar[Contributing Factors],$B124))</f>
        <v/>
      </c>
      <c r="J124" s="119" t="str">
        <f>IF($B124="","",COUNTIFS(Apr[Contributing Factors],$B124))</f>
        <v/>
      </c>
      <c r="K124" s="119" t="str">
        <f>IF($B124="","",COUNTIFS(May[Contributing Factors],$B124))</f>
        <v/>
      </c>
      <c r="L124" s="119" t="str">
        <f>IF($B124="","",COUNTIFS(June[Contributing Factors],$B124))</f>
        <v/>
      </c>
      <c r="M124" s="119" t="str">
        <f>IF($B124="","",COUNTIFS(July[Contributing Factors],$B124))</f>
        <v/>
      </c>
      <c r="N124" s="119" t="str">
        <f>IF($B124="","",COUNTIFS(Aug[Contributing Factors],$B124))</f>
        <v/>
      </c>
      <c r="O124" s="119" t="str">
        <f>IF($B124="","",COUNTIFS(Sept[Contributing Factors],$B124))</f>
        <v/>
      </c>
      <c r="P124" s="119" t="str">
        <f>IF($B124="","",COUNTIFS(Oct[Contributing Factors],$B124))</f>
        <v/>
      </c>
      <c r="Q124" s="119" t="str">
        <f>IF($B124="","",COUNTIFS(Nov[Contributing Factors],$B124))</f>
        <v/>
      </c>
      <c r="R124" s="119" t="str">
        <f>IF($B124="","",COUNTIFS(Dec[Contributing Factors],$B124))</f>
        <v/>
      </c>
      <c r="S124" s="85" t="str">
        <f t="shared" si="8"/>
        <v/>
      </c>
    </row>
    <row r="125" spans="1:19" x14ac:dyDescent="0.25">
      <c r="B125" s="116" t="s">
        <v>35</v>
      </c>
      <c r="C125" s="120"/>
      <c r="D125" s="120"/>
      <c r="E125" s="120"/>
      <c r="F125" s="121"/>
      <c r="G125" s="122">
        <f>SUM(G101:G124)</f>
        <v>0</v>
      </c>
      <c r="H125" s="85">
        <f t="shared" ref="H125:R125" si="9">SUM(H101:H124)</f>
        <v>0</v>
      </c>
      <c r="I125" s="85">
        <f t="shared" si="9"/>
        <v>0</v>
      </c>
      <c r="J125" s="85">
        <f t="shared" si="9"/>
        <v>0</v>
      </c>
      <c r="K125" s="85">
        <f t="shared" si="9"/>
        <v>0</v>
      </c>
      <c r="L125" s="85">
        <f t="shared" si="9"/>
        <v>0</v>
      </c>
      <c r="M125" s="85">
        <f t="shared" si="9"/>
        <v>0</v>
      </c>
      <c r="N125" s="85">
        <f t="shared" si="9"/>
        <v>0</v>
      </c>
      <c r="O125" s="85">
        <f t="shared" si="9"/>
        <v>0</v>
      </c>
      <c r="P125" s="85">
        <f t="shared" si="9"/>
        <v>0</v>
      </c>
      <c r="Q125" s="85">
        <f t="shared" si="9"/>
        <v>0</v>
      </c>
      <c r="R125" s="85">
        <f t="shared" si="9"/>
        <v>0</v>
      </c>
      <c r="S125" s="85">
        <f>SUM(S101:S124)</f>
        <v>0</v>
      </c>
    </row>
    <row r="127" spans="1:19" ht="21.4" customHeight="1" x14ac:dyDescent="0.25">
      <c r="B127" s="77" t="s">
        <v>106</v>
      </c>
      <c r="C127" s="75"/>
      <c r="D127" s="75"/>
      <c r="E127" s="75"/>
      <c r="F127" s="75"/>
      <c r="G127" s="75"/>
    </row>
    <row r="128" spans="1:19" ht="15.6" customHeight="1" x14ac:dyDescent="0.25">
      <c r="A128" s="38"/>
      <c r="B128" s="167" t="s">
        <v>92</v>
      </c>
      <c r="C128" s="113"/>
      <c r="D128" s="124"/>
      <c r="E128" s="113"/>
      <c r="F128" s="125"/>
      <c r="G128" s="126" t="s">
        <v>35</v>
      </c>
    </row>
    <row r="129" spans="1:8" x14ac:dyDescent="0.25">
      <c r="A129" s="38"/>
      <c r="B129" s="116" t="str" cm="1">
        <f t="array" ref="B129:B152">IF(_xlfn._xlws.SORT(CF[Contributing Factors],1,1,TRUE)=0,"",(_xlfn._xlws.SORT(CF[Contributing Factors],1,1,TRUE)))</f>
        <v>Assisted/caregiver transfer</v>
      </c>
      <c r="C129" s="117"/>
      <c r="D129" s="117"/>
      <c r="E129" s="117"/>
      <c r="F129" s="118"/>
      <c r="G129" s="119">
        <f>IF($S101="",NA(),$S101)</f>
        <v>0</v>
      </c>
      <c r="H129" s="43"/>
    </row>
    <row r="130" spans="1:8" x14ac:dyDescent="0.25">
      <c r="A130" s="38"/>
      <c r="B130" s="116" t="str">
        <v>Bowel and bladder (B&amp;B) needs</v>
      </c>
      <c r="C130" s="117"/>
      <c r="D130" s="117"/>
      <c r="E130" s="117"/>
      <c r="F130" s="118"/>
      <c r="G130" s="119">
        <f t="shared" ref="G130:G152" si="10">IF($S102="",NA(),$S102)</f>
        <v>0</v>
      </c>
    </row>
    <row r="131" spans="1:8" x14ac:dyDescent="0.25">
      <c r="A131" s="38"/>
      <c r="B131" s="116" t="str">
        <v>Behavioral or situational</v>
      </c>
      <c r="C131" s="117"/>
      <c r="D131" s="117"/>
      <c r="E131" s="117"/>
      <c r="F131" s="118"/>
      <c r="G131" s="119">
        <f t="shared" si="10"/>
        <v>0</v>
      </c>
    </row>
    <row r="132" spans="1:8" x14ac:dyDescent="0.25">
      <c r="A132" s="38"/>
      <c r="B132" s="116" t="str">
        <v>Change of condition</v>
      </c>
      <c r="C132" s="117"/>
      <c r="D132" s="117"/>
      <c r="E132" s="117"/>
      <c r="F132" s="118"/>
      <c r="G132" s="119">
        <f t="shared" si="10"/>
        <v>0</v>
      </c>
    </row>
    <row r="133" spans="1:8" x14ac:dyDescent="0.25">
      <c r="A133" s="38"/>
      <c r="B133" s="116" t="str">
        <v>Environmental factors</v>
      </c>
      <c r="C133" s="117"/>
      <c r="D133" s="117"/>
      <c r="E133" s="117"/>
      <c r="F133" s="118"/>
      <c r="G133" s="119">
        <f t="shared" si="10"/>
        <v>0</v>
      </c>
    </row>
    <row r="134" spans="1:8" x14ac:dyDescent="0.25">
      <c r="A134" s="38"/>
      <c r="B134" s="116" t="str">
        <v>Equipment malfunction</v>
      </c>
      <c r="C134" s="117"/>
      <c r="D134" s="117"/>
      <c r="E134" s="117"/>
      <c r="F134" s="118"/>
      <c r="G134" s="119">
        <f t="shared" si="10"/>
        <v>0</v>
      </c>
    </row>
    <row r="135" spans="1:8" x14ac:dyDescent="0.25">
      <c r="A135" s="38"/>
      <c r="B135" s="116" t="str">
        <v>Equipment or assistive device</v>
      </c>
      <c r="C135" s="117"/>
      <c r="D135" s="117"/>
      <c r="E135" s="117"/>
      <c r="F135" s="118"/>
      <c r="G135" s="119">
        <f t="shared" si="10"/>
        <v>0</v>
      </c>
    </row>
    <row r="136" spans="1:8" x14ac:dyDescent="0.25">
      <c r="A136" s="38"/>
      <c r="B136" s="116" t="str">
        <v>Medication related</v>
      </c>
      <c r="C136" s="117"/>
      <c r="D136" s="117"/>
      <c r="E136" s="117"/>
      <c r="F136" s="118"/>
      <c r="G136" s="119">
        <f t="shared" si="10"/>
        <v>0</v>
      </c>
    </row>
    <row r="137" spans="1:8" x14ac:dyDescent="0.25">
      <c r="A137" s="38"/>
      <c r="B137" s="116" t="str">
        <v>Process(s) not followed</v>
      </c>
      <c r="C137" s="117"/>
      <c r="D137" s="117"/>
      <c r="E137" s="117"/>
      <c r="F137" s="118"/>
      <c r="G137" s="119">
        <f t="shared" si="10"/>
        <v>0</v>
      </c>
    </row>
    <row r="138" spans="1:8" x14ac:dyDescent="0.25">
      <c r="A138" s="38"/>
      <c r="B138" s="116" t="str">
        <v>Resident health conditions</v>
      </c>
      <c r="C138" s="117"/>
      <c r="D138" s="117"/>
      <c r="E138" s="117"/>
      <c r="F138" s="118"/>
      <c r="G138" s="119">
        <f t="shared" si="10"/>
        <v>0</v>
      </c>
    </row>
    <row r="139" spans="1:8" x14ac:dyDescent="0.25">
      <c r="A139" s="38"/>
      <c r="B139" s="116" t="str">
        <v>Staff</v>
      </c>
      <c r="C139" s="117"/>
      <c r="D139" s="117"/>
      <c r="E139" s="117"/>
      <c r="F139" s="118"/>
      <c r="G139" s="119">
        <f t="shared" si="10"/>
        <v>0</v>
      </c>
    </row>
    <row r="140" spans="1:8" x14ac:dyDescent="0.25">
      <c r="A140" s="38"/>
      <c r="B140" s="116" t="str">
        <v/>
      </c>
      <c r="C140" s="117"/>
      <c r="D140" s="117"/>
      <c r="E140" s="117"/>
      <c r="F140" s="118"/>
      <c r="G140" s="119" t="e">
        <f t="shared" si="10"/>
        <v>#N/A</v>
      </c>
    </row>
    <row r="141" spans="1:8" x14ac:dyDescent="0.25">
      <c r="A141" s="38"/>
      <c r="B141" s="116" t="str">
        <v/>
      </c>
      <c r="C141" s="117"/>
      <c r="D141" s="117"/>
      <c r="E141" s="117"/>
      <c r="F141" s="118"/>
      <c r="G141" s="119" t="e">
        <f t="shared" si="10"/>
        <v>#N/A</v>
      </c>
    </row>
    <row r="142" spans="1:8" x14ac:dyDescent="0.25">
      <c r="A142" s="38"/>
      <c r="B142" s="116" t="str">
        <v/>
      </c>
      <c r="C142" s="117"/>
      <c r="D142" s="117"/>
      <c r="E142" s="117"/>
      <c r="F142" s="118"/>
      <c r="G142" s="119" t="e">
        <f t="shared" si="10"/>
        <v>#N/A</v>
      </c>
    </row>
    <row r="143" spans="1:8" x14ac:dyDescent="0.25">
      <c r="A143" s="38"/>
      <c r="B143" s="116" t="str">
        <v/>
      </c>
      <c r="C143" s="117"/>
      <c r="D143" s="117"/>
      <c r="E143" s="117"/>
      <c r="F143" s="118"/>
      <c r="G143" s="119" t="e">
        <f t="shared" si="10"/>
        <v>#N/A</v>
      </c>
    </row>
    <row r="144" spans="1:8" x14ac:dyDescent="0.25">
      <c r="A144" s="38"/>
      <c r="B144" s="116" t="str">
        <v/>
      </c>
      <c r="C144" s="117"/>
      <c r="D144" s="117"/>
      <c r="E144" s="117"/>
      <c r="F144" s="118"/>
      <c r="G144" s="119" t="e">
        <f t="shared" si="10"/>
        <v>#N/A</v>
      </c>
    </row>
    <row r="145" spans="1:7" x14ac:dyDescent="0.25">
      <c r="A145" s="38"/>
      <c r="B145" s="116" t="str">
        <v/>
      </c>
      <c r="C145" s="117"/>
      <c r="D145" s="117"/>
      <c r="E145" s="117"/>
      <c r="F145" s="118"/>
      <c r="G145" s="119" t="e">
        <f t="shared" si="10"/>
        <v>#N/A</v>
      </c>
    </row>
    <row r="146" spans="1:7" x14ac:dyDescent="0.25">
      <c r="A146" s="38"/>
      <c r="B146" s="116" t="str">
        <v/>
      </c>
      <c r="C146" s="117"/>
      <c r="D146" s="117"/>
      <c r="E146" s="117"/>
      <c r="F146" s="118"/>
      <c r="G146" s="119" t="e">
        <f t="shared" si="10"/>
        <v>#N/A</v>
      </c>
    </row>
    <row r="147" spans="1:7" x14ac:dyDescent="0.25">
      <c r="A147" s="38"/>
      <c r="B147" s="116" t="str">
        <v/>
      </c>
      <c r="C147" s="117"/>
      <c r="D147" s="117"/>
      <c r="E147" s="117"/>
      <c r="F147" s="118"/>
      <c r="G147" s="119" t="e">
        <f t="shared" si="10"/>
        <v>#N/A</v>
      </c>
    </row>
    <row r="148" spans="1:7" x14ac:dyDescent="0.25">
      <c r="A148" s="38"/>
      <c r="B148" s="116" t="str">
        <v/>
      </c>
      <c r="C148" s="117"/>
      <c r="D148" s="117"/>
      <c r="E148" s="117"/>
      <c r="F148" s="118"/>
      <c r="G148" s="119" t="e">
        <f t="shared" si="10"/>
        <v>#N/A</v>
      </c>
    </row>
    <row r="149" spans="1:7" x14ac:dyDescent="0.25">
      <c r="A149" s="38"/>
      <c r="B149" s="116" t="str">
        <v/>
      </c>
      <c r="C149" s="117"/>
      <c r="D149" s="117"/>
      <c r="E149" s="117"/>
      <c r="F149" s="118"/>
      <c r="G149" s="119" t="e">
        <f t="shared" si="10"/>
        <v>#N/A</v>
      </c>
    </row>
    <row r="150" spans="1:7" x14ac:dyDescent="0.25">
      <c r="A150" s="38"/>
      <c r="B150" s="116" t="str">
        <v/>
      </c>
      <c r="C150" s="117"/>
      <c r="D150" s="117"/>
      <c r="E150" s="117"/>
      <c r="F150" s="118"/>
      <c r="G150" s="119" t="e">
        <f t="shared" si="10"/>
        <v>#N/A</v>
      </c>
    </row>
    <row r="151" spans="1:7" x14ac:dyDescent="0.25">
      <c r="A151" s="38"/>
      <c r="B151" s="116" t="str">
        <v/>
      </c>
      <c r="C151" s="117"/>
      <c r="D151" s="117"/>
      <c r="E151" s="117"/>
      <c r="F151" s="118"/>
      <c r="G151" s="119" t="e">
        <f t="shared" si="10"/>
        <v>#N/A</v>
      </c>
    </row>
    <row r="152" spans="1:7" x14ac:dyDescent="0.25">
      <c r="A152" s="38"/>
      <c r="B152" s="116" t="str">
        <v/>
      </c>
      <c r="C152" s="117"/>
      <c r="D152" s="117"/>
      <c r="E152" s="117"/>
      <c r="F152" s="118"/>
      <c r="G152" s="119" t="e">
        <f t="shared" si="10"/>
        <v>#N/A</v>
      </c>
    </row>
    <row r="153" spans="1:7" ht="15.6" customHeight="1" x14ac:dyDescent="0.25">
      <c r="B153" s="116" t="s">
        <v>35</v>
      </c>
      <c r="C153" s="120"/>
      <c r="D153" s="120"/>
      <c r="E153" s="120"/>
      <c r="F153" s="121"/>
      <c r="G153" s="127">
        <f>_xlfn.AGGREGATE(9,6,G129:G152)</f>
        <v>0</v>
      </c>
    </row>
  </sheetData>
  <sheetProtection algorithmName="SHA-512" hashValue="0a4a2RZWwt3ePcQK8QMpdJijvw9Uq8CgEq6oE4rHDb84MB8emvSYtRuL1apxCXtVx/lsZBshYkzJ8KjPnxxO5Q==" saltValue="8S0yJYuDcQCnwcOFCdqgcw==" spinCount="100000" sheet="1" formatCells="0" formatColumns="0" formatRows="0"/>
  <conditionalFormatting sqref="G73:G96">
    <cfRule type="expression" dxfId="18" priority="1">
      <formula>ISERROR($G73)</formula>
    </cfRule>
  </conditionalFormatting>
  <conditionalFormatting sqref="G129:G152">
    <cfRule type="expression" dxfId="17" priority="2">
      <formula>ISERROR($G129)</formula>
    </cfRule>
  </conditionalFormatting>
  <printOptions horizontalCentered="1"/>
  <pageMargins left="0.25" right="0.25" top="0.25" bottom="0.25" header="0.3" footer="0.3"/>
  <pageSetup scale="69" fitToHeight="0" orientation="landscape" r:id="rId1"/>
  <rowBreaks count="2" manualBreakCount="2">
    <brk id="42" max="16383" man="1"/>
    <brk id="98" max="16383" man="1"/>
  </rowBreaks>
  <colBreaks count="1" manualBreakCount="1">
    <brk id="16"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B1:O158"/>
  <sheetViews>
    <sheetView showGridLines="0" zoomScaleNormal="100" workbookViewId="0">
      <selection activeCell="Y164" sqref="Y164"/>
    </sheetView>
  </sheetViews>
  <sheetFormatPr defaultRowHeight="15" x14ac:dyDescent="0.25"/>
  <cols>
    <col min="1" max="1" width="4" customWidth="1"/>
    <col min="2" max="2" width="18.7109375" customWidth="1"/>
    <col min="3" max="10" width="10.140625" customWidth="1"/>
    <col min="11" max="11" width="11.42578125" customWidth="1"/>
    <col min="12" max="12" width="10.140625" customWidth="1"/>
    <col min="13" max="13" width="11" customWidth="1"/>
    <col min="14" max="14" width="11.140625" customWidth="1"/>
    <col min="15" max="15" width="6.85546875" customWidth="1"/>
    <col min="16" max="16" width="5.7109375" customWidth="1"/>
    <col min="17" max="17" width="17.5703125" customWidth="1"/>
    <col min="18" max="18" width="6.28515625" customWidth="1"/>
    <col min="19" max="19" width="1.7109375" customWidth="1"/>
    <col min="20" max="20" width="16.5703125" customWidth="1"/>
    <col min="21" max="21" width="1.28515625" customWidth="1"/>
    <col min="24" max="24" width="10.7109375" bestFit="1" customWidth="1"/>
    <col min="26" max="26" width="10.42578125" bestFit="1" customWidth="1"/>
    <col min="27" max="27" width="10.28515625" bestFit="1" customWidth="1"/>
  </cols>
  <sheetData>
    <row r="1" spans="2:15" x14ac:dyDescent="0.25">
      <c r="B1" s="89"/>
      <c r="C1" s="89"/>
    </row>
    <row r="2" spans="2:15" ht="15" customHeight="1" x14ac:dyDescent="0.25">
      <c r="B2" s="77" t="str">
        <f>"Number of Falls by Nurses Station "&amp;IF(Jan!$C$1=0,"",Jan!$C$1)</f>
        <v xml:space="preserve">Number of Falls by Nurses Station </v>
      </c>
      <c r="C2" s="78"/>
      <c r="D2" s="78"/>
      <c r="E2" s="78"/>
      <c r="F2" s="78"/>
      <c r="G2" s="78"/>
      <c r="H2" s="79"/>
      <c r="I2" s="79"/>
      <c r="J2" s="79"/>
      <c r="K2" s="79"/>
      <c r="L2" s="79"/>
      <c r="M2" s="79"/>
      <c r="N2" s="79"/>
      <c r="O2" s="79"/>
    </row>
    <row r="3" spans="2:15" x14ac:dyDescent="0.25">
      <c r="B3" s="73" t="s">
        <v>2</v>
      </c>
      <c r="C3" s="82" t="s">
        <v>4</v>
      </c>
      <c r="D3" s="82" t="s">
        <v>5</v>
      </c>
      <c r="E3" s="82" t="s">
        <v>6</v>
      </c>
      <c r="F3" s="82" t="s">
        <v>7</v>
      </c>
      <c r="G3" s="82" t="s">
        <v>8</v>
      </c>
      <c r="H3" s="82" t="s">
        <v>9</v>
      </c>
      <c r="I3" s="82" t="s">
        <v>10</v>
      </c>
      <c r="J3" s="82" t="s">
        <v>11</v>
      </c>
      <c r="K3" s="82" t="s">
        <v>12</v>
      </c>
      <c r="L3" s="82" t="s">
        <v>13</v>
      </c>
      <c r="M3" s="82" t="s">
        <v>14</v>
      </c>
      <c r="N3" s="82" t="s">
        <v>15</v>
      </c>
      <c r="O3" s="82" t="s">
        <v>16</v>
      </c>
    </row>
    <row r="4" spans="2:15" x14ac:dyDescent="0.25">
      <c r="B4" s="85" cm="1">
        <f t="array" ref="B4:B14">IF(_xlfn._xlws.SORT(NS[Nurses Stations],1,1,TRUE)=0,"",(_xlfn._xlws.SORT(NS[Nurses Stations],1,1,TRUE)))</f>
        <v>1</v>
      </c>
      <c r="C4" s="76">
        <f>IF($B4="",NA(),COUNTIFS(Jan[Station],$B4))</f>
        <v>0</v>
      </c>
      <c r="D4" s="76">
        <f>IF($B4="",NA(),COUNTIFS(Feb[Station],$B4))</f>
        <v>0</v>
      </c>
      <c r="E4" s="76">
        <f>IF($B4="",NA(),COUNTIFS(Mar[Station],$B4))</f>
        <v>0</v>
      </c>
      <c r="F4" s="76">
        <f>IF($B4="",NA(),COUNTIFS(Apr[Station],$B4))</f>
        <v>0</v>
      </c>
      <c r="G4" s="76">
        <f>IF($B4="",NA(),COUNTIFS(May[Station],$B4))</f>
        <v>0</v>
      </c>
      <c r="H4" s="76">
        <f>IF($B4="",NA(),COUNTIFS(June[Station],$B4))</f>
        <v>0</v>
      </c>
      <c r="I4" s="76">
        <f>IF($B4="",NA(),COUNTIFS(July[Station],$B4))</f>
        <v>0</v>
      </c>
      <c r="J4" s="76">
        <f>IF($B4="",NA(),COUNTIFS(Aug[Station],$B4))</f>
        <v>0</v>
      </c>
      <c r="K4" s="76">
        <f>IF($B4="",NA(),COUNTIFS(Sept[Station],$B4))</f>
        <v>0</v>
      </c>
      <c r="L4" s="76">
        <f>IF($B4="",NA(),COUNTIFS(Oct[Station],$B4))</f>
        <v>0</v>
      </c>
      <c r="M4" s="76">
        <f>IF($B4="",NA(),COUNTIFS(Nov[Station],$B4))</f>
        <v>0</v>
      </c>
      <c r="N4" s="76">
        <f>IF($B4="",NA(),COUNTIFS(Dec[Station],$B4))</f>
        <v>0</v>
      </c>
      <c r="O4" s="85">
        <f>IF($B4="","",_xlfn.AGGREGATE(9,6,C4:N4))</f>
        <v>0</v>
      </c>
    </row>
    <row r="5" spans="2:15" x14ac:dyDescent="0.25">
      <c r="B5" s="85">
        <v>2</v>
      </c>
      <c r="C5" s="76">
        <f>IF($B5="",NA(),COUNTIFS(Jan[Station],$B5))</f>
        <v>0</v>
      </c>
      <c r="D5" s="76">
        <f>IF($B5="",NA(),COUNTIFS(Feb[Station],$B5))</f>
        <v>0</v>
      </c>
      <c r="E5" s="76">
        <f>IF($B5="",NA(),COUNTIFS(Mar[Station],$B5))</f>
        <v>0</v>
      </c>
      <c r="F5" s="76">
        <f>IF($B5="",NA(),COUNTIFS(Apr[Station],$B5))</f>
        <v>0</v>
      </c>
      <c r="G5" s="76">
        <f>IF($B5="",NA(),COUNTIFS(May[Station],$B5))</f>
        <v>0</v>
      </c>
      <c r="H5" s="76">
        <f>IF($B5="",NA(),COUNTIFS(June[Station],$B5))</f>
        <v>0</v>
      </c>
      <c r="I5" s="76">
        <f>IF($B5="",NA(),COUNTIFS(July[Station],$B5))</f>
        <v>0</v>
      </c>
      <c r="J5" s="76">
        <f>IF($B5="",NA(),COUNTIFS(Aug[Station],$B5))</f>
        <v>0</v>
      </c>
      <c r="K5" s="76">
        <f>IF($B5="",NA(),COUNTIFS(Sept[Station],$B5))</f>
        <v>0</v>
      </c>
      <c r="L5" s="76">
        <f>IF($B5="",NA(),COUNTIFS(Oct[Station],$B5))</f>
        <v>0</v>
      </c>
      <c r="M5" s="76">
        <f>IF($B5="",NA(),COUNTIFS(Nov[Station],$B5))</f>
        <v>0</v>
      </c>
      <c r="N5" s="76">
        <f>IF($B5="",NA(),COUNTIFS(Dec[Station],$B5))</f>
        <v>0</v>
      </c>
      <c r="O5" s="85">
        <f t="shared" ref="O5:O14" si="0">IF($B5="","",_xlfn.AGGREGATE(9,6,C5:N5))</f>
        <v>0</v>
      </c>
    </row>
    <row r="6" spans="2:15" x14ac:dyDescent="0.25">
      <c r="B6" s="85">
        <v>3</v>
      </c>
      <c r="C6" s="76">
        <f>IF($B6="",NA(),COUNTIFS(Jan[Station],$B6))</f>
        <v>0</v>
      </c>
      <c r="D6" s="76">
        <f>IF($B6="",NA(),COUNTIFS(Feb[Station],$B6))</f>
        <v>0</v>
      </c>
      <c r="E6" s="76">
        <f>IF($B6="",NA(),COUNTIFS(Mar[Station],$B6))</f>
        <v>0</v>
      </c>
      <c r="F6" s="76">
        <f>IF($B6="",NA(),COUNTIFS(Apr[Station],$B6))</f>
        <v>0</v>
      </c>
      <c r="G6" s="76">
        <f>IF($B6="",NA(),COUNTIFS(May[Station],$B6))</f>
        <v>0</v>
      </c>
      <c r="H6" s="76">
        <f>IF($B6="",NA(),COUNTIFS(June[Station],$B6))</f>
        <v>0</v>
      </c>
      <c r="I6" s="76">
        <f>IF($B6="",NA(),COUNTIFS(July[Station],$B6))</f>
        <v>0</v>
      </c>
      <c r="J6" s="76">
        <f>IF($B6="",NA(),COUNTIFS(Aug[Station],$B6))</f>
        <v>0</v>
      </c>
      <c r="K6" s="76">
        <f>IF($B6="",NA(),COUNTIFS(Sept[Station],$B6))</f>
        <v>0</v>
      </c>
      <c r="L6" s="76">
        <f>IF($B6="",NA(),COUNTIFS(Oct[Station],$B6))</f>
        <v>0</v>
      </c>
      <c r="M6" s="76">
        <f>IF($B6="",NA(),COUNTIFS(Nov[Station],$B6))</f>
        <v>0</v>
      </c>
      <c r="N6" s="76">
        <f>IF($B6="",NA(),COUNTIFS(Dec[Station],$B6))</f>
        <v>0</v>
      </c>
      <c r="O6" s="85">
        <f t="shared" si="0"/>
        <v>0</v>
      </c>
    </row>
    <row r="7" spans="2:15" x14ac:dyDescent="0.25">
      <c r="B7" s="85">
        <v>4</v>
      </c>
      <c r="C7" s="76">
        <f>IF($B7="",NA(),COUNTIFS(Jan[Station],$B7))</f>
        <v>0</v>
      </c>
      <c r="D7" s="76">
        <f>IF($B7="",NA(),COUNTIFS(Feb[Station],$B7))</f>
        <v>0</v>
      </c>
      <c r="E7" s="76">
        <f>IF($B7="",NA(),COUNTIFS(Mar[Station],$B7))</f>
        <v>0</v>
      </c>
      <c r="F7" s="76">
        <f>IF($B7="",NA(),COUNTIFS(Apr[Station],$B7))</f>
        <v>0</v>
      </c>
      <c r="G7" s="76">
        <f>IF($B7="",NA(),COUNTIFS(May[Station],$B7))</f>
        <v>0</v>
      </c>
      <c r="H7" s="76">
        <f>IF($B7="",NA(),COUNTIFS(June[Station],$B7))</f>
        <v>0</v>
      </c>
      <c r="I7" s="76">
        <f>IF($B7="",NA(),COUNTIFS(July[Station],$B7))</f>
        <v>0</v>
      </c>
      <c r="J7" s="76">
        <f>IF($B7="",NA(),COUNTIFS(Aug[Station],$B7))</f>
        <v>0</v>
      </c>
      <c r="K7" s="76">
        <f>IF($B7="",NA(),COUNTIFS(Sept[Station],$B7))</f>
        <v>0</v>
      </c>
      <c r="L7" s="76">
        <f>IF($B7="",NA(),COUNTIFS(Oct[Station],$B7))</f>
        <v>0</v>
      </c>
      <c r="M7" s="76">
        <f>IF($B7="",NA(),COUNTIFS(Nov[Station],$B7))</f>
        <v>0</v>
      </c>
      <c r="N7" s="76">
        <f>IF($B7="",NA(),COUNTIFS(Dec[Station],$B7))</f>
        <v>0</v>
      </c>
      <c r="O7" s="85">
        <f t="shared" si="0"/>
        <v>0</v>
      </c>
    </row>
    <row r="8" spans="2:15" x14ac:dyDescent="0.25">
      <c r="B8" s="85">
        <v>5</v>
      </c>
      <c r="C8" s="76">
        <f>IF($B8="",NA(),COUNTIFS(Jan[Station],$B8))</f>
        <v>0</v>
      </c>
      <c r="D8" s="76">
        <f>IF($B8="",NA(),COUNTIFS(Feb[Station],$B8))</f>
        <v>0</v>
      </c>
      <c r="E8" s="76">
        <f>IF($B8="",NA(),COUNTIFS(Mar[Station],$B8))</f>
        <v>0</v>
      </c>
      <c r="F8" s="76">
        <f>IF($B8="",NA(),COUNTIFS(Apr[Station],$B8))</f>
        <v>0</v>
      </c>
      <c r="G8" s="76">
        <f>IF($B8="",NA(),COUNTIFS(May[Station],$B8))</f>
        <v>0</v>
      </c>
      <c r="H8" s="76">
        <f>IF($B8="",NA(),COUNTIFS(June[Station],$B8))</f>
        <v>0</v>
      </c>
      <c r="I8" s="76">
        <f>IF($B8="",NA(),COUNTIFS(July[Station],$B8))</f>
        <v>0</v>
      </c>
      <c r="J8" s="76">
        <f>IF($B8="",NA(),COUNTIFS(Aug[Station],$B8))</f>
        <v>0</v>
      </c>
      <c r="K8" s="76">
        <f>IF($B8="",NA(),COUNTIFS(Sept[Station],$B8))</f>
        <v>0</v>
      </c>
      <c r="L8" s="76">
        <f>IF($B8="",NA(),COUNTIFS(Oct[Station],$B8))</f>
        <v>0</v>
      </c>
      <c r="M8" s="76">
        <f>IF($B8="",NA(),COUNTIFS(Nov[Station],$B8))</f>
        <v>0</v>
      </c>
      <c r="N8" s="76">
        <f>IF($B8="",NA(),COUNTIFS(Dec[Station],$B8))</f>
        <v>0</v>
      </c>
      <c r="O8" s="85">
        <f t="shared" si="0"/>
        <v>0</v>
      </c>
    </row>
    <row r="9" spans="2:15" x14ac:dyDescent="0.25">
      <c r="B9" s="85" t="str">
        <v/>
      </c>
      <c r="C9" s="76" t="e">
        <f>IF($B9="",NA(),COUNTIFS(Jan[Station],$B9))</f>
        <v>#N/A</v>
      </c>
      <c r="D9" s="76" t="e">
        <f>IF($B9="",NA(),COUNTIFS(Feb[Station],$B9))</f>
        <v>#N/A</v>
      </c>
      <c r="E9" s="76" t="e">
        <f>IF($B9="",NA(),COUNTIFS(Mar[Station],$B9))</f>
        <v>#N/A</v>
      </c>
      <c r="F9" s="76" t="e">
        <f>IF($B9="",NA(),COUNTIFS(Apr[Station],$B9))</f>
        <v>#N/A</v>
      </c>
      <c r="G9" s="76" t="e">
        <f>IF($B9="",NA(),COUNTIFS(May[Station],$B9))</f>
        <v>#N/A</v>
      </c>
      <c r="H9" s="76" t="e">
        <f>IF($B9="",NA(),COUNTIFS(June[Station],$B9))</f>
        <v>#N/A</v>
      </c>
      <c r="I9" s="76" t="e">
        <f>IF($B9="",NA(),COUNTIFS(July[Station],$B9))</f>
        <v>#N/A</v>
      </c>
      <c r="J9" s="76" t="e">
        <f>IF($B9="",NA(),COUNTIFS(Aug[Station],$B9))</f>
        <v>#N/A</v>
      </c>
      <c r="K9" s="76" t="e">
        <f>IF($B9="",NA(),COUNTIFS(Sept[Station],$B9))</f>
        <v>#N/A</v>
      </c>
      <c r="L9" s="76" t="e">
        <f>IF($B9="",NA(),COUNTIFS(Oct[Station],$B9))</f>
        <v>#N/A</v>
      </c>
      <c r="M9" s="76" t="e">
        <f>IF($B9="",NA(),COUNTIFS(Nov[Station],$B9))</f>
        <v>#N/A</v>
      </c>
      <c r="N9" s="76" t="e">
        <f>IF($B9="",NA(),COUNTIFS(Dec[Station],$B9))</f>
        <v>#N/A</v>
      </c>
      <c r="O9" s="85" t="str">
        <f t="shared" si="0"/>
        <v/>
      </c>
    </row>
    <row r="10" spans="2:15" x14ac:dyDescent="0.25">
      <c r="B10" s="85" t="str">
        <v/>
      </c>
      <c r="C10" s="76" t="e">
        <f>IF($B10="",NA(),COUNTIFS(Jan[Station],$B10))</f>
        <v>#N/A</v>
      </c>
      <c r="D10" s="76" t="e">
        <f>IF($B10="",NA(),COUNTIFS(Feb[Station],$B10))</f>
        <v>#N/A</v>
      </c>
      <c r="E10" s="76" t="e">
        <f>IF($B10="",NA(),COUNTIFS(Mar[Station],$B10))</f>
        <v>#N/A</v>
      </c>
      <c r="F10" s="76" t="e">
        <f>IF($B10="",NA(),COUNTIFS(Apr[Station],$B10))</f>
        <v>#N/A</v>
      </c>
      <c r="G10" s="76" t="e">
        <f>IF($B10="",NA(),COUNTIFS(May[Station],$B10))</f>
        <v>#N/A</v>
      </c>
      <c r="H10" s="76" t="e">
        <f>IF($B10="",NA(),COUNTIFS(June[Station],$B10))</f>
        <v>#N/A</v>
      </c>
      <c r="I10" s="76" t="e">
        <f>IF($B10="",NA(),COUNTIFS(July[Station],$B10))</f>
        <v>#N/A</v>
      </c>
      <c r="J10" s="76" t="e">
        <f>IF($B10="",NA(),COUNTIFS(Aug[Station],$B10))</f>
        <v>#N/A</v>
      </c>
      <c r="K10" s="76" t="e">
        <f>IF($B10="",NA(),COUNTIFS(Sept[Station],$B10))</f>
        <v>#N/A</v>
      </c>
      <c r="L10" s="76" t="e">
        <f>IF($B10="",NA(),COUNTIFS(Oct[Station],$B10))</f>
        <v>#N/A</v>
      </c>
      <c r="M10" s="76" t="e">
        <f>IF($B10="",NA(),COUNTIFS(Nov[Station],$B10))</f>
        <v>#N/A</v>
      </c>
      <c r="N10" s="76" t="e">
        <f>IF($B10="",NA(),COUNTIFS(Dec[Station],$B10))</f>
        <v>#N/A</v>
      </c>
      <c r="O10" s="85" t="str">
        <f t="shared" si="0"/>
        <v/>
      </c>
    </row>
    <row r="11" spans="2:15" x14ac:dyDescent="0.25">
      <c r="B11" s="85" t="str">
        <v/>
      </c>
      <c r="C11" s="76" t="e">
        <f>IF($B11="",NA(),COUNTIFS(Jan[Station],$B11))</f>
        <v>#N/A</v>
      </c>
      <c r="D11" s="76" t="e">
        <f>IF($B11="",NA(),COUNTIFS(Feb[Station],$B11))</f>
        <v>#N/A</v>
      </c>
      <c r="E11" s="76" t="e">
        <f>IF($B11="",NA(),COUNTIFS(Mar[Station],$B11))</f>
        <v>#N/A</v>
      </c>
      <c r="F11" s="76" t="e">
        <f>IF($B11="",NA(),COUNTIFS(Apr[Station],$B11))</f>
        <v>#N/A</v>
      </c>
      <c r="G11" s="76" t="e">
        <f>IF($B11="",NA(),COUNTIFS(May[Station],$B11))</f>
        <v>#N/A</v>
      </c>
      <c r="H11" s="76" t="e">
        <f>IF($B11="",NA(),COUNTIFS(June[Station],$B11))</f>
        <v>#N/A</v>
      </c>
      <c r="I11" s="76" t="e">
        <f>IF($B11="",NA(),COUNTIFS(July[Station],$B11))</f>
        <v>#N/A</v>
      </c>
      <c r="J11" s="76" t="e">
        <f>IF($B11="",NA(),COUNTIFS(Aug[Station],$B11))</f>
        <v>#N/A</v>
      </c>
      <c r="K11" s="76" t="e">
        <f>IF($B11="",NA(),COUNTIFS(Sept[Station],$B11))</f>
        <v>#N/A</v>
      </c>
      <c r="L11" s="76" t="e">
        <f>IF($B11="",NA(),COUNTIFS(Oct[Station],$B11))</f>
        <v>#N/A</v>
      </c>
      <c r="M11" s="76" t="e">
        <f>IF($B11="",NA(),COUNTIFS(Nov[Station],$B11))</f>
        <v>#N/A</v>
      </c>
      <c r="N11" s="76" t="e">
        <f>IF($B11="",NA(),COUNTIFS(Dec[Station],$B11))</f>
        <v>#N/A</v>
      </c>
      <c r="O11" s="85" t="str">
        <f t="shared" si="0"/>
        <v/>
      </c>
    </row>
    <row r="12" spans="2:15" x14ac:dyDescent="0.25">
      <c r="B12" s="85" t="str">
        <v/>
      </c>
      <c r="C12" s="76" t="e">
        <f>IF($B12="",NA(),COUNTIFS(Jan[Station],$B12))</f>
        <v>#N/A</v>
      </c>
      <c r="D12" s="76" t="e">
        <f>IF($B12="",NA(),COUNTIFS(Feb[Station],$B12))</f>
        <v>#N/A</v>
      </c>
      <c r="E12" s="76" t="e">
        <f>IF($B12="",NA(),COUNTIFS(Mar[Station],$B12))</f>
        <v>#N/A</v>
      </c>
      <c r="F12" s="76" t="e">
        <f>IF($B12="",NA(),COUNTIFS(Apr[Station],$B12))</f>
        <v>#N/A</v>
      </c>
      <c r="G12" s="76" t="e">
        <f>IF($B12="",NA(),COUNTIFS(May[Station],$B12))</f>
        <v>#N/A</v>
      </c>
      <c r="H12" s="76" t="e">
        <f>IF($B12="",NA(),COUNTIFS(June[Station],$B12))</f>
        <v>#N/A</v>
      </c>
      <c r="I12" s="76" t="e">
        <f>IF($B12="",NA(),COUNTIFS(July[Station],$B12))</f>
        <v>#N/A</v>
      </c>
      <c r="J12" s="76" t="e">
        <f>IF($B12="",NA(),COUNTIFS(Aug[Station],$B12))</f>
        <v>#N/A</v>
      </c>
      <c r="K12" s="76" t="e">
        <f>IF($B12="",NA(),COUNTIFS(Sept[Station],$B12))</f>
        <v>#N/A</v>
      </c>
      <c r="L12" s="76" t="e">
        <f>IF($B12="",NA(),COUNTIFS(Oct[Station],$B12))</f>
        <v>#N/A</v>
      </c>
      <c r="M12" s="76" t="e">
        <f>IF($B12="",NA(),COUNTIFS(Nov[Station],$B12))</f>
        <v>#N/A</v>
      </c>
      <c r="N12" s="76" t="e">
        <f>IF($B12="",NA(),COUNTIFS(Dec[Station],$B12))</f>
        <v>#N/A</v>
      </c>
      <c r="O12" s="85" t="str">
        <f t="shared" si="0"/>
        <v/>
      </c>
    </row>
    <row r="13" spans="2:15" x14ac:dyDescent="0.25">
      <c r="B13" s="85" t="str">
        <v/>
      </c>
      <c r="C13" s="76" t="e">
        <f>IF($B13="",NA(),COUNTIFS(Jan[Station],$B13))</f>
        <v>#N/A</v>
      </c>
      <c r="D13" s="76" t="e">
        <f>IF($B13="",NA(),COUNTIFS(Feb[Station],$B13))</f>
        <v>#N/A</v>
      </c>
      <c r="E13" s="76" t="e">
        <f>IF($B13="",NA(),COUNTIFS(Mar[Station],$B13))</f>
        <v>#N/A</v>
      </c>
      <c r="F13" s="76" t="e">
        <f>IF($B13="",NA(),COUNTIFS(Apr[Station],$B13))</f>
        <v>#N/A</v>
      </c>
      <c r="G13" s="76" t="e">
        <f>IF($B13="",NA(),COUNTIFS(May[Station],$B13))</f>
        <v>#N/A</v>
      </c>
      <c r="H13" s="76" t="e">
        <f>IF($B13="",NA(),COUNTIFS(June[Station],$B13))</f>
        <v>#N/A</v>
      </c>
      <c r="I13" s="76" t="e">
        <f>IF($B13="",NA(),COUNTIFS(July[Station],$B13))</f>
        <v>#N/A</v>
      </c>
      <c r="J13" s="76" t="e">
        <f>IF($B13="",NA(),COUNTIFS(Aug[Station],$B13))</f>
        <v>#N/A</v>
      </c>
      <c r="K13" s="76" t="e">
        <f>IF($B13="",NA(),COUNTIFS(Sept[Station],$B13))</f>
        <v>#N/A</v>
      </c>
      <c r="L13" s="76" t="e">
        <f>IF($B13="",NA(),COUNTIFS(Oct[Station],$B13))</f>
        <v>#N/A</v>
      </c>
      <c r="M13" s="76" t="e">
        <f>IF($B13="",NA(),COUNTIFS(Nov[Station],$B13))</f>
        <v>#N/A</v>
      </c>
      <c r="N13" s="76" t="e">
        <f>IF($B13="",NA(),COUNTIFS(Dec[Station],$B13))</f>
        <v>#N/A</v>
      </c>
      <c r="O13" s="85" t="str">
        <f t="shared" si="0"/>
        <v/>
      </c>
    </row>
    <row r="14" spans="2:15" x14ac:dyDescent="0.25">
      <c r="B14" s="85" t="str">
        <v/>
      </c>
      <c r="C14" s="76" t="e">
        <f>IF($B14="",NA(),COUNTIFS(Jan[Station],$B14))</f>
        <v>#N/A</v>
      </c>
      <c r="D14" s="76" t="e">
        <f>IF($B14="",NA(),COUNTIFS(Feb[Station],$B14))</f>
        <v>#N/A</v>
      </c>
      <c r="E14" s="76" t="e">
        <f>IF($B14="",NA(),COUNTIFS(Mar[Station],$B14))</f>
        <v>#N/A</v>
      </c>
      <c r="F14" s="76" t="e">
        <f>IF($B14="",NA(),COUNTIFS(Apr[Station],$B14))</f>
        <v>#N/A</v>
      </c>
      <c r="G14" s="76" t="e">
        <f>IF($B14="",NA(),COUNTIFS(May[Station],$B14))</f>
        <v>#N/A</v>
      </c>
      <c r="H14" s="76" t="e">
        <f>IF($B14="",NA(),COUNTIFS(June[Station],$B14))</f>
        <v>#N/A</v>
      </c>
      <c r="I14" s="76" t="e">
        <f>IF($B14="",NA(),COUNTIFS(July[Station],$B14))</f>
        <v>#N/A</v>
      </c>
      <c r="J14" s="76" t="e">
        <f>IF($B14="",NA(),COUNTIFS(Aug[Station],$B14))</f>
        <v>#N/A</v>
      </c>
      <c r="K14" s="76" t="e">
        <f>IF($B14="",NA(),COUNTIFS(Sept[Station],$B14))</f>
        <v>#N/A</v>
      </c>
      <c r="L14" s="76" t="e">
        <f>IF($B14="",NA(),COUNTIFS(Oct[Station],$B14))</f>
        <v>#N/A</v>
      </c>
      <c r="M14" s="76" t="e">
        <f>IF($B14="",NA(),COUNTIFS(Nov[Station],$B14))</f>
        <v>#N/A</v>
      </c>
      <c r="N14" s="76" t="e">
        <f>IF($B14="",NA(),COUNTIFS(Dec[Station],$B14))</f>
        <v>#N/A</v>
      </c>
      <c r="O14" s="85" t="str">
        <f t="shared" si="0"/>
        <v/>
      </c>
    </row>
    <row r="15" spans="2:15" x14ac:dyDescent="0.25">
      <c r="B15" s="85" t="s">
        <v>16</v>
      </c>
      <c r="C15" s="85">
        <f>_xlfn.AGGREGATE(9,6,C4:C14)</f>
        <v>0</v>
      </c>
      <c r="D15" s="85">
        <f t="shared" ref="D15:N15" si="1">_xlfn.AGGREGATE(9,6,D4:D14)</f>
        <v>0</v>
      </c>
      <c r="E15" s="85">
        <f t="shared" si="1"/>
        <v>0</v>
      </c>
      <c r="F15" s="85">
        <f t="shared" si="1"/>
        <v>0</v>
      </c>
      <c r="G15" s="85">
        <f t="shared" si="1"/>
        <v>0</v>
      </c>
      <c r="H15" s="85">
        <f t="shared" si="1"/>
        <v>0</v>
      </c>
      <c r="I15" s="85">
        <f t="shared" si="1"/>
        <v>0</v>
      </c>
      <c r="J15" s="85">
        <f t="shared" si="1"/>
        <v>0</v>
      </c>
      <c r="K15" s="85">
        <f t="shared" si="1"/>
        <v>0</v>
      </c>
      <c r="L15" s="85">
        <f t="shared" si="1"/>
        <v>0</v>
      </c>
      <c r="M15" s="85">
        <f t="shared" si="1"/>
        <v>0</v>
      </c>
      <c r="N15" s="85">
        <f t="shared" si="1"/>
        <v>0</v>
      </c>
      <c r="O15" s="85">
        <f>SUM(O4:O14)</f>
        <v>0</v>
      </c>
    </row>
    <row r="17" spans="2:3" x14ac:dyDescent="0.25">
      <c r="B17" s="75" t="s">
        <v>21</v>
      </c>
      <c r="C17" s="90"/>
    </row>
    <row r="18" spans="2:3" x14ac:dyDescent="0.25">
      <c r="B18" s="93" t="s">
        <v>2</v>
      </c>
      <c r="C18" s="82" t="s">
        <v>35</v>
      </c>
    </row>
    <row r="19" spans="2:3" x14ac:dyDescent="0.25">
      <c r="B19" s="85" cm="1">
        <f t="array" ref="B19:B29">IF(_xlfn._xlws.SORT(NS[Nurses Stations],1,1,TRUE)=0,"",(_xlfn._xlws.SORT(NS[Nurses Stations],1,1,TRUE)))</f>
        <v>1</v>
      </c>
      <c r="C19" s="76">
        <f>IF($O4="",NA(),$O4)</f>
        <v>0</v>
      </c>
    </row>
    <row r="20" spans="2:3" x14ac:dyDescent="0.25">
      <c r="B20" s="85">
        <v>2</v>
      </c>
      <c r="C20" s="76">
        <f t="shared" ref="C20:C29" si="2">IF($O5="",NA(),$O5)</f>
        <v>0</v>
      </c>
    </row>
    <row r="21" spans="2:3" x14ac:dyDescent="0.25">
      <c r="B21" s="85">
        <v>3</v>
      </c>
      <c r="C21" s="76">
        <f t="shared" si="2"/>
        <v>0</v>
      </c>
    </row>
    <row r="22" spans="2:3" x14ac:dyDescent="0.25">
      <c r="B22" s="85">
        <v>4</v>
      </c>
      <c r="C22" s="76">
        <f t="shared" si="2"/>
        <v>0</v>
      </c>
    </row>
    <row r="23" spans="2:3" x14ac:dyDescent="0.25">
      <c r="B23" s="85">
        <v>5</v>
      </c>
      <c r="C23" s="76">
        <f t="shared" si="2"/>
        <v>0</v>
      </c>
    </row>
    <row r="24" spans="2:3" x14ac:dyDescent="0.25">
      <c r="B24" s="85" t="str">
        <v/>
      </c>
      <c r="C24" s="76" t="e">
        <f t="shared" si="2"/>
        <v>#N/A</v>
      </c>
    </row>
    <row r="25" spans="2:3" x14ac:dyDescent="0.25">
      <c r="B25" s="85" t="str">
        <v/>
      </c>
      <c r="C25" s="76" t="e">
        <f t="shared" si="2"/>
        <v>#N/A</v>
      </c>
    </row>
    <row r="26" spans="2:3" x14ac:dyDescent="0.25">
      <c r="B26" s="85" t="str">
        <v/>
      </c>
      <c r="C26" s="76" t="e">
        <f t="shared" si="2"/>
        <v>#N/A</v>
      </c>
    </row>
    <row r="27" spans="2:3" x14ac:dyDescent="0.25">
      <c r="B27" s="85" t="str">
        <v/>
      </c>
      <c r="C27" s="76" t="e">
        <f t="shared" si="2"/>
        <v>#N/A</v>
      </c>
    </row>
    <row r="28" spans="2:3" x14ac:dyDescent="0.25">
      <c r="B28" s="85" t="str">
        <v/>
      </c>
      <c r="C28" s="76" t="e">
        <f t="shared" si="2"/>
        <v>#N/A</v>
      </c>
    </row>
    <row r="29" spans="2:3" x14ac:dyDescent="0.25">
      <c r="B29" s="85" t="str">
        <v/>
      </c>
      <c r="C29" s="76" t="e">
        <f t="shared" si="2"/>
        <v>#N/A</v>
      </c>
    </row>
    <row r="30" spans="2:3" x14ac:dyDescent="0.25">
      <c r="B30" s="93" t="s">
        <v>35</v>
      </c>
      <c r="C30" s="85">
        <f>_xlfn.AGGREGATE(9,6,C19:C29)</f>
        <v>0</v>
      </c>
    </row>
    <row r="32" spans="2:3" x14ac:dyDescent="0.25">
      <c r="B32" s="89"/>
      <c r="C32" s="89"/>
    </row>
    <row r="33" spans="2:15" ht="15" customHeight="1" x14ac:dyDescent="0.25">
      <c r="B33" s="75" t="str">
        <f>"Location of Falls by Month "&amp;IF(Jan!$C$1=0,"",Jan!$C$1)</f>
        <v xml:space="preserve">Location of Falls by Month </v>
      </c>
      <c r="C33" s="75"/>
      <c r="D33" s="75"/>
      <c r="E33" s="75"/>
      <c r="F33" s="75"/>
      <c r="G33" s="75"/>
      <c r="H33" s="75"/>
      <c r="I33" s="75"/>
      <c r="J33" s="75"/>
      <c r="K33" s="75"/>
      <c r="L33" s="75"/>
      <c r="M33" s="75"/>
      <c r="N33" s="75"/>
      <c r="O33" s="75"/>
    </row>
    <row r="34" spans="2:15" x14ac:dyDescent="0.25">
      <c r="B34" s="74" t="s">
        <v>20</v>
      </c>
      <c r="C34" s="82" t="s">
        <v>4</v>
      </c>
      <c r="D34" s="82" t="s">
        <v>5</v>
      </c>
      <c r="E34" s="82" t="s">
        <v>6</v>
      </c>
      <c r="F34" s="82" t="s">
        <v>7</v>
      </c>
      <c r="G34" s="82" t="s">
        <v>8</v>
      </c>
      <c r="H34" s="82" t="s">
        <v>9</v>
      </c>
      <c r="I34" s="82" t="s">
        <v>10</v>
      </c>
      <c r="J34" s="82" t="s">
        <v>11</v>
      </c>
      <c r="K34" s="82" t="s">
        <v>12</v>
      </c>
      <c r="L34" s="82" t="s">
        <v>13</v>
      </c>
      <c r="M34" s="82" t="s">
        <v>14</v>
      </c>
      <c r="N34" s="82" t="s">
        <v>15</v>
      </c>
      <c r="O34" s="82" t="s">
        <v>16</v>
      </c>
    </row>
    <row r="35" spans="2:15" x14ac:dyDescent="0.25">
      <c r="B35" s="131" t="str" cm="1">
        <f t="array" ref="B35:B45">IF(_xlfn._xlws.SORT(Location[Location],1,1,TRUE)=0,"",(_xlfn._xlws.SORT(Location[Location],1,1,TRUE)))</f>
        <v>Activity Room</v>
      </c>
      <c r="C35" s="76">
        <f>IF($B35="",NA(),COUNTIFS(Jan[Location],$B35))</f>
        <v>0</v>
      </c>
      <c r="D35" s="76">
        <f>IF($B35="",NA(),COUNTIFS(Feb[Location],$B35))</f>
        <v>0</v>
      </c>
      <c r="E35" s="76">
        <f>IF($B35="",NA(),COUNTIFS(Mar[Location],$B35))</f>
        <v>0</v>
      </c>
      <c r="F35" s="76">
        <f>IF($B35="",NA(),COUNTIFS(Apr[Location],$B35))</f>
        <v>0</v>
      </c>
      <c r="G35" s="76">
        <f>IF($B35="",NA(),COUNTIFS(May[Location],$B35))</f>
        <v>0</v>
      </c>
      <c r="H35" s="76">
        <f>IF($B35="",NA(),COUNTIFS(June[Location],$B35))</f>
        <v>0</v>
      </c>
      <c r="I35" s="76">
        <f>IF($B35="",NA(),COUNTIFS(July[Location],$B35))</f>
        <v>0</v>
      </c>
      <c r="J35" s="76">
        <f>IF($B35="",NA(),COUNTIFS(Aug[Location],$B35))</f>
        <v>0</v>
      </c>
      <c r="K35" s="76">
        <f>IF($B35="",NA(),COUNTIFS(Sept[Location],$B35))</f>
        <v>0</v>
      </c>
      <c r="L35" s="76">
        <f>IF($B35="",NA(),COUNTIFS(Oct[Location],$B35))</f>
        <v>0</v>
      </c>
      <c r="M35" s="76">
        <f>IF($B35="",NA(),COUNTIFS(Nov[Location],$B35))</f>
        <v>0</v>
      </c>
      <c r="N35" s="76">
        <f>IF($B35="",NA(),COUNTIFS(Dec[Location],$B35))</f>
        <v>0</v>
      </c>
      <c r="O35" s="85">
        <f>IF($B35="","",_xlfn.AGGREGATE(9,6,C35:N35))</f>
        <v>0</v>
      </c>
    </row>
    <row r="36" spans="2:15" x14ac:dyDescent="0.25">
      <c r="B36" s="131" t="str">
        <v>Bedroom</v>
      </c>
      <c r="C36" s="76">
        <f>IF($B36="",NA(),COUNTIFS(Jan[Location],$B36))</f>
        <v>0</v>
      </c>
      <c r="D36" s="76">
        <f>IF($B36="",NA(),COUNTIFS(Feb[Location],$B36))</f>
        <v>0</v>
      </c>
      <c r="E36" s="76">
        <f>IF($B36="",NA(),COUNTIFS(Mar[Location],$B36))</f>
        <v>0</v>
      </c>
      <c r="F36" s="76">
        <f>IF($B36="",NA(),COUNTIFS(Apr[Location],$B36))</f>
        <v>0</v>
      </c>
      <c r="G36" s="76">
        <f>IF($B36="",NA(),COUNTIFS(May[Location],$B36))</f>
        <v>0</v>
      </c>
      <c r="H36" s="76">
        <f>IF($B36="",NA(),COUNTIFS(June[Location],$B36))</f>
        <v>0</v>
      </c>
      <c r="I36" s="76">
        <f>IF($B36="",NA(),COUNTIFS(July[Location],$B36))</f>
        <v>0</v>
      </c>
      <c r="J36" s="76">
        <f>IF($B36="",NA(),COUNTIFS(Aug[Location],$B36))</f>
        <v>0</v>
      </c>
      <c r="K36" s="76">
        <f>IF($B36="",NA(),COUNTIFS(Sept[Location],$B36))</f>
        <v>0</v>
      </c>
      <c r="L36" s="76">
        <f>IF($B36="",NA(),COUNTIFS(Oct[Location],$B36))</f>
        <v>0</v>
      </c>
      <c r="M36" s="76">
        <f>IF($B36="",NA(),COUNTIFS(Nov[Location],$B36))</f>
        <v>0</v>
      </c>
      <c r="N36" s="76">
        <f>IF($B36="",NA(),COUNTIFS(Dec[Location],$B36))</f>
        <v>0</v>
      </c>
      <c r="O36" s="85">
        <f t="shared" ref="O36:O45" si="3">IF($B36="","",_xlfn.AGGREGATE(9,6,C36:N36))</f>
        <v>0</v>
      </c>
    </row>
    <row r="37" spans="2:15" x14ac:dyDescent="0.25">
      <c r="B37" s="131" t="str">
        <v>Bathroom</v>
      </c>
      <c r="C37" s="76">
        <f>IF($B37="",NA(),COUNTIFS(Jan[Location],$B37))</f>
        <v>0</v>
      </c>
      <c r="D37" s="76">
        <f>IF($B37="",NA(),COUNTIFS(Feb[Location],$B37))</f>
        <v>0</v>
      </c>
      <c r="E37" s="76">
        <f>IF($B37="",NA(),COUNTIFS(Mar[Location],$B37))</f>
        <v>0</v>
      </c>
      <c r="F37" s="76">
        <f>IF($B37="",NA(),COUNTIFS(Apr[Location],$B37))</f>
        <v>0</v>
      </c>
      <c r="G37" s="76">
        <f>IF($B37="",NA(),COUNTIFS(May[Location],$B37))</f>
        <v>0</v>
      </c>
      <c r="H37" s="76">
        <f>IF($B37="",NA(),COUNTIFS(June[Location],$B37))</f>
        <v>0</v>
      </c>
      <c r="I37" s="76">
        <f>IF($B37="",NA(),COUNTIFS(July[Location],$B37))</f>
        <v>0</v>
      </c>
      <c r="J37" s="76">
        <f>IF($B37="",NA(),COUNTIFS(Aug[Location],$B37))</f>
        <v>0</v>
      </c>
      <c r="K37" s="76">
        <f>IF($B37="",NA(),COUNTIFS(Sept[Location],$B37))</f>
        <v>0</v>
      </c>
      <c r="L37" s="76">
        <f>IF($B37="",NA(),COUNTIFS(Oct[Location],$B37))</f>
        <v>0</v>
      </c>
      <c r="M37" s="76">
        <f>IF($B37="",NA(),COUNTIFS(Nov[Location],$B37))</f>
        <v>0</v>
      </c>
      <c r="N37" s="76">
        <f>IF($B37="",NA(),COUNTIFS(Dec[Location],$B37))</f>
        <v>0</v>
      </c>
      <c r="O37" s="85">
        <f t="shared" si="3"/>
        <v>0</v>
      </c>
    </row>
    <row r="38" spans="2:15" x14ac:dyDescent="0.25">
      <c r="B38" s="131" t="str">
        <v>Hallway</v>
      </c>
      <c r="C38" s="76">
        <f>IF($B38="",NA(),COUNTIFS(Jan[Location],$B38))</f>
        <v>0</v>
      </c>
      <c r="D38" s="76">
        <f>IF($B38="",NA(),COUNTIFS(Feb[Location],$B38))</f>
        <v>0</v>
      </c>
      <c r="E38" s="76">
        <f>IF($B38="",NA(),COUNTIFS(Mar[Location],$B38))</f>
        <v>0</v>
      </c>
      <c r="F38" s="76">
        <f>IF($B38="",NA(),COUNTIFS(Apr[Location],$B38))</f>
        <v>0</v>
      </c>
      <c r="G38" s="76">
        <f>IF($B38="",NA(),COUNTIFS(May[Location],$B38))</f>
        <v>0</v>
      </c>
      <c r="H38" s="76">
        <f>IF($B38="",NA(),COUNTIFS(June[Location],$B38))</f>
        <v>0</v>
      </c>
      <c r="I38" s="76">
        <f>IF($B38="",NA(),COUNTIFS(July[Location],$B38))</f>
        <v>0</v>
      </c>
      <c r="J38" s="76">
        <f>IF($B38="",NA(),COUNTIFS(Aug[Location],$B38))</f>
        <v>0</v>
      </c>
      <c r="K38" s="76">
        <f>IF($B38="",NA(),COUNTIFS(Sept[Location],$B38))</f>
        <v>0</v>
      </c>
      <c r="L38" s="76">
        <f>IF($B38="",NA(),COUNTIFS(Oct[Location],$B38))</f>
        <v>0</v>
      </c>
      <c r="M38" s="76">
        <f>IF($B38="",NA(),COUNTIFS(Nov[Location],$B38))</f>
        <v>0</v>
      </c>
      <c r="N38" s="76">
        <f>IF($B38="",NA(),COUNTIFS(Dec[Location],$B38))</f>
        <v>0</v>
      </c>
      <c r="O38" s="85">
        <f t="shared" si="3"/>
        <v>0</v>
      </c>
    </row>
    <row r="39" spans="2:15" x14ac:dyDescent="0.25">
      <c r="B39" s="131" t="str">
        <v>Offsite</v>
      </c>
      <c r="C39" s="76">
        <f>IF($B39="",NA(),COUNTIFS(Jan[Location],$B39))</f>
        <v>0</v>
      </c>
      <c r="D39" s="76">
        <f>IF($B39="",NA(),COUNTIFS(Feb[Location],$B39))</f>
        <v>0</v>
      </c>
      <c r="E39" s="76">
        <f>IF($B39="",NA(),COUNTIFS(Mar[Location],$B39))</f>
        <v>0</v>
      </c>
      <c r="F39" s="76">
        <f>IF($B39="",NA(),COUNTIFS(Apr[Location],$B39))</f>
        <v>0</v>
      </c>
      <c r="G39" s="76">
        <f>IF($B39="",NA(),COUNTIFS(May[Location],$B39))</f>
        <v>0</v>
      </c>
      <c r="H39" s="76">
        <f>IF($B39="",NA(),COUNTIFS(June[Location],$B39))</f>
        <v>0</v>
      </c>
      <c r="I39" s="76">
        <f>IF($B39="",NA(),COUNTIFS(July[Location],$B39))</f>
        <v>0</v>
      </c>
      <c r="J39" s="76">
        <f>IF($B39="",NA(),COUNTIFS(Aug[Location],$B39))</f>
        <v>0</v>
      </c>
      <c r="K39" s="76">
        <f>IF($B39="",NA(),COUNTIFS(Sept[Location],$B39))</f>
        <v>0</v>
      </c>
      <c r="L39" s="76">
        <f>IF($B39="",NA(),COUNTIFS(Oct[Location],$B39))</f>
        <v>0</v>
      </c>
      <c r="M39" s="76">
        <f>IF($B39="",NA(),COUNTIFS(Nov[Location],$B39))</f>
        <v>0</v>
      </c>
      <c r="N39" s="76">
        <f>IF($B39="",NA(),COUNTIFS(Dec[Location],$B39))</f>
        <v>0</v>
      </c>
      <c r="O39" s="85">
        <f t="shared" si="3"/>
        <v>0</v>
      </c>
    </row>
    <row r="40" spans="2:15" x14ac:dyDescent="0.25">
      <c r="B40" s="131" t="str">
        <v>Shower Room</v>
      </c>
      <c r="C40" s="76">
        <f>IF($B40="",NA(),COUNTIFS(Jan[Location],$B40))</f>
        <v>0</v>
      </c>
      <c r="D40" s="76">
        <f>IF($B40="",NA(),COUNTIFS(Feb[Location],$B40))</f>
        <v>0</v>
      </c>
      <c r="E40" s="76">
        <f>IF($B40="",NA(),COUNTIFS(Mar[Location],$B40))</f>
        <v>0</v>
      </c>
      <c r="F40" s="76">
        <f>IF($B40="",NA(),COUNTIFS(Apr[Location],$B40))</f>
        <v>0</v>
      </c>
      <c r="G40" s="76">
        <f>IF($B40="",NA(),COUNTIFS(May[Location],$B40))</f>
        <v>0</v>
      </c>
      <c r="H40" s="76">
        <f>IF($B40="",NA(),COUNTIFS(June[Location],$B40))</f>
        <v>0</v>
      </c>
      <c r="I40" s="76">
        <f>IF($B40="",NA(),COUNTIFS(July[Location],$B40))</f>
        <v>0</v>
      </c>
      <c r="J40" s="76">
        <f>IF($B40="",NA(),COUNTIFS(Aug[Location],$B40))</f>
        <v>0</v>
      </c>
      <c r="K40" s="76">
        <f>IF($B40="",NA(),COUNTIFS(Sept[Location],$B40))</f>
        <v>0</v>
      </c>
      <c r="L40" s="76">
        <f>IF($B40="",NA(),COUNTIFS(Oct[Location],$B40))</f>
        <v>0</v>
      </c>
      <c r="M40" s="76">
        <f>IF($B40="",NA(),COUNTIFS(Nov[Location],$B40))</f>
        <v>0</v>
      </c>
      <c r="N40" s="76">
        <f>IF($B40="",NA(),COUNTIFS(Dec[Location],$B40))</f>
        <v>0</v>
      </c>
      <c r="O40" s="85">
        <f t="shared" si="3"/>
        <v>0</v>
      </c>
    </row>
    <row r="41" spans="2:15" x14ac:dyDescent="0.25">
      <c r="B41" s="131" t="str">
        <v>Dining Room</v>
      </c>
      <c r="C41" s="76">
        <f>IF($B41="",NA(),COUNTIFS(Jan[Location],$B41))</f>
        <v>0</v>
      </c>
      <c r="D41" s="76">
        <f>IF($B41="",NA(),COUNTIFS(Feb[Location],$B41))</f>
        <v>0</v>
      </c>
      <c r="E41" s="76">
        <f>IF($B41="",NA(),COUNTIFS(Mar[Location],$B41))</f>
        <v>0</v>
      </c>
      <c r="F41" s="76">
        <f>IF($B41="",NA(),COUNTIFS(Apr[Location],$B41))</f>
        <v>0</v>
      </c>
      <c r="G41" s="76">
        <f>IF($B41="",NA(),COUNTIFS(May[Location],$B41))</f>
        <v>0</v>
      </c>
      <c r="H41" s="76">
        <f>IF($B41="",NA(),COUNTIFS(June[Location],$B41))</f>
        <v>0</v>
      </c>
      <c r="I41" s="76">
        <f>IF($B41="",NA(),COUNTIFS(July[Location],$B41))</f>
        <v>0</v>
      </c>
      <c r="J41" s="76">
        <f>IF($B41="",NA(),COUNTIFS(Aug[Location],$B41))</f>
        <v>0</v>
      </c>
      <c r="K41" s="76">
        <f>IF($B41="",NA(),COUNTIFS(Sept[Location],$B41))</f>
        <v>0</v>
      </c>
      <c r="L41" s="76">
        <f>IF($B41="",NA(),COUNTIFS(Oct[Location],$B41))</f>
        <v>0</v>
      </c>
      <c r="M41" s="76">
        <f>IF($B41="",NA(),COUNTIFS(Nov[Location],$B41))</f>
        <v>0</v>
      </c>
      <c r="N41" s="76">
        <f>IF($B41="",NA(),COUNTIFS(Dec[Location],$B41))</f>
        <v>0</v>
      </c>
      <c r="O41" s="85">
        <f t="shared" si="3"/>
        <v>0</v>
      </c>
    </row>
    <row r="42" spans="2:15" x14ac:dyDescent="0.25">
      <c r="B42" s="131" t="str">
        <v/>
      </c>
      <c r="C42" s="76" t="e">
        <f>IF($B42="",NA(),COUNTIFS(Jan[Location],$B42))</f>
        <v>#N/A</v>
      </c>
      <c r="D42" s="76" t="e">
        <f>IF($B42="",NA(),COUNTIFS(Feb[Location],$B42))</f>
        <v>#N/A</v>
      </c>
      <c r="E42" s="76" t="e">
        <f>IF($B42="",NA(),COUNTIFS(Mar[Location],$B42))</f>
        <v>#N/A</v>
      </c>
      <c r="F42" s="76" t="e">
        <f>IF($B42="",NA(),COUNTIFS(Apr[Location],$B42))</f>
        <v>#N/A</v>
      </c>
      <c r="G42" s="76" t="e">
        <f>IF($B42="",NA(),COUNTIFS(May[Location],$B42))</f>
        <v>#N/A</v>
      </c>
      <c r="H42" s="76" t="e">
        <f>IF($B42="",NA(),COUNTIFS(June[Location],$B42))</f>
        <v>#N/A</v>
      </c>
      <c r="I42" s="76" t="e">
        <f>IF($B42="",NA(),COUNTIFS(July[Location],$B42))</f>
        <v>#N/A</v>
      </c>
      <c r="J42" s="76" t="e">
        <f>IF($B42="",NA(),COUNTIFS(Aug[Location],$B42))</f>
        <v>#N/A</v>
      </c>
      <c r="K42" s="76" t="e">
        <f>IF($B42="",NA(),COUNTIFS(Sept[Location],$B42))</f>
        <v>#N/A</v>
      </c>
      <c r="L42" s="76" t="e">
        <f>IF($B42="",NA(),COUNTIFS(Oct[Location],$B42))</f>
        <v>#N/A</v>
      </c>
      <c r="M42" s="76" t="e">
        <f>IF($B42="",NA(),COUNTIFS(Nov[Location],$B42))</f>
        <v>#N/A</v>
      </c>
      <c r="N42" s="76" t="e">
        <f>IF($B42="",NA(),COUNTIFS(Dec[Location],$B42))</f>
        <v>#N/A</v>
      </c>
      <c r="O42" s="85" t="str">
        <f t="shared" si="3"/>
        <v/>
      </c>
    </row>
    <row r="43" spans="2:15" x14ac:dyDescent="0.25">
      <c r="B43" s="131" t="str">
        <v/>
      </c>
      <c r="C43" s="76" t="e">
        <f>IF($B43="",NA(),COUNTIFS(Jan[Location],$B43))</f>
        <v>#N/A</v>
      </c>
      <c r="D43" s="76" t="e">
        <f>IF($B43="",NA(),COUNTIFS(Feb[Location],$B43))</f>
        <v>#N/A</v>
      </c>
      <c r="E43" s="76" t="e">
        <f>IF($B43="",NA(),COUNTIFS(Mar[Location],$B43))</f>
        <v>#N/A</v>
      </c>
      <c r="F43" s="76" t="e">
        <f>IF($B43="",NA(),COUNTIFS(Apr[Location],$B43))</f>
        <v>#N/A</v>
      </c>
      <c r="G43" s="76" t="e">
        <f>IF($B43="",NA(),COUNTIFS(May[Location],$B43))</f>
        <v>#N/A</v>
      </c>
      <c r="H43" s="76" t="e">
        <f>IF($B43="",NA(),COUNTIFS(June[Location],$B43))</f>
        <v>#N/A</v>
      </c>
      <c r="I43" s="76" t="e">
        <f>IF($B43="",NA(),COUNTIFS(July[Location],$B43))</f>
        <v>#N/A</v>
      </c>
      <c r="J43" s="76" t="e">
        <f>IF($B43="",NA(),COUNTIFS(Aug[Location],$B43))</f>
        <v>#N/A</v>
      </c>
      <c r="K43" s="76" t="e">
        <f>IF($B43="",NA(),COUNTIFS(Sept[Location],$B43))</f>
        <v>#N/A</v>
      </c>
      <c r="L43" s="76" t="e">
        <f>IF($B43="",NA(),COUNTIFS(Oct[Location],$B43))</f>
        <v>#N/A</v>
      </c>
      <c r="M43" s="76" t="e">
        <f>IF($B43="",NA(),COUNTIFS(Nov[Location],$B43))</f>
        <v>#N/A</v>
      </c>
      <c r="N43" s="76" t="e">
        <f>IF($B43="",NA(),COUNTIFS(Dec[Location],$B43))</f>
        <v>#N/A</v>
      </c>
      <c r="O43" s="85" t="str">
        <f t="shared" si="3"/>
        <v/>
      </c>
    </row>
    <row r="44" spans="2:15" x14ac:dyDescent="0.25">
      <c r="B44" s="131" t="str">
        <v/>
      </c>
      <c r="C44" s="76" t="e">
        <f>IF($B44="",NA(),COUNTIFS(Jan[Location],$B44))</f>
        <v>#N/A</v>
      </c>
      <c r="D44" s="76" t="e">
        <f>IF($B44="",NA(),COUNTIFS(Feb[Location],$B44))</f>
        <v>#N/A</v>
      </c>
      <c r="E44" s="76" t="e">
        <f>IF($B44="",NA(),COUNTIFS(Mar[Location],$B44))</f>
        <v>#N/A</v>
      </c>
      <c r="F44" s="76" t="e">
        <f>IF($B44="",NA(),COUNTIFS(Apr[Location],$B44))</f>
        <v>#N/A</v>
      </c>
      <c r="G44" s="76" t="e">
        <f>IF($B44="",NA(),COUNTIFS(May[Location],$B44))</f>
        <v>#N/A</v>
      </c>
      <c r="H44" s="76" t="e">
        <f>IF($B44="",NA(),COUNTIFS(June[Location],$B44))</f>
        <v>#N/A</v>
      </c>
      <c r="I44" s="76" t="e">
        <f>IF($B44="",NA(),COUNTIFS(July[Location],$B44))</f>
        <v>#N/A</v>
      </c>
      <c r="J44" s="76" t="e">
        <f>IF($B44="",NA(),COUNTIFS(Aug[Location],$B44))</f>
        <v>#N/A</v>
      </c>
      <c r="K44" s="76" t="e">
        <f>IF($B44="",NA(),COUNTIFS(Sept[Location],$B44))</f>
        <v>#N/A</v>
      </c>
      <c r="L44" s="76" t="e">
        <f>IF($B44="",NA(),COUNTIFS(Oct[Location],$B44))</f>
        <v>#N/A</v>
      </c>
      <c r="M44" s="76" t="e">
        <f>IF($B44="",NA(),COUNTIFS(Nov[Location],$B44))</f>
        <v>#N/A</v>
      </c>
      <c r="N44" s="76" t="e">
        <f>IF($B44="",NA(),COUNTIFS(Dec[Location],$B44))</f>
        <v>#N/A</v>
      </c>
      <c r="O44" s="85" t="str">
        <f t="shared" si="3"/>
        <v/>
      </c>
    </row>
    <row r="45" spans="2:15" x14ac:dyDescent="0.25">
      <c r="B45" s="131" t="str">
        <v/>
      </c>
      <c r="C45" s="76" t="e">
        <f>IF($B45="",NA(),COUNTIFS(Jan[Location],$B45))</f>
        <v>#N/A</v>
      </c>
      <c r="D45" s="76" t="e">
        <f>IF($B45="",NA(),COUNTIFS(Feb[Location],$B45))</f>
        <v>#N/A</v>
      </c>
      <c r="E45" s="76" t="e">
        <f>IF($B45="",NA(),COUNTIFS(Mar[Location],$B45))</f>
        <v>#N/A</v>
      </c>
      <c r="F45" s="76" t="e">
        <f>IF($B45="",NA(),COUNTIFS(Apr[Location],$B45))</f>
        <v>#N/A</v>
      </c>
      <c r="G45" s="76" t="e">
        <f>IF($B45="",NA(),COUNTIFS(May[Location],$B45))</f>
        <v>#N/A</v>
      </c>
      <c r="H45" s="76" t="e">
        <f>IF($B45="",NA(),COUNTIFS(June[Location],$B45))</f>
        <v>#N/A</v>
      </c>
      <c r="I45" s="76" t="e">
        <f>IF($B45="",NA(),COUNTIFS(July[Location],$B45))</f>
        <v>#N/A</v>
      </c>
      <c r="J45" s="76" t="e">
        <f>IF($B45="",NA(),COUNTIFS(Aug[Location],$B45))</f>
        <v>#N/A</v>
      </c>
      <c r="K45" s="76" t="e">
        <f>IF($B45="",NA(),COUNTIFS(Sept[Location],$B45))</f>
        <v>#N/A</v>
      </c>
      <c r="L45" s="76" t="e">
        <f>IF($B45="",NA(),COUNTIFS(Oct[Location],$B45))</f>
        <v>#N/A</v>
      </c>
      <c r="M45" s="76" t="e">
        <f>IF($B45="",NA(),COUNTIFS(Nov[Location],$B45))</f>
        <v>#N/A</v>
      </c>
      <c r="N45" s="76" t="e">
        <f>IF($B45="",NA(),COUNTIFS(Dec[Location],$B45))</f>
        <v>#N/A</v>
      </c>
      <c r="O45" s="85" t="str">
        <f t="shared" si="3"/>
        <v/>
      </c>
    </row>
    <row r="46" spans="2:15" x14ac:dyDescent="0.25">
      <c r="B46" s="131" t="s">
        <v>16</v>
      </c>
      <c r="C46" s="85">
        <f>_xlfn.AGGREGATE(9,6,C35:C45)</f>
        <v>0</v>
      </c>
      <c r="D46" s="85">
        <f t="shared" ref="D46:N46" si="4">_xlfn.AGGREGATE(9,6,D35:D45)</f>
        <v>0</v>
      </c>
      <c r="E46" s="85">
        <f t="shared" si="4"/>
        <v>0</v>
      </c>
      <c r="F46" s="85">
        <f t="shared" si="4"/>
        <v>0</v>
      </c>
      <c r="G46" s="85">
        <f t="shared" si="4"/>
        <v>0</v>
      </c>
      <c r="H46" s="85">
        <f t="shared" si="4"/>
        <v>0</v>
      </c>
      <c r="I46" s="85">
        <f t="shared" si="4"/>
        <v>0</v>
      </c>
      <c r="J46" s="85">
        <f t="shared" si="4"/>
        <v>0</v>
      </c>
      <c r="K46" s="85">
        <f t="shared" si="4"/>
        <v>0</v>
      </c>
      <c r="L46" s="85">
        <f t="shared" si="4"/>
        <v>0</v>
      </c>
      <c r="M46" s="85">
        <f t="shared" si="4"/>
        <v>0</v>
      </c>
      <c r="N46" s="85">
        <f t="shared" si="4"/>
        <v>0</v>
      </c>
      <c r="O46" s="85">
        <f>SUM(O35:O45)</f>
        <v>0</v>
      </c>
    </row>
    <row r="47" spans="2:15" ht="6.95" customHeight="1" x14ac:dyDescent="0.25"/>
    <row r="48" spans="2:15" ht="15" customHeight="1" x14ac:dyDescent="0.25">
      <c r="B48" s="77" t="str">
        <f>"Location of Falls "&amp;IF(Jan!$C$1=0,"",Jan!$C$1)</f>
        <v xml:space="preserve">Location of Falls </v>
      </c>
      <c r="C48" s="90"/>
    </row>
    <row r="49" spans="2:15" x14ac:dyDescent="0.25">
      <c r="B49" s="132" t="s">
        <v>1</v>
      </c>
      <c r="C49" s="71" t="s">
        <v>35</v>
      </c>
    </row>
    <row r="50" spans="2:15" x14ac:dyDescent="0.25">
      <c r="B50" s="132" t="str" cm="1">
        <f t="array" ref="B50:B60">IF(_xlfn._xlws.SORT(Location[Location],1,1,TRUE)=0,"",(_xlfn._xlws.SORT(Location[Location],1,1,TRUE)))</f>
        <v>Activity Room</v>
      </c>
      <c r="C50" s="76">
        <f>IF($O35="",NA(),$O35)</f>
        <v>0</v>
      </c>
    </row>
    <row r="51" spans="2:15" x14ac:dyDescent="0.25">
      <c r="B51" s="132" t="str">
        <v>Bedroom</v>
      </c>
      <c r="C51" s="76">
        <f t="shared" ref="C51:C60" si="5">IF($O36="",NA(),$O36)</f>
        <v>0</v>
      </c>
    </row>
    <row r="52" spans="2:15" x14ac:dyDescent="0.25">
      <c r="B52" s="132" t="str">
        <v>Bathroom</v>
      </c>
      <c r="C52" s="76">
        <f t="shared" si="5"/>
        <v>0</v>
      </c>
    </row>
    <row r="53" spans="2:15" x14ac:dyDescent="0.25">
      <c r="B53" s="132" t="str">
        <v>Hallway</v>
      </c>
      <c r="C53" s="76">
        <f t="shared" si="5"/>
        <v>0</v>
      </c>
    </row>
    <row r="54" spans="2:15" x14ac:dyDescent="0.25">
      <c r="B54" s="132" t="str">
        <v>Offsite</v>
      </c>
      <c r="C54" s="76">
        <f t="shared" si="5"/>
        <v>0</v>
      </c>
    </row>
    <row r="55" spans="2:15" x14ac:dyDescent="0.25">
      <c r="B55" s="132" t="str">
        <v>Shower Room</v>
      </c>
      <c r="C55" s="76">
        <f t="shared" si="5"/>
        <v>0</v>
      </c>
    </row>
    <row r="56" spans="2:15" x14ac:dyDescent="0.25">
      <c r="B56" s="132" t="str">
        <v>Dining Room</v>
      </c>
      <c r="C56" s="76">
        <f t="shared" si="5"/>
        <v>0</v>
      </c>
    </row>
    <row r="57" spans="2:15" x14ac:dyDescent="0.25">
      <c r="B57" s="132" t="str">
        <v/>
      </c>
      <c r="C57" s="76" t="e">
        <f t="shared" si="5"/>
        <v>#N/A</v>
      </c>
    </row>
    <row r="58" spans="2:15" x14ac:dyDescent="0.25">
      <c r="B58" s="132" t="str">
        <v/>
      </c>
      <c r="C58" s="76" t="e">
        <f t="shared" si="5"/>
        <v>#N/A</v>
      </c>
    </row>
    <row r="59" spans="2:15" x14ac:dyDescent="0.25">
      <c r="B59" s="132" t="str">
        <v/>
      </c>
      <c r="C59" s="76" t="e">
        <f t="shared" si="5"/>
        <v>#N/A</v>
      </c>
    </row>
    <row r="60" spans="2:15" x14ac:dyDescent="0.25">
      <c r="B60" s="132" t="str">
        <v/>
      </c>
      <c r="C60" s="76" t="e">
        <f t="shared" si="5"/>
        <v>#N/A</v>
      </c>
    </row>
    <row r="61" spans="2:15" x14ac:dyDescent="0.25">
      <c r="B61" s="71" t="s">
        <v>16</v>
      </c>
      <c r="C61" s="85">
        <f>_xlfn.AGGREGATE(9,6,C50:C60)</f>
        <v>0</v>
      </c>
    </row>
    <row r="62" spans="2:15" ht="7.15" customHeight="1" x14ac:dyDescent="0.25">
      <c r="B62" s="10"/>
      <c r="C62" s="10"/>
      <c r="D62" s="10"/>
      <c r="E62" s="10"/>
      <c r="F62" s="10"/>
      <c r="G62" s="10"/>
      <c r="H62" s="10"/>
      <c r="I62" s="133"/>
    </row>
    <row r="63" spans="2:15" ht="15" customHeight="1" x14ac:dyDescent="0.25">
      <c r="B63" s="134" t="str">
        <f>"Falls by Day of the Week "&amp;IF(Jan!$C$1=0,"",Jan!$C$1)</f>
        <v xml:space="preserve">Falls by Day of the Week </v>
      </c>
      <c r="C63" s="69"/>
      <c r="D63" s="69"/>
      <c r="E63" s="69"/>
      <c r="F63" s="69"/>
      <c r="G63" s="69"/>
      <c r="H63" s="69"/>
      <c r="I63" s="69"/>
      <c r="J63" s="69"/>
      <c r="K63" s="69"/>
      <c r="L63" s="69"/>
      <c r="M63" s="69"/>
      <c r="N63" s="69"/>
      <c r="O63" s="70"/>
    </row>
    <row r="64" spans="2:15" x14ac:dyDescent="0.25">
      <c r="B64" s="93" t="s">
        <v>22</v>
      </c>
      <c r="C64" s="82" t="s">
        <v>4</v>
      </c>
      <c r="D64" s="82" t="s">
        <v>5</v>
      </c>
      <c r="E64" s="82" t="s">
        <v>6</v>
      </c>
      <c r="F64" s="82" t="s">
        <v>7</v>
      </c>
      <c r="G64" s="82" t="s">
        <v>8</v>
      </c>
      <c r="H64" s="82" t="s">
        <v>9</v>
      </c>
      <c r="I64" s="82" t="s">
        <v>10</v>
      </c>
      <c r="J64" s="82" t="s">
        <v>11</v>
      </c>
      <c r="K64" s="82" t="s">
        <v>12</v>
      </c>
      <c r="L64" s="82" t="s">
        <v>13</v>
      </c>
      <c r="M64" s="82" t="s">
        <v>14</v>
      </c>
      <c r="N64" s="82" t="s">
        <v>15</v>
      </c>
      <c r="O64" s="82" t="s">
        <v>16</v>
      </c>
    </row>
    <row r="65" spans="2:15" x14ac:dyDescent="0.25">
      <c r="B65" s="131" t="s">
        <v>46</v>
      </c>
      <c r="C65" s="135">
        <f>COUNTIFS(Jan[Day],$B65)</f>
        <v>0</v>
      </c>
      <c r="D65" s="135">
        <f>COUNTIFS(Feb[Day],$B65)</f>
        <v>0</v>
      </c>
      <c r="E65" s="135">
        <f>COUNTIFS(Mar[Day],$B65)</f>
        <v>0</v>
      </c>
      <c r="F65" s="135">
        <f>COUNTIFS(Apr[Day],$B65)</f>
        <v>0</v>
      </c>
      <c r="G65" s="135">
        <f>COUNTIFS(May[Day],$B65)</f>
        <v>0</v>
      </c>
      <c r="H65" s="135">
        <f>COUNTIFS(June[Day],$B65)</f>
        <v>0</v>
      </c>
      <c r="I65" s="135">
        <f>COUNTIFS(July[Day],$B65)</f>
        <v>0</v>
      </c>
      <c r="J65" s="135">
        <f>COUNTIFS(Aug[Day],$B65)</f>
        <v>0</v>
      </c>
      <c r="K65" s="135">
        <f>COUNTIFS(Sept[Day],$B65)</f>
        <v>0</v>
      </c>
      <c r="L65" s="135">
        <f>COUNTIFS(Oct[Day],$B65)</f>
        <v>0</v>
      </c>
      <c r="M65" s="135">
        <f>COUNTIFS(Nov[Day],$B65)</f>
        <v>0</v>
      </c>
      <c r="N65" s="135">
        <f>COUNTIFS(Dec[Day],$B65)</f>
        <v>0</v>
      </c>
      <c r="O65" s="85">
        <f>_xlfn.AGGREGATE(9,6,C65:N65)</f>
        <v>0</v>
      </c>
    </row>
    <row r="66" spans="2:15" x14ac:dyDescent="0.25">
      <c r="B66" s="131" t="s">
        <v>47</v>
      </c>
      <c r="C66" s="135">
        <f>COUNTIFS(Jan[Day],$B66)</f>
        <v>0</v>
      </c>
      <c r="D66" s="135">
        <f>COUNTIFS(Feb[Day],$B66)</f>
        <v>0</v>
      </c>
      <c r="E66" s="135">
        <f>COUNTIFS(Mar[Day],$B66)</f>
        <v>0</v>
      </c>
      <c r="F66" s="135">
        <f>COUNTIFS(Apr[Day],$B66)</f>
        <v>0</v>
      </c>
      <c r="G66" s="135">
        <f>COUNTIFS(May[Day],$B66)</f>
        <v>0</v>
      </c>
      <c r="H66" s="135">
        <f>COUNTIFS(June[Day],$B66)</f>
        <v>0</v>
      </c>
      <c r="I66" s="135">
        <f>COUNTIFS(July[Day],$B66)</f>
        <v>0</v>
      </c>
      <c r="J66" s="135">
        <f>COUNTIFS(Aug[Day],$B66)</f>
        <v>0</v>
      </c>
      <c r="K66" s="135">
        <f>COUNTIFS(Sept[Day],$B66)</f>
        <v>0</v>
      </c>
      <c r="L66" s="135">
        <f>COUNTIFS(Oct[Day],$B66)</f>
        <v>0</v>
      </c>
      <c r="M66" s="135">
        <f>COUNTIFS(Nov[Day],$B66)</f>
        <v>0</v>
      </c>
      <c r="N66" s="135">
        <f>COUNTIFS(Dec[Day],$B66)</f>
        <v>0</v>
      </c>
      <c r="O66" s="85">
        <f>_xlfn.AGGREGATE(9,6,C66:N66)</f>
        <v>0</v>
      </c>
    </row>
    <row r="67" spans="2:15" x14ac:dyDescent="0.25">
      <c r="B67" s="131" t="s">
        <v>52</v>
      </c>
      <c r="C67" s="135">
        <f>COUNTIFS(Jan[Day],$B67)</f>
        <v>0</v>
      </c>
      <c r="D67" s="135">
        <f>COUNTIFS(Feb[Day],$B67)</f>
        <v>0</v>
      </c>
      <c r="E67" s="135">
        <f>COUNTIFS(Mar[Day],$B67)</f>
        <v>0</v>
      </c>
      <c r="F67" s="135">
        <f>COUNTIFS(Apr[Day],$B67)</f>
        <v>0</v>
      </c>
      <c r="G67" s="135">
        <f>COUNTIFS(May[Day],$B67)</f>
        <v>0</v>
      </c>
      <c r="H67" s="135">
        <f>COUNTIFS(June[Day],$B67)</f>
        <v>0</v>
      </c>
      <c r="I67" s="135">
        <f>COUNTIFS(July[Day],$B67)</f>
        <v>0</v>
      </c>
      <c r="J67" s="135">
        <f>COUNTIFS(Aug[Day],$B67)</f>
        <v>0</v>
      </c>
      <c r="K67" s="135">
        <f>COUNTIFS(Sept[Day],$B67)</f>
        <v>0</v>
      </c>
      <c r="L67" s="135">
        <f>COUNTIFS(Oct[Day],$B67)</f>
        <v>0</v>
      </c>
      <c r="M67" s="135">
        <f>COUNTIFS(Nov[Day],$B67)</f>
        <v>0</v>
      </c>
      <c r="N67" s="135">
        <f>COUNTIFS(Dec[Day],$B67)</f>
        <v>0</v>
      </c>
      <c r="O67" s="85">
        <f t="shared" ref="O67:O71" si="6">_xlfn.AGGREGATE(9,6,C67:N67)</f>
        <v>0</v>
      </c>
    </row>
    <row r="68" spans="2:15" x14ac:dyDescent="0.25">
      <c r="B68" s="131" t="s">
        <v>48</v>
      </c>
      <c r="C68" s="135">
        <f>COUNTIFS(Jan[Day],$B68)</f>
        <v>0</v>
      </c>
      <c r="D68" s="135">
        <f>COUNTIFS(Feb[Day],$B68)</f>
        <v>0</v>
      </c>
      <c r="E68" s="135">
        <f>COUNTIFS(Mar[Day],$B68)</f>
        <v>0</v>
      </c>
      <c r="F68" s="135">
        <f>COUNTIFS(Apr[Day],$B68)</f>
        <v>0</v>
      </c>
      <c r="G68" s="135">
        <f>COUNTIFS(May[Day],$B68)</f>
        <v>0</v>
      </c>
      <c r="H68" s="135">
        <f>COUNTIFS(June[Day],$B68)</f>
        <v>0</v>
      </c>
      <c r="I68" s="135">
        <f>COUNTIFS(July[Day],$B68)</f>
        <v>0</v>
      </c>
      <c r="J68" s="135">
        <f>COUNTIFS(Aug[Day],$B68)</f>
        <v>0</v>
      </c>
      <c r="K68" s="135">
        <f>COUNTIFS(Sept[Day],$B68)</f>
        <v>0</v>
      </c>
      <c r="L68" s="135">
        <f>COUNTIFS(Oct[Day],$B68)</f>
        <v>0</v>
      </c>
      <c r="M68" s="135">
        <f>COUNTIFS(Nov[Day],$B68)</f>
        <v>0</v>
      </c>
      <c r="N68" s="135">
        <f>COUNTIFS(Dec[Day],$B68)</f>
        <v>0</v>
      </c>
      <c r="O68" s="85">
        <f t="shared" si="6"/>
        <v>0</v>
      </c>
    </row>
    <row r="69" spans="2:15" x14ac:dyDescent="0.25">
      <c r="B69" s="131" t="s">
        <v>51</v>
      </c>
      <c r="C69" s="135">
        <f>COUNTIFS(Jan[Day],$B69)</f>
        <v>0</v>
      </c>
      <c r="D69" s="135">
        <f>COUNTIFS(Feb[Day],$B69)</f>
        <v>0</v>
      </c>
      <c r="E69" s="135">
        <f>COUNTIFS(Mar[Day],$B69)</f>
        <v>0</v>
      </c>
      <c r="F69" s="135">
        <f>COUNTIFS(Apr[Day],$B69)</f>
        <v>0</v>
      </c>
      <c r="G69" s="135">
        <f>COUNTIFS(May[Day],$B69)</f>
        <v>0</v>
      </c>
      <c r="H69" s="135">
        <f>COUNTIFS(June[Day],$B69)</f>
        <v>0</v>
      </c>
      <c r="I69" s="135">
        <f>COUNTIFS(July[Day],$B69)</f>
        <v>0</v>
      </c>
      <c r="J69" s="135">
        <f>COUNTIFS(Aug[Day],$B69)</f>
        <v>0</v>
      </c>
      <c r="K69" s="135">
        <f>COUNTIFS(Sept[Day],$B69)</f>
        <v>0</v>
      </c>
      <c r="L69" s="135">
        <f>COUNTIFS(Oct[Day],$B69)</f>
        <v>0</v>
      </c>
      <c r="M69" s="135">
        <f>COUNTIFS(Nov[Day],$B69)</f>
        <v>0</v>
      </c>
      <c r="N69" s="135">
        <f>COUNTIFS(Dec[Day],$B69)</f>
        <v>0</v>
      </c>
      <c r="O69" s="85">
        <f t="shared" si="6"/>
        <v>0</v>
      </c>
    </row>
    <row r="70" spans="2:15" x14ac:dyDescent="0.25">
      <c r="B70" s="131" t="s">
        <v>49</v>
      </c>
      <c r="C70" s="135">
        <f>COUNTIFS(Jan[Day],$B70)</f>
        <v>0</v>
      </c>
      <c r="D70" s="135">
        <f>COUNTIFS(Feb[Day],$B70)</f>
        <v>0</v>
      </c>
      <c r="E70" s="135">
        <f>COUNTIFS(Mar[Day],$B70)</f>
        <v>0</v>
      </c>
      <c r="F70" s="135">
        <f>COUNTIFS(Apr[Day],$B70)</f>
        <v>0</v>
      </c>
      <c r="G70" s="135">
        <f>COUNTIFS(May[Day],$B70)</f>
        <v>0</v>
      </c>
      <c r="H70" s="135">
        <f>COUNTIFS(June[Day],$B70)</f>
        <v>0</v>
      </c>
      <c r="I70" s="135">
        <f>COUNTIFS(July[Day],$B70)</f>
        <v>0</v>
      </c>
      <c r="J70" s="135">
        <f>COUNTIFS(Aug[Day],$B70)</f>
        <v>0</v>
      </c>
      <c r="K70" s="135">
        <f>COUNTIFS(Sept[Day],$B70)</f>
        <v>0</v>
      </c>
      <c r="L70" s="135">
        <f>COUNTIFS(Oct[Day],$B70)</f>
        <v>0</v>
      </c>
      <c r="M70" s="135">
        <f>COUNTIFS(Nov[Day],$B70)</f>
        <v>0</v>
      </c>
      <c r="N70" s="135">
        <f>COUNTIFS(Dec[Day],$B70)</f>
        <v>0</v>
      </c>
      <c r="O70" s="85">
        <f t="shared" si="6"/>
        <v>0</v>
      </c>
    </row>
    <row r="71" spans="2:15" x14ac:dyDescent="0.25">
      <c r="B71" s="131" t="s">
        <v>50</v>
      </c>
      <c r="C71" s="135">
        <f>COUNTIFS(Jan[Day],$B71)</f>
        <v>0</v>
      </c>
      <c r="D71" s="135">
        <f>COUNTIFS(Feb[Day],$B71)</f>
        <v>0</v>
      </c>
      <c r="E71" s="135">
        <f>COUNTIFS(Mar[Day],$B71)</f>
        <v>0</v>
      </c>
      <c r="F71" s="135">
        <f>COUNTIFS(Apr[Day],$B71)</f>
        <v>0</v>
      </c>
      <c r="G71" s="135">
        <f>COUNTIFS(May[Day],$B71)</f>
        <v>0</v>
      </c>
      <c r="H71" s="135">
        <f>COUNTIFS(June[Day],$B71)</f>
        <v>0</v>
      </c>
      <c r="I71" s="135">
        <f>COUNTIFS(July[Day],$B71)</f>
        <v>0</v>
      </c>
      <c r="J71" s="135">
        <f>COUNTIFS(Aug[Day],$B71)</f>
        <v>0</v>
      </c>
      <c r="K71" s="135">
        <f>COUNTIFS(Sept[Day],$B71)</f>
        <v>0</v>
      </c>
      <c r="L71" s="135">
        <f>COUNTIFS(Oct[Day],$B71)</f>
        <v>0</v>
      </c>
      <c r="M71" s="135">
        <f>COUNTIFS(Nov[Day],$B71)</f>
        <v>0</v>
      </c>
      <c r="N71" s="135">
        <f>COUNTIFS(Dec[Day],$B71)</f>
        <v>0</v>
      </c>
      <c r="O71" s="85">
        <f t="shared" si="6"/>
        <v>0</v>
      </c>
    </row>
    <row r="72" spans="2:15" x14ac:dyDescent="0.25">
      <c r="B72" s="131" t="s">
        <v>16</v>
      </c>
      <c r="C72" s="85">
        <f>_xlfn.AGGREGATE(9,6,C65:C71)</f>
        <v>0</v>
      </c>
      <c r="D72" s="85">
        <f t="shared" ref="D72:N72" si="7">_xlfn.AGGREGATE(9,6,D65:D71)</f>
        <v>0</v>
      </c>
      <c r="E72" s="85">
        <f t="shared" si="7"/>
        <v>0</v>
      </c>
      <c r="F72" s="85">
        <f t="shared" si="7"/>
        <v>0</v>
      </c>
      <c r="G72" s="85">
        <f t="shared" si="7"/>
        <v>0</v>
      </c>
      <c r="H72" s="85">
        <f t="shared" si="7"/>
        <v>0</v>
      </c>
      <c r="I72" s="85">
        <f t="shared" si="7"/>
        <v>0</v>
      </c>
      <c r="J72" s="85">
        <f t="shared" si="7"/>
        <v>0</v>
      </c>
      <c r="K72" s="85">
        <f t="shared" si="7"/>
        <v>0</v>
      </c>
      <c r="L72" s="85">
        <f t="shared" si="7"/>
        <v>0</v>
      </c>
      <c r="M72" s="85">
        <f t="shared" si="7"/>
        <v>0</v>
      </c>
      <c r="N72" s="85">
        <f t="shared" si="7"/>
        <v>0</v>
      </c>
      <c r="O72" s="85">
        <f>SUM(O65:O71)</f>
        <v>0</v>
      </c>
    </row>
    <row r="74" spans="2:15" ht="15.6" customHeight="1" x14ac:dyDescent="0.25">
      <c r="B74" s="136" t="str">
        <f>"Falls by Day of the Week "</f>
        <v xml:space="preserve">Falls by Day of the Week </v>
      </c>
      <c r="C74" s="90"/>
    </row>
    <row r="75" spans="2:15" ht="15.75" x14ac:dyDescent="0.25">
      <c r="B75" s="137" t="s">
        <v>3</v>
      </c>
      <c r="C75" s="138" t="s">
        <v>35</v>
      </c>
    </row>
    <row r="76" spans="2:15" x14ac:dyDescent="0.25">
      <c r="B76" s="139" t="s">
        <v>46</v>
      </c>
      <c r="C76" s="76">
        <f>$O$65</f>
        <v>0</v>
      </c>
    </row>
    <row r="77" spans="2:15" ht="15.75" x14ac:dyDescent="0.25">
      <c r="B77" s="139" t="s">
        <v>47</v>
      </c>
      <c r="C77" s="76">
        <f>$O$66</f>
        <v>0</v>
      </c>
      <c r="D77" s="140"/>
      <c r="E77" s="140"/>
      <c r="F77" s="140"/>
      <c r="G77" s="140"/>
      <c r="H77" s="140"/>
      <c r="I77" s="141"/>
    </row>
    <row r="78" spans="2:15" x14ac:dyDescent="0.25">
      <c r="B78" s="139" t="s">
        <v>52</v>
      </c>
      <c r="C78" s="142">
        <f>$O$67</f>
        <v>0</v>
      </c>
      <c r="D78" s="10"/>
      <c r="E78" s="10"/>
      <c r="F78" s="10"/>
      <c r="G78" s="10"/>
      <c r="H78" s="10"/>
      <c r="I78" s="133"/>
    </row>
    <row r="79" spans="2:15" x14ac:dyDescent="0.25">
      <c r="B79" s="139" t="s">
        <v>48</v>
      </c>
      <c r="C79" s="142">
        <f>$O$68</f>
        <v>0</v>
      </c>
      <c r="D79" s="10"/>
      <c r="E79" s="10"/>
      <c r="F79" s="10"/>
      <c r="G79" s="10"/>
      <c r="H79" s="10"/>
      <c r="I79" s="133"/>
    </row>
    <row r="80" spans="2:15" x14ac:dyDescent="0.25">
      <c r="B80" s="139" t="s">
        <v>51</v>
      </c>
      <c r="C80" s="142">
        <f>$O$69</f>
        <v>0</v>
      </c>
      <c r="D80" s="10"/>
      <c r="E80" s="10"/>
      <c r="F80" s="10"/>
      <c r="G80" s="10"/>
      <c r="H80" s="10"/>
      <c r="I80" s="133"/>
    </row>
    <row r="81" spans="2:15" x14ac:dyDescent="0.25">
      <c r="B81" s="139" t="s">
        <v>49</v>
      </c>
      <c r="C81" s="142">
        <f>$O$70</f>
        <v>0</v>
      </c>
      <c r="D81" s="10"/>
      <c r="E81" s="10"/>
      <c r="F81" s="10"/>
      <c r="G81" s="10"/>
      <c r="H81" s="10"/>
      <c r="I81" s="133"/>
    </row>
    <row r="82" spans="2:15" x14ac:dyDescent="0.25">
      <c r="B82" s="139" t="s">
        <v>50</v>
      </c>
      <c r="C82" s="142">
        <f>$O$71</f>
        <v>0</v>
      </c>
      <c r="D82" s="10"/>
      <c r="E82" s="10"/>
      <c r="F82" s="10"/>
      <c r="G82" s="10"/>
      <c r="H82" s="10"/>
      <c r="I82" s="133"/>
    </row>
    <row r="83" spans="2:15" x14ac:dyDescent="0.25">
      <c r="B83" s="139" t="s">
        <v>16</v>
      </c>
      <c r="C83" s="85">
        <f>_xlfn.AGGREGATE(9,6,C76:C82)</f>
        <v>0</v>
      </c>
      <c r="D83" s="10"/>
      <c r="E83" s="10"/>
      <c r="F83" s="10"/>
      <c r="G83" s="10"/>
      <c r="H83" s="10"/>
      <c r="I83" s="133"/>
    </row>
    <row r="85" spans="2:15" ht="15" customHeight="1" x14ac:dyDescent="0.25">
      <c r="B85" s="143" t="str">
        <f>"Number of Falls by Shift "&amp;IF(Jan!$C$1=0,"",Jan!$C$1)</f>
        <v xml:space="preserve">Number of Falls by Shift </v>
      </c>
      <c r="C85" s="144"/>
      <c r="D85" s="144"/>
      <c r="E85" s="144"/>
      <c r="F85" s="144"/>
      <c r="G85" s="144"/>
      <c r="H85" s="144"/>
      <c r="I85" s="144"/>
      <c r="J85" s="144"/>
      <c r="K85" s="144"/>
      <c r="L85" s="144"/>
      <c r="M85" s="144"/>
      <c r="N85" s="144"/>
      <c r="O85" s="145"/>
    </row>
    <row r="86" spans="2:15" x14ac:dyDescent="0.25">
      <c r="B86" s="146" t="s">
        <v>23</v>
      </c>
      <c r="C86" s="147" t="s">
        <v>4</v>
      </c>
      <c r="D86" s="147" t="s">
        <v>5</v>
      </c>
      <c r="E86" s="147" t="s">
        <v>6</v>
      </c>
      <c r="F86" s="147" t="s">
        <v>7</v>
      </c>
      <c r="G86" s="147" t="s">
        <v>8</v>
      </c>
      <c r="H86" s="147" t="s">
        <v>9</v>
      </c>
      <c r="I86" s="147" t="s">
        <v>10</v>
      </c>
      <c r="J86" s="147" t="s">
        <v>11</v>
      </c>
      <c r="K86" s="147" t="s">
        <v>12</v>
      </c>
      <c r="L86" s="147" t="s">
        <v>13</v>
      </c>
      <c r="M86" s="147" t="s">
        <v>14</v>
      </c>
      <c r="N86" s="147" t="s">
        <v>15</v>
      </c>
      <c r="O86" s="147" t="s">
        <v>16</v>
      </c>
    </row>
    <row r="87" spans="2:15" x14ac:dyDescent="0.25">
      <c r="B87" s="146" t="str" cm="1">
        <f t="array" ref="B87:B91">IF(_xlfn._xlws.SORT('Data Validation'!P3:P7,1,1,TRUE)=0,"",(_xlfn._xlws.SORT('Data Validation'!P3:P7,1,1,TRUE)))</f>
        <v>11-7</v>
      </c>
      <c r="C87" s="76">
        <f>IF($B87="",NA(),COUNTIFS(Jan[Shift],$B87))</f>
        <v>0</v>
      </c>
      <c r="D87" s="76">
        <f>IF($B87="",NA(),COUNTIFS(Feb[Shift],$B87))</f>
        <v>0</v>
      </c>
      <c r="E87" s="76">
        <f>IF($B87="",NA(),COUNTIFS(Mar[Shift],$B87))</f>
        <v>0</v>
      </c>
      <c r="F87" s="76">
        <f>IF($B87="",NA(),COUNTIFS(Apr[Shift],$B87))</f>
        <v>0</v>
      </c>
      <c r="G87" s="76">
        <f>IF($B87="",NA(),COUNTIFS(May[Shift],$B87))</f>
        <v>0</v>
      </c>
      <c r="H87" s="76">
        <f>IF($B87="",NA(),COUNTIFS(June[Shift],$B87))</f>
        <v>0</v>
      </c>
      <c r="I87" s="76">
        <f>IF($B87="",NA(),COUNTIFS(July[Shift],$B87))</f>
        <v>0</v>
      </c>
      <c r="J87" s="76">
        <f>IF($B87="",NA(),COUNTIFS(Aug[Shift],$B87))</f>
        <v>0</v>
      </c>
      <c r="K87" s="76">
        <f>IF($B87="",NA(),COUNTIFS(Sept[Shift],$B87))</f>
        <v>0</v>
      </c>
      <c r="L87" s="76">
        <f>IF($B87="",NA(),COUNTIFS(Oct[Shift],$B87))</f>
        <v>0</v>
      </c>
      <c r="M87" s="76">
        <f>IF($B87="",NA(),COUNTIFS(Nov[Shift],$B87))</f>
        <v>0</v>
      </c>
      <c r="N87" s="76">
        <f>IF($B87="",NA(),COUNTIFS(Dec[Shift],$B87))</f>
        <v>0</v>
      </c>
      <c r="O87" s="85">
        <f t="shared" ref="O87:O89" si="8">IF($B87="",NA(),_xlfn.AGGREGATE(9,6,C87:N87))</f>
        <v>0</v>
      </c>
    </row>
    <row r="88" spans="2:15" x14ac:dyDescent="0.25">
      <c r="B88" s="131" t="str">
        <v>11–7</v>
      </c>
      <c r="C88" s="76">
        <f>IF($B88="",NA(),COUNTIFS(Jan[Shift],$B88))</f>
        <v>0</v>
      </c>
      <c r="D88" s="76">
        <f>IF($B88="",NA(),COUNTIFS(Feb[Shift],$B88))</f>
        <v>0</v>
      </c>
      <c r="E88" s="76">
        <f>IF($B88="",NA(),COUNTIFS(Mar[Shift],$B88))</f>
        <v>0</v>
      </c>
      <c r="F88" s="76">
        <f>IF($B88="",NA(),COUNTIFS(Apr[Shift],$B88))</f>
        <v>0</v>
      </c>
      <c r="G88" s="76">
        <f>IF($B88="",NA(),COUNTIFS(May[Shift],$B88))</f>
        <v>0</v>
      </c>
      <c r="H88" s="76">
        <f>IF($B88="",NA(),COUNTIFS(June[Shift],$B88))</f>
        <v>0</v>
      </c>
      <c r="I88" s="76">
        <f>IF($B88="",NA(),COUNTIFS(July[Shift],$B88))</f>
        <v>0</v>
      </c>
      <c r="J88" s="76">
        <f>IF($B88="",NA(),COUNTIFS(Aug[Shift],$B88))</f>
        <v>0</v>
      </c>
      <c r="K88" s="76">
        <f>IF($B88="",NA(),COUNTIFS(Sept[Shift],$B88))</f>
        <v>0</v>
      </c>
      <c r="L88" s="76">
        <f>IF($B88="",NA(),COUNTIFS(Oct[Shift],$B88))</f>
        <v>0</v>
      </c>
      <c r="M88" s="76">
        <f>IF($B88="",NA(),COUNTIFS(Nov[Shift],$B88))</f>
        <v>0</v>
      </c>
      <c r="N88" s="76">
        <f>IF($B88="",NA(),COUNTIFS(Dec[Shift],$B88))</f>
        <v>0</v>
      </c>
      <c r="O88" s="85">
        <f t="shared" si="8"/>
        <v>0</v>
      </c>
    </row>
    <row r="89" spans="2:15" x14ac:dyDescent="0.25">
      <c r="B89" s="131" t="str">
        <v>7–3</v>
      </c>
      <c r="C89" s="76">
        <f>IF($B89="",NA(),COUNTIFS(Jan[Shift],$B89))</f>
        <v>0</v>
      </c>
      <c r="D89" s="76">
        <f>IF($B89="",NA(),COUNTIFS(Feb[Shift],$B89))</f>
        <v>0</v>
      </c>
      <c r="E89" s="76">
        <f>IF($B89="",NA(),COUNTIFS(Mar[Shift],$B89))</f>
        <v>0</v>
      </c>
      <c r="F89" s="76">
        <f>IF($B89="",NA(),COUNTIFS(Apr[Shift],$B89))</f>
        <v>0</v>
      </c>
      <c r="G89" s="76">
        <f>IF($B89="",NA(),COUNTIFS(May[Shift],$B89))</f>
        <v>0</v>
      </c>
      <c r="H89" s="76">
        <f>IF($B89="",NA(),COUNTIFS(June[Shift],$B89))</f>
        <v>0</v>
      </c>
      <c r="I89" s="76">
        <f>IF($B89="",NA(),COUNTIFS(July[Shift],$B89))</f>
        <v>0</v>
      </c>
      <c r="J89" s="76">
        <f>IF($B89="",NA(),COUNTIFS(Aug[Shift],$B89))</f>
        <v>0</v>
      </c>
      <c r="K89" s="76">
        <f>IF($B89="",NA(),COUNTIFS(Sept[Shift],$B89))</f>
        <v>0</v>
      </c>
      <c r="L89" s="76">
        <f>IF($B89="",NA(),COUNTIFS(Oct[Shift],$B89))</f>
        <v>0</v>
      </c>
      <c r="M89" s="76">
        <f>IF($B89="",NA(),COUNTIFS(Nov[Shift],$B89))</f>
        <v>0</v>
      </c>
      <c r="N89" s="76">
        <f>IF($B89="",NA(),COUNTIFS(Dec[Shift],$B89))</f>
        <v>0</v>
      </c>
      <c r="O89" s="85">
        <f t="shared" si="8"/>
        <v>0</v>
      </c>
    </row>
    <row r="90" spans="2:15" x14ac:dyDescent="0.25">
      <c r="B90" s="131" t="str">
        <v>3–11</v>
      </c>
      <c r="C90" s="76">
        <f>IF($B90="",NA(),COUNTIFS(Jan[Shift],$B90))</f>
        <v>0</v>
      </c>
      <c r="D90" s="76">
        <f>IF($B90="",NA(),COUNTIFS(Feb[Shift],$B90))</f>
        <v>0</v>
      </c>
      <c r="E90" s="76">
        <f>IF($B90="",NA(),COUNTIFS(Mar[Shift],$B90))</f>
        <v>0</v>
      </c>
      <c r="F90" s="76">
        <f>IF($B90="",NA(),COUNTIFS(Apr[Shift],$B90))</f>
        <v>0</v>
      </c>
      <c r="G90" s="76">
        <f>IF($B90="",NA(),COUNTIFS(May[Shift],$B90))</f>
        <v>0</v>
      </c>
      <c r="H90" s="76">
        <f>IF($B90="",NA(),COUNTIFS(June[Shift],$B90))</f>
        <v>0</v>
      </c>
      <c r="I90" s="76">
        <f>IF($B90="",NA(),COUNTIFS(July[Shift],$B90))</f>
        <v>0</v>
      </c>
      <c r="J90" s="76">
        <f>IF($B90="",NA(),COUNTIFS(Aug[Shift],$B90))</f>
        <v>0</v>
      </c>
      <c r="K90" s="76">
        <f>IF($B90="",NA(),COUNTIFS(Sept[Shift],$B90))</f>
        <v>0</v>
      </c>
      <c r="L90" s="76">
        <f>IF($B90="",NA(),COUNTIFS(Oct[Shift],$B90))</f>
        <v>0</v>
      </c>
      <c r="M90" s="76">
        <f>IF($B90="",NA(),COUNTIFS(Nov[Shift],$B90))</f>
        <v>0</v>
      </c>
      <c r="N90" s="76">
        <f>IF($B90="",NA(),COUNTIFS(Dec[Shift],$B90))</f>
        <v>0</v>
      </c>
      <c r="O90" s="85">
        <f>IF($B90="",NA(),_xlfn.AGGREGATE(9,6,C90:N90))</f>
        <v>0</v>
      </c>
    </row>
    <row r="91" spans="2:15" x14ac:dyDescent="0.25">
      <c r="B91" s="131" t="str">
        <v/>
      </c>
      <c r="C91" s="76" t="e">
        <f>IF($B91="",NA(),COUNTIFS(Jan[Shift],$B91))</f>
        <v>#N/A</v>
      </c>
      <c r="D91" s="76" t="e">
        <f>IF($B91="",NA(),COUNTIFS(Feb[Shift],$B91))</f>
        <v>#N/A</v>
      </c>
      <c r="E91" s="76" t="e">
        <f>IF($B91="",NA(),COUNTIFS(Mar[Shift],$B91))</f>
        <v>#N/A</v>
      </c>
      <c r="F91" s="76" t="e">
        <f>IF($B91="",NA(),COUNTIFS(Apr[Shift],$B91))</f>
        <v>#N/A</v>
      </c>
      <c r="G91" s="76" t="e">
        <f>IF($B91="",NA(),COUNTIFS(May[Shift],$B91))</f>
        <v>#N/A</v>
      </c>
      <c r="H91" s="76" t="e">
        <f>IF($B91="",NA(),COUNTIFS(June[Shift],$B91))</f>
        <v>#N/A</v>
      </c>
      <c r="I91" s="76" t="e">
        <f>IF($B91="",NA(),COUNTIFS(July[Shift],$B91))</f>
        <v>#N/A</v>
      </c>
      <c r="J91" s="76" t="e">
        <f>IF($B91="",NA(),COUNTIFS(Aug[Shift],$B91))</f>
        <v>#N/A</v>
      </c>
      <c r="K91" s="76" t="e">
        <f>IF($B91="",NA(),COUNTIFS(Sept[Shift],$B91))</f>
        <v>#N/A</v>
      </c>
      <c r="L91" s="76" t="e">
        <f>IF($B91="",NA(),COUNTIFS(Oct[Shift],$B91))</f>
        <v>#N/A</v>
      </c>
      <c r="M91" s="76" t="e">
        <f>IF($B91="",NA(),COUNTIFS(Nov[Shift],$B91))</f>
        <v>#N/A</v>
      </c>
      <c r="N91" s="76" t="e">
        <f>IF($B91="",NA(),COUNTIFS(Dec[Shift],$B91))</f>
        <v>#N/A</v>
      </c>
      <c r="O91" s="85" t="e">
        <f>IF($B91="",NA(),_xlfn.AGGREGATE(9,6,C91:N91))</f>
        <v>#N/A</v>
      </c>
    </row>
    <row r="92" spans="2:15" x14ac:dyDescent="0.25">
      <c r="B92" s="131" t="s">
        <v>16</v>
      </c>
      <c r="C92" s="85">
        <f>_xlfn.AGGREGATE(9,6,C87:C91)</f>
        <v>0</v>
      </c>
      <c r="D92" s="85">
        <f t="shared" ref="D92:O92" si="9">_xlfn.AGGREGATE(9,6,D87:D91)</f>
        <v>0</v>
      </c>
      <c r="E92" s="85">
        <f t="shared" si="9"/>
        <v>0</v>
      </c>
      <c r="F92" s="85">
        <f t="shared" si="9"/>
        <v>0</v>
      </c>
      <c r="G92" s="85">
        <f t="shared" si="9"/>
        <v>0</v>
      </c>
      <c r="H92" s="85">
        <f t="shared" si="9"/>
        <v>0</v>
      </c>
      <c r="I92" s="85">
        <f t="shared" si="9"/>
        <v>0</v>
      </c>
      <c r="J92" s="85">
        <f t="shared" si="9"/>
        <v>0</v>
      </c>
      <c r="K92" s="85">
        <f t="shared" si="9"/>
        <v>0</v>
      </c>
      <c r="L92" s="85">
        <f t="shared" si="9"/>
        <v>0</v>
      </c>
      <c r="M92" s="85">
        <f t="shared" si="9"/>
        <v>0</v>
      </c>
      <c r="N92" s="85">
        <f t="shared" si="9"/>
        <v>0</v>
      </c>
      <c r="O92" s="85">
        <f t="shared" si="9"/>
        <v>0</v>
      </c>
    </row>
    <row r="93" spans="2:15" x14ac:dyDescent="0.25">
      <c r="C93" s="10"/>
      <c r="D93" s="10"/>
      <c r="E93" s="10"/>
      <c r="F93" s="10"/>
      <c r="G93" s="10"/>
      <c r="H93" s="10"/>
      <c r="I93" s="10"/>
      <c r="J93" s="10"/>
      <c r="K93" s="10"/>
      <c r="L93" s="10"/>
      <c r="M93" s="10"/>
      <c r="N93" s="10"/>
      <c r="O93" s="10"/>
    </row>
    <row r="94" spans="2:15" ht="30" x14ac:dyDescent="0.25">
      <c r="B94" s="143" t="s">
        <v>170</v>
      </c>
      <c r="C94" s="148"/>
      <c r="D94" s="10"/>
      <c r="E94" s="10"/>
      <c r="F94" s="10"/>
      <c r="G94" s="10"/>
      <c r="H94" s="10"/>
      <c r="I94" s="10"/>
      <c r="J94" s="10"/>
      <c r="K94" s="10"/>
      <c r="L94" s="10"/>
      <c r="M94" s="10"/>
      <c r="N94" s="10"/>
      <c r="O94" s="10"/>
    </row>
    <row r="95" spans="2:15" x14ac:dyDescent="0.25">
      <c r="B95" s="146" t="s">
        <v>23</v>
      </c>
      <c r="C95" s="147" t="s">
        <v>16</v>
      </c>
      <c r="D95" s="10"/>
      <c r="E95" s="10"/>
      <c r="F95" s="10"/>
      <c r="G95" s="10"/>
      <c r="H95" s="10"/>
      <c r="I95" s="10"/>
      <c r="J95" s="10"/>
      <c r="K95" s="10"/>
      <c r="L95" s="10"/>
      <c r="M95" s="10"/>
      <c r="N95" s="10"/>
      <c r="O95" s="10"/>
    </row>
    <row r="96" spans="2:15" x14ac:dyDescent="0.25">
      <c r="B96" s="146" t="str" cm="1">
        <f t="array" ref="B96:B100">IF(_xlfn._xlws.SORT('Data Validation'!P3:P7,1,1,TRUE)=0,"",(_xlfn._xlws.SORT('Data Validation'!P3:P7,1,1,TRUE)))</f>
        <v>11-7</v>
      </c>
      <c r="C96" s="149">
        <f>$O87</f>
        <v>0</v>
      </c>
      <c r="D96" s="10"/>
      <c r="E96" s="10"/>
      <c r="F96" s="10"/>
      <c r="G96" s="10"/>
      <c r="H96" s="10"/>
      <c r="I96" s="10"/>
      <c r="J96" s="10"/>
      <c r="K96" s="10"/>
      <c r="L96" s="10"/>
      <c r="M96" s="10"/>
      <c r="N96" s="10"/>
      <c r="O96" s="10"/>
    </row>
    <row r="97" spans="2:15" x14ac:dyDescent="0.25">
      <c r="B97" s="146" t="str">
        <v>11–7</v>
      </c>
      <c r="C97" s="149">
        <f t="shared" ref="C97:C98" si="10">$O88</f>
        <v>0</v>
      </c>
      <c r="D97" s="10"/>
      <c r="E97" s="10"/>
      <c r="F97" s="10"/>
      <c r="G97" s="10"/>
      <c r="H97" s="10"/>
      <c r="I97" s="10"/>
      <c r="J97" s="10"/>
      <c r="K97" s="10"/>
      <c r="L97" s="10"/>
      <c r="M97" s="10"/>
      <c r="N97" s="10"/>
      <c r="O97" s="10"/>
    </row>
    <row r="98" spans="2:15" x14ac:dyDescent="0.25">
      <c r="B98" s="131" t="str">
        <v>7–3</v>
      </c>
      <c r="C98" s="149">
        <f t="shared" si="10"/>
        <v>0</v>
      </c>
      <c r="D98" s="10"/>
      <c r="E98" s="10"/>
      <c r="F98" s="10"/>
      <c r="G98" s="10"/>
      <c r="H98" s="10"/>
      <c r="I98" s="10"/>
      <c r="J98" s="10"/>
      <c r="K98" s="10"/>
      <c r="L98" s="10"/>
      <c r="M98" s="10"/>
      <c r="N98" s="10"/>
      <c r="O98" s="10"/>
    </row>
    <row r="99" spans="2:15" x14ac:dyDescent="0.25">
      <c r="B99" s="131" t="str">
        <v>3–11</v>
      </c>
      <c r="C99" s="149">
        <f>$O90</f>
        <v>0</v>
      </c>
      <c r="D99" s="10"/>
      <c r="E99" s="10"/>
      <c r="F99" s="10"/>
      <c r="G99" s="10"/>
      <c r="H99" s="10"/>
      <c r="I99" s="10"/>
      <c r="J99" s="10"/>
      <c r="K99" s="10"/>
      <c r="L99" s="10"/>
      <c r="M99" s="10"/>
      <c r="N99" s="10"/>
      <c r="O99" s="10"/>
    </row>
    <row r="100" spans="2:15" x14ac:dyDescent="0.25">
      <c r="B100" s="131" t="str">
        <v/>
      </c>
      <c r="C100" s="149" t="e">
        <f>$O91</f>
        <v>#N/A</v>
      </c>
    </row>
    <row r="101" spans="2:15" x14ac:dyDescent="0.25">
      <c r="B101" s="139" t="s">
        <v>16</v>
      </c>
      <c r="C101" s="85">
        <f>_xlfn.AGGREGATE(9,6,C96:C100)</f>
        <v>0</v>
      </c>
    </row>
    <row r="102" spans="2:15" ht="7.15" customHeight="1" x14ac:dyDescent="0.25"/>
    <row r="104" spans="2:15" ht="15" customHeight="1" x14ac:dyDescent="0.25">
      <c r="B104" s="75" t="str">
        <f>"Number of Falls by Hour "&amp;IF(Jan!$C$1=0,"",Jan!$C$1)</f>
        <v xml:space="preserve">Number of Falls by Hour </v>
      </c>
      <c r="C104" s="79"/>
      <c r="D104" s="79"/>
      <c r="E104" s="79"/>
      <c r="F104" s="79"/>
      <c r="G104" s="79"/>
      <c r="H104" s="79"/>
      <c r="I104" s="79"/>
      <c r="J104" s="79"/>
      <c r="K104" s="79"/>
      <c r="L104" s="79"/>
      <c r="M104" s="79"/>
      <c r="N104" s="79"/>
      <c r="O104" s="79"/>
    </row>
    <row r="105" spans="2:15" x14ac:dyDescent="0.25">
      <c r="B105" s="85" t="s">
        <v>23</v>
      </c>
      <c r="C105" s="82" t="s">
        <v>4</v>
      </c>
      <c r="D105" s="82" t="s">
        <v>5</v>
      </c>
      <c r="E105" s="82" t="s">
        <v>6</v>
      </c>
      <c r="F105" s="82" t="s">
        <v>7</v>
      </c>
      <c r="G105" s="82" t="s">
        <v>8</v>
      </c>
      <c r="H105" s="82" t="s">
        <v>9</v>
      </c>
      <c r="I105" s="82" t="s">
        <v>10</v>
      </c>
      <c r="J105" s="82" t="s">
        <v>11</v>
      </c>
      <c r="K105" s="82" t="s">
        <v>12</v>
      </c>
      <c r="L105" s="82" t="s">
        <v>13</v>
      </c>
      <c r="M105" s="82" t="s">
        <v>14</v>
      </c>
      <c r="N105" s="82" t="s">
        <v>15</v>
      </c>
      <c r="O105" s="82" t="s">
        <v>16</v>
      </c>
    </row>
    <row r="106" spans="2:15" x14ac:dyDescent="0.25">
      <c r="B106" s="73" t="s">
        <v>115</v>
      </c>
      <c r="C106" s="72">
        <f>COUNTIFS(Jan[Hour],'Loc Hr'!$B106)</f>
        <v>0</v>
      </c>
      <c r="D106" s="72">
        <f>COUNTIFS(Feb[Hour],'Loc Hr'!$B106)</f>
        <v>0</v>
      </c>
      <c r="E106" s="72">
        <f>COUNTIFS(Mar[Hour],'Loc Hr'!$B106)</f>
        <v>0</v>
      </c>
      <c r="F106" s="72">
        <f>COUNTIFS(Apr[Hour],'Loc Hr'!$B106)</f>
        <v>0</v>
      </c>
      <c r="G106" s="72">
        <f>COUNTIFS(May[Hour],'Loc Hr'!$B106)</f>
        <v>0</v>
      </c>
      <c r="H106" s="72">
        <f>COUNTIFS(June[Hour],'Loc Hr'!$B106)</f>
        <v>0</v>
      </c>
      <c r="I106" s="72">
        <f>COUNTIFS(July[Hour],'Loc Hr'!$B106)</f>
        <v>0</v>
      </c>
      <c r="J106" s="72">
        <f>COUNTIFS(Aug[Hour],'Loc Hr'!$B106)</f>
        <v>0</v>
      </c>
      <c r="K106" s="72">
        <f>COUNTIFS(Sept[Hour],'Loc Hr'!$B106)</f>
        <v>0</v>
      </c>
      <c r="L106" s="72">
        <f>COUNTIFS(Oct[Hour],'Loc Hr'!$B106)</f>
        <v>0</v>
      </c>
      <c r="M106" s="72">
        <f>COUNTIFS(Nov[Hour],'Loc Hr'!$B106)</f>
        <v>0</v>
      </c>
      <c r="N106" s="72">
        <f>COUNTIFS(Dec[Hour],'Loc Hr'!$B106)</f>
        <v>0</v>
      </c>
      <c r="O106" s="85">
        <f>_xlfn.AGGREGATE(9,6,C106:N106)</f>
        <v>0</v>
      </c>
    </row>
    <row r="107" spans="2:15" x14ac:dyDescent="0.25">
      <c r="B107" s="73" t="s">
        <v>116</v>
      </c>
      <c r="C107" s="72">
        <f>COUNTIFS(Jan[Hour],'Loc Hr'!$B107)</f>
        <v>0</v>
      </c>
      <c r="D107" s="72">
        <f>COUNTIFS(Feb[Hour],'Loc Hr'!$B107)</f>
        <v>0</v>
      </c>
      <c r="E107" s="72">
        <f>COUNTIFS(Mar[Hour],'Loc Hr'!$B107)</f>
        <v>0</v>
      </c>
      <c r="F107" s="72">
        <f>COUNTIFS(Apr[Hour],'Loc Hr'!$B107)</f>
        <v>0</v>
      </c>
      <c r="G107" s="72">
        <f>COUNTIFS(May[Hour],'Loc Hr'!$B107)</f>
        <v>0</v>
      </c>
      <c r="H107" s="72">
        <f>COUNTIFS(June[Hour],'Loc Hr'!$B107)</f>
        <v>0</v>
      </c>
      <c r="I107" s="72">
        <f>COUNTIFS(July[Hour],'Loc Hr'!$B107)</f>
        <v>0</v>
      </c>
      <c r="J107" s="72">
        <f>COUNTIFS(Aug[Hour],'Loc Hr'!$B107)</f>
        <v>0</v>
      </c>
      <c r="K107" s="72">
        <f>COUNTIFS(Sept[Hour],'Loc Hr'!$B107)</f>
        <v>0</v>
      </c>
      <c r="L107" s="72">
        <f>COUNTIFS(Oct[Hour],'Loc Hr'!$B107)</f>
        <v>0</v>
      </c>
      <c r="M107" s="72">
        <f>COUNTIFS(Nov[Hour],'Loc Hr'!$B107)</f>
        <v>0</v>
      </c>
      <c r="N107" s="72">
        <f>COUNTIFS(Dec[Hour],'Loc Hr'!$B107)</f>
        <v>0</v>
      </c>
      <c r="O107" s="85">
        <f t="shared" ref="O107:O129" si="11">_xlfn.AGGREGATE(9,6,C107:N107)</f>
        <v>0</v>
      </c>
    </row>
    <row r="108" spans="2:15" x14ac:dyDescent="0.25">
      <c r="B108" s="73" t="s">
        <v>117</v>
      </c>
      <c r="C108" s="72">
        <f>COUNTIFS(Jan[Hour],'Loc Hr'!$B108)</f>
        <v>0</v>
      </c>
      <c r="D108" s="72">
        <f>COUNTIFS(Feb[Hour],'Loc Hr'!$B108)</f>
        <v>0</v>
      </c>
      <c r="E108" s="72">
        <f>COUNTIFS(Mar[Hour],'Loc Hr'!$B108)</f>
        <v>0</v>
      </c>
      <c r="F108" s="72">
        <f>COUNTIFS(Apr[Hour],'Loc Hr'!$B108)</f>
        <v>0</v>
      </c>
      <c r="G108" s="72">
        <f>COUNTIFS(May[Hour],'Loc Hr'!$B108)</f>
        <v>0</v>
      </c>
      <c r="H108" s="72">
        <f>COUNTIFS(June[Hour],'Loc Hr'!$B108)</f>
        <v>0</v>
      </c>
      <c r="I108" s="72">
        <f>COUNTIFS(July[Hour],'Loc Hr'!$B108)</f>
        <v>0</v>
      </c>
      <c r="J108" s="72">
        <f>COUNTIFS(Aug[Hour],'Loc Hr'!$B108)</f>
        <v>0</v>
      </c>
      <c r="K108" s="72">
        <f>COUNTIFS(Sept[Hour],'Loc Hr'!$B108)</f>
        <v>0</v>
      </c>
      <c r="L108" s="72">
        <f>COUNTIFS(Oct[Hour],'Loc Hr'!$B108)</f>
        <v>0</v>
      </c>
      <c r="M108" s="72">
        <f>COUNTIFS(Nov[Hour],'Loc Hr'!$B108)</f>
        <v>0</v>
      </c>
      <c r="N108" s="72">
        <f>COUNTIFS(Dec[Hour],'Loc Hr'!$B108)</f>
        <v>0</v>
      </c>
      <c r="O108" s="85">
        <f t="shared" si="11"/>
        <v>0</v>
      </c>
    </row>
    <row r="109" spans="2:15" x14ac:dyDescent="0.25">
      <c r="B109" s="73" t="s">
        <v>118</v>
      </c>
      <c r="C109" s="72">
        <f>COUNTIFS(Jan[Hour],'Loc Hr'!$B109)</f>
        <v>0</v>
      </c>
      <c r="D109" s="72">
        <f>COUNTIFS(Feb[Hour],'Loc Hr'!$B109)</f>
        <v>0</v>
      </c>
      <c r="E109" s="72">
        <f>COUNTIFS(Mar[Hour],'Loc Hr'!$B109)</f>
        <v>0</v>
      </c>
      <c r="F109" s="72">
        <f>COUNTIFS(Apr[Hour],'Loc Hr'!$B109)</f>
        <v>0</v>
      </c>
      <c r="G109" s="72">
        <f>COUNTIFS(May[Hour],'Loc Hr'!$B109)</f>
        <v>0</v>
      </c>
      <c r="H109" s="72">
        <f>COUNTIFS(June[Hour],'Loc Hr'!$B109)</f>
        <v>0</v>
      </c>
      <c r="I109" s="72">
        <f>COUNTIFS(July[Hour],'Loc Hr'!$B109)</f>
        <v>0</v>
      </c>
      <c r="J109" s="72">
        <f>COUNTIFS(Aug[Hour],'Loc Hr'!$B109)</f>
        <v>0</v>
      </c>
      <c r="K109" s="72">
        <f>COUNTIFS(Sept[Hour],'Loc Hr'!$B109)</f>
        <v>0</v>
      </c>
      <c r="L109" s="72">
        <f>COUNTIFS(Oct[Hour],'Loc Hr'!$B109)</f>
        <v>0</v>
      </c>
      <c r="M109" s="72">
        <f>COUNTIFS(Nov[Hour],'Loc Hr'!$B109)</f>
        <v>0</v>
      </c>
      <c r="N109" s="72">
        <f>COUNTIFS(Dec[Hour],'Loc Hr'!$B109)</f>
        <v>0</v>
      </c>
      <c r="O109" s="85">
        <f t="shared" si="11"/>
        <v>0</v>
      </c>
    </row>
    <row r="110" spans="2:15" x14ac:dyDescent="0.25">
      <c r="B110" s="73" t="s">
        <v>119</v>
      </c>
      <c r="C110" s="72">
        <f>COUNTIFS(Jan[Hour],'Loc Hr'!$B110)</f>
        <v>0</v>
      </c>
      <c r="D110" s="72">
        <f>COUNTIFS(Feb[Hour],'Loc Hr'!$B110)</f>
        <v>0</v>
      </c>
      <c r="E110" s="72">
        <f>COUNTIFS(Mar[Hour],'Loc Hr'!$B110)</f>
        <v>0</v>
      </c>
      <c r="F110" s="72">
        <f>COUNTIFS(Apr[Hour],'Loc Hr'!$B110)</f>
        <v>0</v>
      </c>
      <c r="G110" s="72">
        <f>COUNTIFS(May[Hour],'Loc Hr'!$B110)</f>
        <v>0</v>
      </c>
      <c r="H110" s="72">
        <f>COUNTIFS(June[Hour],'Loc Hr'!$B110)</f>
        <v>0</v>
      </c>
      <c r="I110" s="72">
        <f>COUNTIFS(July[Hour],'Loc Hr'!$B110)</f>
        <v>0</v>
      </c>
      <c r="J110" s="72">
        <f>COUNTIFS(Aug[Hour],'Loc Hr'!$B110)</f>
        <v>0</v>
      </c>
      <c r="K110" s="72">
        <f>COUNTIFS(Sept[Hour],'Loc Hr'!$B110)</f>
        <v>0</v>
      </c>
      <c r="L110" s="72">
        <f>COUNTIFS(Oct[Hour],'Loc Hr'!$B110)</f>
        <v>0</v>
      </c>
      <c r="M110" s="72">
        <f>COUNTIFS(Nov[Hour],'Loc Hr'!$B110)</f>
        <v>0</v>
      </c>
      <c r="N110" s="72">
        <f>COUNTIFS(Dec[Hour],'Loc Hr'!$B110)</f>
        <v>0</v>
      </c>
      <c r="O110" s="85">
        <f t="shared" si="11"/>
        <v>0</v>
      </c>
    </row>
    <row r="111" spans="2:15" x14ac:dyDescent="0.25">
      <c r="B111" s="73" t="s">
        <v>120</v>
      </c>
      <c r="C111" s="72">
        <f>COUNTIFS(Jan[Hour],'Loc Hr'!$B111)</f>
        <v>0</v>
      </c>
      <c r="D111" s="72">
        <f>COUNTIFS(Feb[Hour],'Loc Hr'!$B111)</f>
        <v>0</v>
      </c>
      <c r="E111" s="72">
        <f>COUNTIFS(Mar[Hour],'Loc Hr'!$B111)</f>
        <v>0</v>
      </c>
      <c r="F111" s="72">
        <f>COUNTIFS(Apr[Hour],'Loc Hr'!$B111)</f>
        <v>0</v>
      </c>
      <c r="G111" s="72">
        <f>COUNTIFS(May[Hour],'Loc Hr'!$B111)</f>
        <v>0</v>
      </c>
      <c r="H111" s="72">
        <f>COUNTIFS(June[Hour],'Loc Hr'!$B111)</f>
        <v>0</v>
      </c>
      <c r="I111" s="72">
        <f>COUNTIFS(July[Hour],'Loc Hr'!$B111)</f>
        <v>0</v>
      </c>
      <c r="J111" s="72">
        <f>COUNTIFS(Aug[Hour],'Loc Hr'!$B111)</f>
        <v>0</v>
      </c>
      <c r="K111" s="72">
        <f>COUNTIFS(Sept[Hour],'Loc Hr'!$B111)</f>
        <v>0</v>
      </c>
      <c r="L111" s="72">
        <f>COUNTIFS(Oct[Hour],'Loc Hr'!$B111)</f>
        <v>0</v>
      </c>
      <c r="M111" s="72">
        <f>COUNTIFS(Nov[Hour],'Loc Hr'!$B111)</f>
        <v>0</v>
      </c>
      <c r="N111" s="72">
        <f>COUNTIFS(Dec[Hour],'Loc Hr'!$B111)</f>
        <v>0</v>
      </c>
      <c r="O111" s="85">
        <f t="shared" si="11"/>
        <v>0</v>
      </c>
    </row>
    <row r="112" spans="2:15" x14ac:dyDescent="0.25">
      <c r="B112" s="73" t="s">
        <v>121</v>
      </c>
      <c r="C112" s="72">
        <f>COUNTIFS(Jan[Hour],'Loc Hr'!$B112)</f>
        <v>0</v>
      </c>
      <c r="D112" s="72">
        <f>COUNTIFS(Feb[Hour],'Loc Hr'!$B112)</f>
        <v>0</v>
      </c>
      <c r="E112" s="72">
        <f>COUNTIFS(Mar[Hour],'Loc Hr'!$B112)</f>
        <v>0</v>
      </c>
      <c r="F112" s="72">
        <f>COUNTIFS(Apr[Hour],'Loc Hr'!$B112)</f>
        <v>0</v>
      </c>
      <c r="G112" s="72">
        <f>COUNTIFS(May[Hour],'Loc Hr'!$B112)</f>
        <v>0</v>
      </c>
      <c r="H112" s="72">
        <f>COUNTIFS(June[Hour],'Loc Hr'!$B112)</f>
        <v>0</v>
      </c>
      <c r="I112" s="72">
        <f>COUNTIFS(July[Hour],'Loc Hr'!$B112)</f>
        <v>0</v>
      </c>
      <c r="J112" s="72">
        <f>COUNTIFS(Aug[Hour],'Loc Hr'!$B112)</f>
        <v>0</v>
      </c>
      <c r="K112" s="72">
        <f>COUNTIFS(Sept[Hour],'Loc Hr'!$B112)</f>
        <v>0</v>
      </c>
      <c r="L112" s="72">
        <f>COUNTIFS(Oct[Hour],'Loc Hr'!$B112)</f>
        <v>0</v>
      </c>
      <c r="M112" s="72">
        <f>COUNTIFS(Nov[Hour],'Loc Hr'!$B112)</f>
        <v>0</v>
      </c>
      <c r="N112" s="72">
        <f>COUNTIFS(Dec[Hour],'Loc Hr'!$B112)</f>
        <v>0</v>
      </c>
      <c r="O112" s="85">
        <f t="shared" si="11"/>
        <v>0</v>
      </c>
    </row>
    <row r="113" spans="2:15" x14ac:dyDescent="0.25">
      <c r="B113" s="73" t="s">
        <v>122</v>
      </c>
      <c r="C113" s="72">
        <f>COUNTIFS(Jan[Hour],'Loc Hr'!$B113)</f>
        <v>0</v>
      </c>
      <c r="D113" s="72">
        <f>COUNTIFS(Feb[Hour],'Loc Hr'!$B113)</f>
        <v>0</v>
      </c>
      <c r="E113" s="72">
        <f>COUNTIFS(Mar[Hour],'Loc Hr'!$B113)</f>
        <v>0</v>
      </c>
      <c r="F113" s="72">
        <f>COUNTIFS(Apr[Hour],'Loc Hr'!$B113)</f>
        <v>0</v>
      </c>
      <c r="G113" s="72">
        <f>COUNTIFS(May[Hour],'Loc Hr'!$B113)</f>
        <v>0</v>
      </c>
      <c r="H113" s="72">
        <f>COUNTIFS(June[Hour],'Loc Hr'!$B113)</f>
        <v>0</v>
      </c>
      <c r="I113" s="72">
        <f>COUNTIFS(July[Hour],'Loc Hr'!$B113)</f>
        <v>0</v>
      </c>
      <c r="J113" s="72">
        <f>COUNTIFS(Aug[Hour],'Loc Hr'!$B113)</f>
        <v>0</v>
      </c>
      <c r="K113" s="72">
        <f>COUNTIFS(Sept[Hour],'Loc Hr'!$B113)</f>
        <v>0</v>
      </c>
      <c r="L113" s="72">
        <f>COUNTIFS(Oct[Hour],'Loc Hr'!$B113)</f>
        <v>0</v>
      </c>
      <c r="M113" s="72">
        <f>COUNTIFS(Nov[Hour],'Loc Hr'!$B113)</f>
        <v>0</v>
      </c>
      <c r="N113" s="72">
        <f>COUNTIFS(Dec[Hour],'Loc Hr'!$B113)</f>
        <v>0</v>
      </c>
      <c r="O113" s="85">
        <f t="shared" si="11"/>
        <v>0</v>
      </c>
    </row>
    <row r="114" spans="2:15" x14ac:dyDescent="0.25">
      <c r="B114" s="73" t="s">
        <v>123</v>
      </c>
      <c r="C114" s="72">
        <f>COUNTIFS(Jan[Hour],'Loc Hr'!$B114)</f>
        <v>0</v>
      </c>
      <c r="D114" s="72">
        <f>COUNTIFS(Feb[Hour],'Loc Hr'!$B114)</f>
        <v>0</v>
      </c>
      <c r="E114" s="72">
        <f>COUNTIFS(Mar[Hour],'Loc Hr'!$B114)</f>
        <v>0</v>
      </c>
      <c r="F114" s="72">
        <f>COUNTIFS(Apr[Hour],'Loc Hr'!$B114)</f>
        <v>0</v>
      </c>
      <c r="G114" s="72">
        <f>COUNTIFS(May[Hour],'Loc Hr'!$B114)</f>
        <v>0</v>
      </c>
      <c r="H114" s="72">
        <f>COUNTIFS(June[Hour],'Loc Hr'!$B114)</f>
        <v>0</v>
      </c>
      <c r="I114" s="72">
        <f>COUNTIFS(July[Hour],'Loc Hr'!$B114)</f>
        <v>0</v>
      </c>
      <c r="J114" s="72">
        <f>COUNTIFS(Aug[Hour],'Loc Hr'!$B114)</f>
        <v>0</v>
      </c>
      <c r="K114" s="72">
        <f>COUNTIFS(Sept[Hour],'Loc Hr'!$B114)</f>
        <v>0</v>
      </c>
      <c r="L114" s="72">
        <f>COUNTIFS(Oct[Hour],'Loc Hr'!$B114)</f>
        <v>0</v>
      </c>
      <c r="M114" s="72">
        <f>COUNTIFS(Nov[Hour],'Loc Hr'!$B114)</f>
        <v>0</v>
      </c>
      <c r="N114" s="72">
        <f>COUNTIFS(Dec[Hour],'Loc Hr'!$B114)</f>
        <v>0</v>
      </c>
      <c r="O114" s="85">
        <f t="shared" si="11"/>
        <v>0</v>
      </c>
    </row>
    <row r="115" spans="2:15" x14ac:dyDescent="0.25">
      <c r="B115" s="73" t="s">
        <v>124</v>
      </c>
      <c r="C115" s="72">
        <f>COUNTIFS(Jan[Hour],'Loc Hr'!$B115)</f>
        <v>0</v>
      </c>
      <c r="D115" s="72">
        <f>COUNTIFS(Feb[Hour],'Loc Hr'!$B115)</f>
        <v>0</v>
      </c>
      <c r="E115" s="72">
        <f>COUNTIFS(Mar[Hour],'Loc Hr'!$B115)</f>
        <v>0</v>
      </c>
      <c r="F115" s="72">
        <f>COUNTIFS(Apr[Hour],'Loc Hr'!$B115)</f>
        <v>0</v>
      </c>
      <c r="G115" s="72">
        <f>COUNTIFS(May[Hour],'Loc Hr'!$B115)</f>
        <v>0</v>
      </c>
      <c r="H115" s="72">
        <f>COUNTIFS(June[Hour],'Loc Hr'!$B115)</f>
        <v>0</v>
      </c>
      <c r="I115" s="72">
        <f>COUNTIFS(July[Hour],'Loc Hr'!$B115)</f>
        <v>0</v>
      </c>
      <c r="J115" s="72">
        <f>COUNTIFS(Aug[Hour],'Loc Hr'!$B115)</f>
        <v>0</v>
      </c>
      <c r="K115" s="72">
        <f>COUNTIFS(Sept[Hour],'Loc Hr'!$B115)</f>
        <v>0</v>
      </c>
      <c r="L115" s="72">
        <f>COUNTIFS(Oct[Hour],'Loc Hr'!$B115)</f>
        <v>0</v>
      </c>
      <c r="M115" s="72">
        <f>COUNTIFS(Nov[Hour],'Loc Hr'!$B115)</f>
        <v>0</v>
      </c>
      <c r="N115" s="72">
        <f>COUNTIFS(Dec[Hour],'Loc Hr'!$B115)</f>
        <v>0</v>
      </c>
      <c r="O115" s="85">
        <f t="shared" si="11"/>
        <v>0</v>
      </c>
    </row>
    <row r="116" spans="2:15" x14ac:dyDescent="0.25">
      <c r="B116" s="73" t="s">
        <v>125</v>
      </c>
      <c r="C116" s="72">
        <f>COUNTIFS(Jan[Hour],'Loc Hr'!$B116)</f>
        <v>0</v>
      </c>
      <c r="D116" s="72">
        <f>COUNTIFS(Feb[Hour],'Loc Hr'!$B116)</f>
        <v>0</v>
      </c>
      <c r="E116" s="72">
        <f>COUNTIFS(Mar[Hour],'Loc Hr'!$B116)</f>
        <v>0</v>
      </c>
      <c r="F116" s="72">
        <f>COUNTIFS(Apr[Hour],'Loc Hr'!$B116)</f>
        <v>0</v>
      </c>
      <c r="G116" s="72">
        <f>COUNTIFS(May[Hour],'Loc Hr'!$B116)</f>
        <v>0</v>
      </c>
      <c r="H116" s="72">
        <f>COUNTIFS(June[Hour],'Loc Hr'!$B116)</f>
        <v>0</v>
      </c>
      <c r="I116" s="72">
        <f>COUNTIFS(July[Hour],'Loc Hr'!$B116)</f>
        <v>0</v>
      </c>
      <c r="J116" s="72">
        <f>COUNTIFS(Aug[Hour],'Loc Hr'!$B116)</f>
        <v>0</v>
      </c>
      <c r="K116" s="72">
        <f>COUNTIFS(Sept[Hour],'Loc Hr'!$B116)</f>
        <v>0</v>
      </c>
      <c r="L116" s="72">
        <f>COUNTIFS(Oct[Hour],'Loc Hr'!$B116)</f>
        <v>0</v>
      </c>
      <c r="M116" s="72">
        <f>COUNTIFS(Nov[Hour],'Loc Hr'!$B116)</f>
        <v>0</v>
      </c>
      <c r="N116" s="72">
        <f>COUNTIFS(Dec[Hour],'Loc Hr'!$B116)</f>
        <v>0</v>
      </c>
      <c r="O116" s="85">
        <f t="shared" si="11"/>
        <v>0</v>
      </c>
    </row>
    <row r="117" spans="2:15" x14ac:dyDescent="0.25">
      <c r="B117" s="73" t="s">
        <v>126</v>
      </c>
      <c r="C117" s="72">
        <f>COUNTIFS(Jan[Hour],'Loc Hr'!$B117)</f>
        <v>0</v>
      </c>
      <c r="D117" s="72">
        <f>COUNTIFS(Feb[Hour],'Loc Hr'!$B117)</f>
        <v>0</v>
      </c>
      <c r="E117" s="72">
        <f>COUNTIFS(Mar[Hour],'Loc Hr'!$B117)</f>
        <v>0</v>
      </c>
      <c r="F117" s="72">
        <f>COUNTIFS(Apr[Hour],'Loc Hr'!$B117)</f>
        <v>0</v>
      </c>
      <c r="G117" s="72">
        <f>COUNTIFS(May[Hour],'Loc Hr'!$B117)</f>
        <v>0</v>
      </c>
      <c r="H117" s="72">
        <f>COUNTIFS(June[Hour],'Loc Hr'!$B117)</f>
        <v>0</v>
      </c>
      <c r="I117" s="72">
        <f>COUNTIFS(July[Hour],'Loc Hr'!$B117)</f>
        <v>0</v>
      </c>
      <c r="J117" s="72">
        <f>COUNTIFS(Aug[Hour],'Loc Hr'!$B117)</f>
        <v>0</v>
      </c>
      <c r="K117" s="72">
        <f>COUNTIFS(Sept[Hour],'Loc Hr'!$B117)</f>
        <v>0</v>
      </c>
      <c r="L117" s="72">
        <f>COUNTIFS(Oct[Hour],'Loc Hr'!$B117)</f>
        <v>0</v>
      </c>
      <c r="M117" s="72">
        <f>COUNTIFS(Nov[Hour],'Loc Hr'!$B117)</f>
        <v>0</v>
      </c>
      <c r="N117" s="72">
        <f>COUNTIFS(Dec[Hour],'Loc Hr'!$B117)</f>
        <v>0</v>
      </c>
      <c r="O117" s="85">
        <f t="shared" si="11"/>
        <v>0</v>
      </c>
    </row>
    <row r="118" spans="2:15" x14ac:dyDescent="0.25">
      <c r="B118" s="150" t="s">
        <v>127</v>
      </c>
      <c r="C118" s="72">
        <f>COUNTIFS(Jan[Hour],'Loc Hr'!$B118)</f>
        <v>0</v>
      </c>
      <c r="D118" s="72">
        <f>COUNTIFS(Feb[Hour],'Loc Hr'!$B118)</f>
        <v>0</v>
      </c>
      <c r="E118" s="72">
        <f>COUNTIFS(Mar[Hour],'Loc Hr'!$B118)</f>
        <v>0</v>
      </c>
      <c r="F118" s="72">
        <f>COUNTIFS(Apr[Hour],'Loc Hr'!$B118)</f>
        <v>0</v>
      </c>
      <c r="G118" s="72">
        <f>COUNTIFS(May[Hour],'Loc Hr'!$B118)</f>
        <v>0</v>
      </c>
      <c r="H118" s="72">
        <f>COUNTIFS(June[Hour],'Loc Hr'!$B118)</f>
        <v>0</v>
      </c>
      <c r="I118" s="72">
        <f>COUNTIFS(July[Hour],'Loc Hr'!$B118)</f>
        <v>0</v>
      </c>
      <c r="J118" s="72">
        <f>COUNTIFS(Aug[Hour],'Loc Hr'!$B118)</f>
        <v>0</v>
      </c>
      <c r="K118" s="72">
        <f>COUNTIFS(Sept[Hour],'Loc Hr'!$B118)</f>
        <v>0</v>
      </c>
      <c r="L118" s="72">
        <f>COUNTIFS(Oct[Hour],'Loc Hr'!$B118)</f>
        <v>0</v>
      </c>
      <c r="M118" s="72">
        <f>COUNTIFS(Nov[Hour],'Loc Hr'!$B118)</f>
        <v>0</v>
      </c>
      <c r="N118" s="72">
        <f>COUNTIFS(Dec[Hour],'Loc Hr'!$B118)</f>
        <v>0</v>
      </c>
      <c r="O118" s="85">
        <f t="shared" si="11"/>
        <v>0</v>
      </c>
    </row>
    <row r="119" spans="2:15" x14ac:dyDescent="0.25">
      <c r="B119" s="150" t="s">
        <v>128</v>
      </c>
      <c r="C119" s="72">
        <f>COUNTIFS(Jan[Hour],'Loc Hr'!$B119)</f>
        <v>0</v>
      </c>
      <c r="D119" s="72">
        <f>COUNTIFS(Feb[Hour],'Loc Hr'!$B119)</f>
        <v>0</v>
      </c>
      <c r="E119" s="72">
        <f>COUNTIFS(Mar[Hour],'Loc Hr'!$B119)</f>
        <v>0</v>
      </c>
      <c r="F119" s="72">
        <f>COUNTIFS(Apr[Hour],'Loc Hr'!$B119)</f>
        <v>0</v>
      </c>
      <c r="G119" s="72">
        <f>COUNTIFS(May[Hour],'Loc Hr'!$B119)</f>
        <v>0</v>
      </c>
      <c r="H119" s="72">
        <f>COUNTIFS(June[Hour],'Loc Hr'!$B119)</f>
        <v>0</v>
      </c>
      <c r="I119" s="72">
        <f>COUNTIFS(July[Hour],'Loc Hr'!$B119)</f>
        <v>0</v>
      </c>
      <c r="J119" s="72">
        <f>COUNTIFS(Aug[Hour],'Loc Hr'!$B119)</f>
        <v>0</v>
      </c>
      <c r="K119" s="72">
        <f>COUNTIFS(Sept[Hour],'Loc Hr'!$B119)</f>
        <v>0</v>
      </c>
      <c r="L119" s="72">
        <f>COUNTIFS(Oct[Hour],'Loc Hr'!$B119)</f>
        <v>0</v>
      </c>
      <c r="M119" s="72">
        <f>COUNTIFS(Nov[Hour],'Loc Hr'!$B119)</f>
        <v>0</v>
      </c>
      <c r="N119" s="72">
        <f>COUNTIFS(Dec[Hour],'Loc Hr'!$B119)</f>
        <v>0</v>
      </c>
      <c r="O119" s="85">
        <f t="shared" si="11"/>
        <v>0</v>
      </c>
    </row>
    <row r="120" spans="2:15" x14ac:dyDescent="0.25">
      <c r="B120" s="73" t="s">
        <v>129</v>
      </c>
      <c r="C120" s="72">
        <f>COUNTIFS(Jan[Hour],'Loc Hr'!$B120)</f>
        <v>0</v>
      </c>
      <c r="D120" s="72">
        <f>COUNTIFS(Feb[Hour],'Loc Hr'!$B120)</f>
        <v>0</v>
      </c>
      <c r="E120" s="72">
        <f>COUNTIFS(Mar[Hour],'Loc Hr'!$B120)</f>
        <v>0</v>
      </c>
      <c r="F120" s="72">
        <f>COUNTIFS(Apr[Hour],'Loc Hr'!$B120)</f>
        <v>0</v>
      </c>
      <c r="G120" s="72">
        <f>COUNTIFS(May[Hour],'Loc Hr'!$B120)</f>
        <v>0</v>
      </c>
      <c r="H120" s="72">
        <f>COUNTIFS(June[Hour],'Loc Hr'!$B120)</f>
        <v>0</v>
      </c>
      <c r="I120" s="72">
        <f>COUNTIFS(July[Hour],'Loc Hr'!$B120)</f>
        <v>0</v>
      </c>
      <c r="J120" s="72">
        <f>COUNTIFS(Aug[Hour],'Loc Hr'!$B120)</f>
        <v>0</v>
      </c>
      <c r="K120" s="72">
        <f>COUNTIFS(Sept[Hour],'Loc Hr'!$B120)</f>
        <v>0</v>
      </c>
      <c r="L120" s="72">
        <f>COUNTIFS(Oct[Hour],'Loc Hr'!$B120)</f>
        <v>0</v>
      </c>
      <c r="M120" s="72">
        <f>COUNTIFS(Nov[Hour],'Loc Hr'!$B120)</f>
        <v>0</v>
      </c>
      <c r="N120" s="72">
        <f>COUNTIFS(Dec[Hour],'Loc Hr'!$B120)</f>
        <v>0</v>
      </c>
      <c r="O120" s="85">
        <f t="shared" si="11"/>
        <v>0</v>
      </c>
    </row>
    <row r="121" spans="2:15" x14ac:dyDescent="0.25">
      <c r="B121" s="73" t="s">
        <v>130</v>
      </c>
      <c r="C121" s="72">
        <f>COUNTIFS(Jan[Hour],'Loc Hr'!$B121)</f>
        <v>0</v>
      </c>
      <c r="D121" s="72">
        <f>COUNTIFS(Feb[Hour],'Loc Hr'!$B121)</f>
        <v>0</v>
      </c>
      <c r="E121" s="72">
        <f>COUNTIFS(Mar[Hour],'Loc Hr'!$B121)</f>
        <v>0</v>
      </c>
      <c r="F121" s="72">
        <f>COUNTIFS(Apr[Hour],'Loc Hr'!$B121)</f>
        <v>0</v>
      </c>
      <c r="G121" s="72">
        <f>COUNTIFS(May[Hour],'Loc Hr'!$B121)</f>
        <v>0</v>
      </c>
      <c r="H121" s="72">
        <f>COUNTIFS(June[Hour],'Loc Hr'!$B121)</f>
        <v>0</v>
      </c>
      <c r="I121" s="72">
        <f>COUNTIFS(July[Hour],'Loc Hr'!$B121)</f>
        <v>0</v>
      </c>
      <c r="J121" s="72">
        <f>COUNTIFS(Aug[Hour],'Loc Hr'!$B121)</f>
        <v>0</v>
      </c>
      <c r="K121" s="72">
        <f>COUNTIFS(Sept[Hour],'Loc Hr'!$B121)</f>
        <v>0</v>
      </c>
      <c r="L121" s="72">
        <f>COUNTIFS(Oct[Hour],'Loc Hr'!$B121)</f>
        <v>0</v>
      </c>
      <c r="M121" s="72">
        <f>COUNTIFS(Nov[Hour],'Loc Hr'!$B121)</f>
        <v>0</v>
      </c>
      <c r="N121" s="72">
        <f>COUNTIFS(Dec[Hour],'Loc Hr'!$B121)</f>
        <v>0</v>
      </c>
      <c r="O121" s="85">
        <f t="shared" si="11"/>
        <v>0</v>
      </c>
    </row>
    <row r="122" spans="2:15" x14ac:dyDescent="0.25">
      <c r="B122" s="73" t="s">
        <v>131</v>
      </c>
      <c r="C122" s="72">
        <f>COUNTIFS(Jan[Hour],'Loc Hr'!$B122)</f>
        <v>0</v>
      </c>
      <c r="D122" s="72">
        <f>COUNTIFS(Feb[Hour],'Loc Hr'!$B122)</f>
        <v>0</v>
      </c>
      <c r="E122" s="72">
        <f>COUNTIFS(Mar[Hour],'Loc Hr'!$B122)</f>
        <v>0</v>
      </c>
      <c r="F122" s="72">
        <f>COUNTIFS(Apr[Hour],'Loc Hr'!$B122)</f>
        <v>0</v>
      </c>
      <c r="G122" s="72">
        <f>COUNTIFS(May[Hour],'Loc Hr'!$B122)</f>
        <v>0</v>
      </c>
      <c r="H122" s="72">
        <f>COUNTIFS(June[Hour],'Loc Hr'!$B122)</f>
        <v>0</v>
      </c>
      <c r="I122" s="72">
        <f>COUNTIFS(July[Hour],'Loc Hr'!$B122)</f>
        <v>0</v>
      </c>
      <c r="J122" s="72">
        <f>COUNTIFS(Aug[Hour],'Loc Hr'!$B122)</f>
        <v>0</v>
      </c>
      <c r="K122" s="72">
        <f>COUNTIFS(Sept[Hour],'Loc Hr'!$B122)</f>
        <v>0</v>
      </c>
      <c r="L122" s="72">
        <f>COUNTIFS(Oct[Hour],'Loc Hr'!$B122)</f>
        <v>0</v>
      </c>
      <c r="M122" s="72">
        <f>COUNTIFS(Nov[Hour],'Loc Hr'!$B122)</f>
        <v>0</v>
      </c>
      <c r="N122" s="72">
        <f>COUNTIFS(Dec[Hour],'Loc Hr'!$B122)</f>
        <v>0</v>
      </c>
      <c r="O122" s="85">
        <f t="shared" si="11"/>
        <v>0</v>
      </c>
    </row>
    <row r="123" spans="2:15" x14ac:dyDescent="0.25">
      <c r="B123" s="73" t="s">
        <v>132</v>
      </c>
      <c r="C123" s="72">
        <f>COUNTIFS(Jan[Hour],'Loc Hr'!$B123)</f>
        <v>0</v>
      </c>
      <c r="D123" s="72">
        <f>COUNTIFS(Feb[Hour],'Loc Hr'!$B123)</f>
        <v>0</v>
      </c>
      <c r="E123" s="72">
        <f>COUNTIFS(Mar[Hour],'Loc Hr'!$B123)</f>
        <v>0</v>
      </c>
      <c r="F123" s="72">
        <f>COUNTIFS(Apr[Hour],'Loc Hr'!$B123)</f>
        <v>0</v>
      </c>
      <c r="G123" s="72">
        <f>COUNTIFS(May[Hour],'Loc Hr'!$B123)</f>
        <v>0</v>
      </c>
      <c r="H123" s="72">
        <f>COUNTIFS(June[Hour],'Loc Hr'!$B123)</f>
        <v>0</v>
      </c>
      <c r="I123" s="72">
        <f>COUNTIFS(July[Hour],'Loc Hr'!$B123)</f>
        <v>0</v>
      </c>
      <c r="J123" s="72">
        <f>COUNTIFS(Aug[Hour],'Loc Hr'!$B123)</f>
        <v>0</v>
      </c>
      <c r="K123" s="72">
        <f>COUNTIFS(Sept[Hour],'Loc Hr'!$B123)</f>
        <v>0</v>
      </c>
      <c r="L123" s="72">
        <f>COUNTIFS(Oct[Hour],'Loc Hr'!$B123)</f>
        <v>0</v>
      </c>
      <c r="M123" s="72">
        <f>COUNTIFS(Nov[Hour],'Loc Hr'!$B123)</f>
        <v>0</v>
      </c>
      <c r="N123" s="72">
        <f>COUNTIFS(Dec[Hour],'Loc Hr'!$B123)</f>
        <v>0</v>
      </c>
      <c r="O123" s="85">
        <f t="shared" si="11"/>
        <v>0</v>
      </c>
    </row>
    <row r="124" spans="2:15" x14ac:dyDescent="0.25">
      <c r="B124" s="73" t="s">
        <v>133</v>
      </c>
      <c r="C124" s="72">
        <f>COUNTIFS(Jan[Hour],'Loc Hr'!$B124)</f>
        <v>0</v>
      </c>
      <c r="D124" s="72">
        <f>COUNTIFS(Feb[Hour],'Loc Hr'!$B124)</f>
        <v>0</v>
      </c>
      <c r="E124" s="72">
        <f>COUNTIFS(Mar[Hour],'Loc Hr'!$B124)</f>
        <v>0</v>
      </c>
      <c r="F124" s="72">
        <f>COUNTIFS(Apr[Hour],'Loc Hr'!$B124)</f>
        <v>0</v>
      </c>
      <c r="G124" s="72">
        <f>COUNTIFS(May[Hour],'Loc Hr'!$B124)</f>
        <v>0</v>
      </c>
      <c r="H124" s="72">
        <f>COUNTIFS(June[Hour],'Loc Hr'!$B124)</f>
        <v>0</v>
      </c>
      <c r="I124" s="72">
        <f>COUNTIFS(July[Hour],'Loc Hr'!$B124)</f>
        <v>0</v>
      </c>
      <c r="J124" s="72">
        <f>COUNTIFS(Aug[Hour],'Loc Hr'!$B124)</f>
        <v>0</v>
      </c>
      <c r="K124" s="72">
        <f>COUNTIFS(Sept[Hour],'Loc Hr'!$B124)</f>
        <v>0</v>
      </c>
      <c r="L124" s="72">
        <f>COUNTIFS(Oct[Hour],'Loc Hr'!$B124)</f>
        <v>0</v>
      </c>
      <c r="M124" s="72">
        <f>COUNTIFS(Nov[Hour],'Loc Hr'!$B124)</f>
        <v>0</v>
      </c>
      <c r="N124" s="72">
        <f>COUNTIFS(Dec[Hour],'Loc Hr'!$B124)</f>
        <v>0</v>
      </c>
      <c r="O124" s="85">
        <f t="shared" si="11"/>
        <v>0</v>
      </c>
    </row>
    <row r="125" spans="2:15" x14ac:dyDescent="0.25">
      <c r="B125" s="73" t="s">
        <v>134</v>
      </c>
      <c r="C125" s="72">
        <f>COUNTIFS(Jan[Hour],'Loc Hr'!$B125)</f>
        <v>0</v>
      </c>
      <c r="D125" s="72">
        <f>COUNTIFS(Feb[Hour],'Loc Hr'!$B125)</f>
        <v>0</v>
      </c>
      <c r="E125" s="72">
        <f>COUNTIFS(Mar[Hour],'Loc Hr'!$B125)</f>
        <v>0</v>
      </c>
      <c r="F125" s="72">
        <f>COUNTIFS(Apr[Hour],'Loc Hr'!$B125)</f>
        <v>0</v>
      </c>
      <c r="G125" s="72">
        <f>COUNTIFS(May[Hour],'Loc Hr'!$B125)</f>
        <v>0</v>
      </c>
      <c r="H125" s="72">
        <f>COUNTIFS(June[Hour],'Loc Hr'!$B125)</f>
        <v>0</v>
      </c>
      <c r="I125" s="72">
        <f>COUNTIFS(July[Hour],'Loc Hr'!$B125)</f>
        <v>0</v>
      </c>
      <c r="J125" s="72">
        <f>COUNTIFS(Aug[Hour],'Loc Hr'!$B125)</f>
        <v>0</v>
      </c>
      <c r="K125" s="72">
        <f>COUNTIFS(Sept[Hour],'Loc Hr'!$B125)</f>
        <v>0</v>
      </c>
      <c r="L125" s="72">
        <f>COUNTIFS(Oct[Hour],'Loc Hr'!$B125)</f>
        <v>0</v>
      </c>
      <c r="M125" s="72">
        <f>COUNTIFS(Nov[Hour],'Loc Hr'!$B125)</f>
        <v>0</v>
      </c>
      <c r="N125" s="72">
        <f>COUNTIFS(Dec[Hour],'Loc Hr'!$B125)</f>
        <v>0</v>
      </c>
      <c r="O125" s="85">
        <f t="shared" si="11"/>
        <v>0</v>
      </c>
    </row>
    <row r="126" spans="2:15" x14ac:dyDescent="0.25">
      <c r="B126" s="73" t="s">
        <v>135</v>
      </c>
      <c r="C126" s="72">
        <f>COUNTIFS(Jan[Hour],'Loc Hr'!$B126)</f>
        <v>0</v>
      </c>
      <c r="D126" s="72">
        <f>COUNTIFS(Feb[Hour],'Loc Hr'!$B126)</f>
        <v>0</v>
      </c>
      <c r="E126" s="72">
        <f>COUNTIFS(Mar[Hour],'Loc Hr'!$B126)</f>
        <v>0</v>
      </c>
      <c r="F126" s="72">
        <f>COUNTIFS(Apr[Hour],'Loc Hr'!$B126)</f>
        <v>0</v>
      </c>
      <c r="G126" s="72">
        <f>COUNTIFS(May[Hour],'Loc Hr'!$B126)</f>
        <v>0</v>
      </c>
      <c r="H126" s="72">
        <f>COUNTIFS(June[Hour],'Loc Hr'!$B126)</f>
        <v>0</v>
      </c>
      <c r="I126" s="72">
        <f>COUNTIFS(July[Hour],'Loc Hr'!$B126)</f>
        <v>0</v>
      </c>
      <c r="J126" s="72">
        <f>COUNTIFS(Aug[Hour],'Loc Hr'!$B126)</f>
        <v>0</v>
      </c>
      <c r="K126" s="72">
        <f>COUNTIFS(Sept[Hour],'Loc Hr'!$B126)</f>
        <v>0</v>
      </c>
      <c r="L126" s="72">
        <f>COUNTIFS(Oct[Hour],'Loc Hr'!$B126)</f>
        <v>0</v>
      </c>
      <c r="M126" s="72">
        <f>COUNTIFS(Nov[Hour],'Loc Hr'!$B126)</f>
        <v>0</v>
      </c>
      <c r="N126" s="72">
        <f>COUNTIFS(Dec[Hour],'Loc Hr'!$B126)</f>
        <v>0</v>
      </c>
      <c r="O126" s="85">
        <f t="shared" si="11"/>
        <v>0</v>
      </c>
    </row>
    <row r="127" spans="2:15" x14ac:dyDescent="0.25">
      <c r="B127" s="73" t="s">
        <v>136</v>
      </c>
      <c r="C127" s="72">
        <f>COUNTIFS(Jan[Hour],'Loc Hr'!$B127)</f>
        <v>0</v>
      </c>
      <c r="D127" s="72">
        <f>COUNTIFS(Feb[Hour],'Loc Hr'!$B127)</f>
        <v>0</v>
      </c>
      <c r="E127" s="72">
        <f>COUNTIFS(Mar[Hour],'Loc Hr'!$B127)</f>
        <v>0</v>
      </c>
      <c r="F127" s="72">
        <f>COUNTIFS(Apr[Hour],'Loc Hr'!$B127)</f>
        <v>0</v>
      </c>
      <c r="G127" s="72">
        <f>COUNTIFS(May[Hour],'Loc Hr'!$B127)</f>
        <v>0</v>
      </c>
      <c r="H127" s="72">
        <f>COUNTIFS(June[Hour],'Loc Hr'!$B127)</f>
        <v>0</v>
      </c>
      <c r="I127" s="72">
        <f>COUNTIFS(July[Hour],'Loc Hr'!$B127)</f>
        <v>0</v>
      </c>
      <c r="J127" s="72">
        <f>COUNTIFS(Aug[Hour],'Loc Hr'!$B127)</f>
        <v>0</v>
      </c>
      <c r="K127" s="72">
        <f>COUNTIFS(Sept[Hour],'Loc Hr'!$B127)</f>
        <v>0</v>
      </c>
      <c r="L127" s="72">
        <f>COUNTIFS(Oct[Hour],'Loc Hr'!$B127)</f>
        <v>0</v>
      </c>
      <c r="M127" s="72">
        <f>COUNTIFS(Nov[Hour],'Loc Hr'!$B127)</f>
        <v>0</v>
      </c>
      <c r="N127" s="72">
        <f>COUNTIFS(Dec[Hour],'Loc Hr'!$B127)</f>
        <v>0</v>
      </c>
      <c r="O127" s="85">
        <f t="shared" si="11"/>
        <v>0</v>
      </c>
    </row>
    <row r="128" spans="2:15" x14ac:dyDescent="0.25">
      <c r="B128" s="73" t="s">
        <v>137</v>
      </c>
      <c r="C128" s="72">
        <f>COUNTIFS(Jan[Hour],'Loc Hr'!$B128)</f>
        <v>0</v>
      </c>
      <c r="D128" s="72">
        <f>COUNTIFS(Feb[Hour],'Loc Hr'!$B128)</f>
        <v>0</v>
      </c>
      <c r="E128" s="72">
        <f>COUNTIFS(Mar[Hour],'Loc Hr'!$B128)</f>
        <v>0</v>
      </c>
      <c r="F128" s="72">
        <f>COUNTIFS(Apr[Hour],'Loc Hr'!$B128)</f>
        <v>0</v>
      </c>
      <c r="G128" s="72">
        <f>COUNTIFS(May[Hour],'Loc Hr'!$B128)</f>
        <v>0</v>
      </c>
      <c r="H128" s="72">
        <f>COUNTIFS(June[Hour],'Loc Hr'!$B128)</f>
        <v>0</v>
      </c>
      <c r="I128" s="72">
        <f>COUNTIFS(July[Hour],'Loc Hr'!$B128)</f>
        <v>0</v>
      </c>
      <c r="J128" s="72">
        <f>COUNTIFS(Aug[Hour],'Loc Hr'!$B128)</f>
        <v>0</v>
      </c>
      <c r="K128" s="72">
        <f>COUNTIFS(Sept[Hour],'Loc Hr'!$B128)</f>
        <v>0</v>
      </c>
      <c r="L128" s="72">
        <f>COUNTIFS(Oct[Hour],'Loc Hr'!$B128)</f>
        <v>0</v>
      </c>
      <c r="M128" s="72">
        <f>COUNTIFS(Nov[Hour],'Loc Hr'!$B128)</f>
        <v>0</v>
      </c>
      <c r="N128" s="72">
        <f>COUNTIFS(Dec[Hour],'Loc Hr'!$B128)</f>
        <v>0</v>
      </c>
      <c r="O128" s="85">
        <f t="shared" si="11"/>
        <v>0</v>
      </c>
    </row>
    <row r="129" spans="2:15" x14ac:dyDescent="0.25">
      <c r="B129" s="73" t="s">
        <v>138</v>
      </c>
      <c r="C129" s="72">
        <f>COUNTIFS(Jan[Hour],'Loc Hr'!$B129)</f>
        <v>0</v>
      </c>
      <c r="D129" s="72">
        <f>COUNTIFS(Feb[Hour],'Loc Hr'!$B129)</f>
        <v>0</v>
      </c>
      <c r="E129" s="72">
        <f>COUNTIFS(Mar[Hour],'Loc Hr'!$B129)</f>
        <v>0</v>
      </c>
      <c r="F129" s="72">
        <f>COUNTIFS(Apr[Hour],'Loc Hr'!$B129)</f>
        <v>0</v>
      </c>
      <c r="G129" s="72">
        <f>COUNTIFS(May[Hour],'Loc Hr'!$B129)</f>
        <v>0</v>
      </c>
      <c r="H129" s="72">
        <f>COUNTIFS(June[Hour],'Loc Hr'!$B129)</f>
        <v>0</v>
      </c>
      <c r="I129" s="72">
        <f>COUNTIFS(July[Hour],'Loc Hr'!$B129)</f>
        <v>0</v>
      </c>
      <c r="J129" s="72">
        <f>COUNTIFS(Aug[Hour],'Loc Hr'!$B129)</f>
        <v>0</v>
      </c>
      <c r="K129" s="72">
        <f>COUNTIFS(Sept[Hour],'Loc Hr'!$B129)</f>
        <v>0</v>
      </c>
      <c r="L129" s="72">
        <f>COUNTIFS(Oct[Hour],'Loc Hr'!$B129)</f>
        <v>0</v>
      </c>
      <c r="M129" s="72">
        <f>COUNTIFS(Nov[Hour],'Loc Hr'!$B129)</f>
        <v>0</v>
      </c>
      <c r="N129" s="72">
        <f>COUNTIFS(Dec[Hour],'Loc Hr'!$B129)</f>
        <v>0</v>
      </c>
      <c r="O129" s="85">
        <f t="shared" si="11"/>
        <v>0</v>
      </c>
    </row>
    <row r="130" spans="2:15" x14ac:dyDescent="0.25">
      <c r="B130" s="73" t="s">
        <v>16</v>
      </c>
      <c r="C130" s="85">
        <f>_xlfn.AGGREGATE(9,6,C106:C129)</f>
        <v>0</v>
      </c>
      <c r="D130" s="85">
        <f t="shared" ref="D130:N130" si="12">_xlfn.AGGREGATE(9,6,D106:D129)</f>
        <v>0</v>
      </c>
      <c r="E130" s="85">
        <f t="shared" si="12"/>
        <v>0</v>
      </c>
      <c r="F130" s="85">
        <f t="shared" si="12"/>
        <v>0</v>
      </c>
      <c r="G130" s="85">
        <f t="shared" si="12"/>
        <v>0</v>
      </c>
      <c r="H130" s="85">
        <f t="shared" si="12"/>
        <v>0</v>
      </c>
      <c r="I130" s="85">
        <f t="shared" si="12"/>
        <v>0</v>
      </c>
      <c r="J130" s="85">
        <f t="shared" si="12"/>
        <v>0</v>
      </c>
      <c r="K130" s="85">
        <f t="shared" si="12"/>
        <v>0</v>
      </c>
      <c r="L130" s="85">
        <f t="shared" si="12"/>
        <v>0</v>
      </c>
      <c r="M130" s="85">
        <f t="shared" si="12"/>
        <v>0</v>
      </c>
      <c r="N130" s="85">
        <f t="shared" si="12"/>
        <v>0</v>
      </c>
      <c r="O130" s="85">
        <f>SUM(O106:O129)</f>
        <v>0</v>
      </c>
    </row>
    <row r="132" spans="2:15" x14ac:dyDescent="0.25">
      <c r="B132" s="151" t="s">
        <v>171</v>
      </c>
      <c r="C132" s="152"/>
    </row>
    <row r="133" spans="2:15" x14ac:dyDescent="0.25">
      <c r="B133" s="85" t="s">
        <v>23</v>
      </c>
      <c r="C133" s="82" t="s">
        <v>16</v>
      </c>
    </row>
    <row r="134" spans="2:15" x14ac:dyDescent="0.25">
      <c r="B134" s="73" t="s">
        <v>115</v>
      </c>
      <c r="C134" s="135">
        <f>$O$106</f>
        <v>0</v>
      </c>
    </row>
    <row r="135" spans="2:15" x14ac:dyDescent="0.25">
      <c r="B135" s="73" t="s">
        <v>116</v>
      </c>
      <c r="C135" s="135">
        <f>O107</f>
        <v>0</v>
      </c>
    </row>
    <row r="136" spans="2:15" x14ac:dyDescent="0.25">
      <c r="B136" s="73" t="s">
        <v>117</v>
      </c>
      <c r="C136" s="135">
        <f>$O$108</f>
        <v>0</v>
      </c>
    </row>
    <row r="137" spans="2:15" x14ac:dyDescent="0.25">
      <c r="B137" s="73" t="s">
        <v>118</v>
      </c>
      <c r="C137" s="135">
        <f>$O$109</f>
        <v>0</v>
      </c>
    </row>
    <row r="138" spans="2:15" x14ac:dyDescent="0.25">
      <c r="B138" s="73" t="s">
        <v>119</v>
      </c>
      <c r="C138" s="135">
        <f>$O$110</f>
        <v>0</v>
      </c>
    </row>
    <row r="139" spans="2:15" x14ac:dyDescent="0.25">
      <c r="B139" s="73" t="s">
        <v>120</v>
      </c>
      <c r="C139" s="135">
        <f>$O$111</f>
        <v>0</v>
      </c>
    </row>
    <row r="140" spans="2:15" x14ac:dyDescent="0.25">
      <c r="B140" s="73" t="s">
        <v>121</v>
      </c>
      <c r="C140" s="135">
        <f>$O$112</f>
        <v>0</v>
      </c>
    </row>
    <row r="141" spans="2:15" x14ac:dyDescent="0.25">
      <c r="B141" s="73" t="s">
        <v>122</v>
      </c>
      <c r="C141" s="135">
        <f>$O$113</f>
        <v>0</v>
      </c>
    </row>
    <row r="142" spans="2:15" x14ac:dyDescent="0.25">
      <c r="B142" s="73" t="s">
        <v>123</v>
      </c>
      <c r="C142" s="135">
        <f>$O$114</f>
        <v>0</v>
      </c>
    </row>
    <row r="143" spans="2:15" x14ac:dyDescent="0.25">
      <c r="B143" s="73" t="s">
        <v>124</v>
      </c>
      <c r="C143" s="135">
        <f>$O$115</f>
        <v>0</v>
      </c>
    </row>
    <row r="144" spans="2:15" x14ac:dyDescent="0.25">
      <c r="B144" s="73" t="s">
        <v>125</v>
      </c>
      <c r="C144" s="135">
        <f>$O$116</f>
        <v>0</v>
      </c>
    </row>
    <row r="145" spans="2:3" x14ac:dyDescent="0.25">
      <c r="B145" s="73" t="s">
        <v>126</v>
      </c>
      <c r="C145" s="135">
        <f>$O$117</f>
        <v>0</v>
      </c>
    </row>
    <row r="146" spans="2:3" x14ac:dyDescent="0.25">
      <c r="B146" s="150" t="s">
        <v>127</v>
      </c>
      <c r="C146" s="135">
        <f>$O$118</f>
        <v>0</v>
      </c>
    </row>
    <row r="147" spans="2:3" x14ac:dyDescent="0.25">
      <c r="B147" s="150" t="s">
        <v>128</v>
      </c>
      <c r="C147" s="135">
        <f>$O$119</f>
        <v>0</v>
      </c>
    </row>
    <row r="148" spans="2:3" x14ac:dyDescent="0.25">
      <c r="B148" s="73" t="s">
        <v>129</v>
      </c>
      <c r="C148" s="135">
        <f>$O$120</f>
        <v>0</v>
      </c>
    </row>
    <row r="149" spans="2:3" x14ac:dyDescent="0.25">
      <c r="B149" s="73" t="s">
        <v>130</v>
      </c>
      <c r="C149" s="135">
        <f>$O$121</f>
        <v>0</v>
      </c>
    </row>
    <row r="150" spans="2:3" x14ac:dyDescent="0.25">
      <c r="B150" s="73" t="s">
        <v>131</v>
      </c>
      <c r="C150" s="135">
        <f>$O$122</f>
        <v>0</v>
      </c>
    </row>
    <row r="151" spans="2:3" x14ac:dyDescent="0.25">
      <c r="B151" s="73" t="s">
        <v>132</v>
      </c>
      <c r="C151" s="135">
        <f>$O$123</f>
        <v>0</v>
      </c>
    </row>
    <row r="152" spans="2:3" x14ac:dyDescent="0.25">
      <c r="B152" s="73" t="s">
        <v>133</v>
      </c>
      <c r="C152" s="135">
        <f>$O$124</f>
        <v>0</v>
      </c>
    </row>
    <row r="153" spans="2:3" x14ac:dyDescent="0.25">
      <c r="B153" s="73" t="s">
        <v>134</v>
      </c>
      <c r="C153" s="135">
        <f>$O$125</f>
        <v>0</v>
      </c>
    </row>
    <row r="154" spans="2:3" x14ac:dyDescent="0.25">
      <c r="B154" s="73" t="s">
        <v>135</v>
      </c>
      <c r="C154" s="135">
        <f>$O$126</f>
        <v>0</v>
      </c>
    </row>
    <row r="155" spans="2:3" x14ac:dyDescent="0.25">
      <c r="B155" s="73" t="s">
        <v>136</v>
      </c>
      <c r="C155" s="135">
        <f>$O$127</f>
        <v>0</v>
      </c>
    </row>
    <row r="156" spans="2:3" x14ac:dyDescent="0.25">
      <c r="B156" s="73" t="s">
        <v>137</v>
      </c>
      <c r="C156" s="135">
        <f>$O$128</f>
        <v>0</v>
      </c>
    </row>
    <row r="157" spans="2:3" x14ac:dyDescent="0.25">
      <c r="B157" s="153" t="s">
        <v>138</v>
      </c>
      <c r="C157" s="135">
        <f>$O$129</f>
        <v>0</v>
      </c>
    </row>
    <row r="158" spans="2:3" x14ac:dyDescent="0.25">
      <c r="B158" s="154" t="s">
        <v>35</v>
      </c>
      <c r="C158" s="122">
        <f>_xlfn.AGGREGATE(9,6,C134:C157)</f>
        <v>0</v>
      </c>
    </row>
  </sheetData>
  <sheetProtection algorithmName="SHA-512" hashValue="Iu1ns3US0E1frwUyeJrr4rp9iwiKwJ0W4HD9GcFkEnkKPC50Xod/xv4p+WAwds6K7jC0sPqY9a5CZp81gZ25/w==" saltValue="T9o8OTJqhzRd5qfaA5heSg==" spinCount="100000" sheet="1" formatCells="0" formatColumns="0" formatRows="0"/>
  <conditionalFormatting sqref="C19:C29">
    <cfRule type="expression" dxfId="16" priority="6">
      <formula>ISERROR(C19)</formula>
    </cfRule>
  </conditionalFormatting>
  <conditionalFormatting sqref="C50:C60">
    <cfRule type="expression" dxfId="15" priority="4">
      <formula>ISERROR(C50)</formula>
    </cfRule>
  </conditionalFormatting>
  <conditionalFormatting sqref="C96:C100">
    <cfRule type="expression" dxfId="14" priority="1">
      <formula>ISERROR(C96)</formula>
    </cfRule>
  </conditionalFormatting>
  <conditionalFormatting sqref="C4:N14">
    <cfRule type="expression" dxfId="13" priority="7">
      <formula>ISERROR(C4)</formula>
    </cfRule>
  </conditionalFormatting>
  <conditionalFormatting sqref="C87:N91">
    <cfRule type="expression" dxfId="12" priority="3">
      <formula>ISERROR(C87)</formula>
    </cfRule>
  </conditionalFormatting>
  <conditionalFormatting sqref="O87:O91">
    <cfRule type="expression" dxfId="11" priority="2">
      <formula>ISERROR(O87)</formula>
    </cfRule>
  </conditionalFormatting>
  <conditionalFormatting sqref="Q28 C35:N45">
    <cfRule type="expression" dxfId="10" priority="5">
      <formula>ISERROR(C28)</formula>
    </cfRule>
  </conditionalFormatting>
  <printOptions horizontalCentered="1"/>
  <pageMargins left="0.25" right="0.25" top="0.25" bottom="0.25" header="0.3" footer="0.3"/>
  <pageSetup scale="85" fitToHeight="0" orientation="landscape" r:id="rId1"/>
  <rowBreaks count="3" manualBreakCount="3">
    <brk id="46" max="16383" man="1"/>
    <brk id="92" max="16383" man="1"/>
    <brk id="130" max="16383" man="1"/>
  </rowBreaks>
  <ignoredErrors>
    <ignoredError sqref="C99:C100" evalError="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autoPageBreaks="0" fitToPage="1"/>
  </sheetPr>
  <dimension ref="B1:AA448"/>
  <sheetViews>
    <sheetView showGridLines="0" zoomScaleNormal="100" workbookViewId="0">
      <pane ySplit="4" topLeftCell="A5" activePane="bottomLeft" state="frozen"/>
      <selection pane="bottomLeft" activeCell="B5" sqref="B5"/>
    </sheetView>
  </sheetViews>
  <sheetFormatPr defaultRowHeight="15" x14ac:dyDescent="0.25"/>
  <cols>
    <col min="1" max="1" width="2.85546875" customWidth="1"/>
    <col min="2" max="2" width="18.7109375" customWidth="1"/>
    <col min="3" max="3" width="8.28515625" bestFit="1" customWidth="1"/>
    <col min="4" max="4" width="9" bestFit="1" customWidth="1"/>
    <col min="5" max="9" width="6.7109375" customWidth="1"/>
    <col min="10" max="10" width="7.28515625" bestFit="1" customWidth="1"/>
    <col min="11" max="11" width="11" bestFit="1" customWidth="1"/>
    <col min="12" max="12" width="8.28515625" bestFit="1" customWidth="1"/>
    <col min="13" max="13" width="10.42578125" bestFit="1" customWidth="1"/>
    <col min="14" max="14" width="10.28515625" bestFit="1" customWidth="1"/>
    <col min="15" max="15" width="6.7109375" bestFit="1" customWidth="1"/>
    <col min="16" max="16" width="3.140625" customWidth="1"/>
    <col min="17" max="17" width="1.85546875" customWidth="1"/>
    <col min="18" max="18" width="19.42578125" customWidth="1"/>
    <col min="19" max="19" width="6.140625" customWidth="1"/>
    <col min="20" max="20" width="4.28515625" customWidth="1"/>
    <col min="21" max="21" width="23.7109375" customWidth="1"/>
    <col min="22" max="22" width="7.5703125" hidden="1" customWidth="1"/>
    <col min="23" max="24" width="9.140625" hidden="1" customWidth="1"/>
    <col min="25" max="25" width="10.7109375" hidden="1" customWidth="1"/>
    <col min="26" max="26" width="9.140625" hidden="1" customWidth="1"/>
    <col min="27" max="27" width="10.42578125" hidden="1" customWidth="1"/>
    <col min="28" max="28" width="10.28515625" customWidth="1"/>
  </cols>
  <sheetData>
    <row r="1" spans="2:27" x14ac:dyDescent="0.25">
      <c r="O1" s="164"/>
    </row>
    <row r="2" spans="2:27" x14ac:dyDescent="0.25">
      <c r="B2" s="151" t="s">
        <v>53</v>
      </c>
      <c r="C2" s="152"/>
      <c r="D2" s="90"/>
      <c r="E2" s="90"/>
      <c r="F2" s="90"/>
      <c r="G2" s="90"/>
      <c r="H2" s="90"/>
      <c r="I2" s="90"/>
      <c r="J2" s="90"/>
      <c r="K2" s="90"/>
      <c r="L2" s="90"/>
      <c r="M2" s="90"/>
      <c r="N2" s="165"/>
      <c r="O2" s="166"/>
      <c r="P2" s="16"/>
      <c r="R2" s="151" t="s">
        <v>53</v>
      </c>
      <c r="S2" s="90"/>
      <c r="U2" s="151" t="s">
        <v>54</v>
      </c>
    </row>
    <row r="3" spans="2:27" x14ac:dyDescent="0.25">
      <c r="B3" s="146" t="s">
        <v>38</v>
      </c>
      <c r="C3" s="155">
        <f t="shared" ref="C3:O3" si="0">SUM(C5:C172)</f>
        <v>0</v>
      </c>
      <c r="D3" s="155">
        <f t="shared" si="0"/>
        <v>0</v>
      </c>
      <c r="E3" s="155">
        <f t="shared" si="0"/>
        <v>0</v>
      </c>
      <c r="F3" s="155">
        <f t="shared" si="0"/>
        <v>0</v>
      </c>
      <c r="G3" s="155">
        <f t="shared" si="0"/>
        <v>0</v>
      </c>
      <c r="H3" s="155">
        <f t="shared" si="0"/>
        <v>0</v>
      </c>
      <c r="I3" s="155">
        <f t="shared" si="0"/>
        <v>0</v>
      </c>
      <c r="J3" s="155">
        <f t="shared" si="0"/>
        <v>0</v>
      </c>
      <c r="K3" s="155">
        <f t="shared" si="0"/>
        <v>0</v>
      </c>
      <c r="L3" s="155">
        <f t="shared" si="0"/>
        <v>0</v>
      </c>
      <c r="M3" s="155">
        <f t="shared" si="0"/>
        <v>0</v>
      </c>
      <c r="N3" s="155">
        <f t="shared" si="0"/>
        <v>0</v>
      </c>
      <c r="O3" s="163">
        <f t="shared" si="0"/>
        <v>0</v>
      </c>
      <c r="P3" s="156"/>
      <c r="R3" s="157" t="s">
        <v>43</v>
      </c>
      <c r="S3" s="158"/>
      <c r="U3" s="157" t="s">
        <v>25</v>
      </c>
    </row>
    <row r="4" spans="2:27" x14ac:dyDescent="0.25">
      <c r="B4" s="131" t="s">
        <v>37</v>
      </c>
      <c r="C4" s="159" t="s">
        <v>4</v>
      </c>
      <c r="D4" s="159" t="s">
        <v>5</v>
      </c>
      <c r="E4" s="159" t="s">
        <v>6</v>
      </c>
      <c r="F4" s="159" t="s">
        <v>7</v>
      </c>
      <c r="G4" s="159" t="s">
        <v>8</v>
      </c>
      <c r="H4" s="159" t="s">
        <v>9</v>
      </c>
      <c r="I4" s="159" t="s">
        <v>10</v>
      </c>
      <c r="J4" s="159" t="s">
        <v>11</v>
      </c>
      <c r="K4" s="159" t="s">
        <v>12</v>
      </c>
      <c r="L4" s="159" t="s">
        <v>13</v>
      </c>
      <c r="M4" s="159" t="s">
        <v>14</v>
      </c>
      <c r="N4" s="159" t="s">
        <v>15</v>
      </c>
      <c r="O4" s="82" t="s">
        <v>16</v>
      </c>
      <c r="P4" s="156"/>
      <c r="R4" s="139" t="s">
        <v>37</v>
      </c>
      <c r="S4" s="85" t="s">
        <v>35</v>
      </c>
      <c r="U4" s="139" t="s">
        <v>37</v>
      </c>
    </row>
    <row r="5" spans="2:27" x14ac:dyDescent="0.25">
      <c r="B5" s="160" t="str">
        <f>IFERROR(INDEX($V$5:$V$448,MATCH(ROWS($B$5:B5),$W$5:$W$448,0)),"")</f>
        <v/>
      </c>
      <c r="C5" s="265" t="str">
        <f>IF($B5="","",COUNTIF(Jan[Resident Name],$B5))</f>
        <v/>
      </c>
      <c r="D5" s="265" t="str">
        <f>IF($B5="","",COUNTIF(Feb[Resident Name],$B5))</f>
        <v/>
      </c>
      <c r="E5" s="265" t="str">
        <f>IF($B5="","",COUNTIF(Mar[Resident Name],$B5))</f>
        <v/>
      </c>
      <c r="F5" s="265" t="str">
        <f>IF($B5="","",COUNTIF(Apr[Resident Name],$B5))</f>
        <v/>
      </c>
      <c r="G5" s="265" t="str">
        <f>IF($B5="","",COUNTIF(May[Resident Name],$B5))</f>
        <v/>
      </c>
      <c r="H5" s="265" t="str">
        <f>IF($B5="","",COUNTIF(June[Resident Name],$B5))</f>
        <v/>
      </c>
      <c r="I5" s="265" t="str">
        <f>IF($B5="","",COUNTIF(July[Resident Name],$B5))</f>
        <v/>
      </c>
      <c r="J5" s="265" t="str">
        <f>IF($B5="","",COUNTIF(Aug[Resident Name],$B5))</f>
        <v/>
      </c>
      <c r="K5" s="265" t="str">
        <f>IF($B5="","",COUNTIF(Sept[Resident Name],$B5))</f>
        <v/>
      </c>
      <c r="L5" s="265" t="str">
        <f>IF($B5="","",COUNTIF(Oct[Resident Name],$B5))</f>
        <v/>
      </c>
      <c r="M5" s="265" t="str">
        <f>IF($B5="","",COUNTIF(Nov[Resident Name],$B5))</f>
        <v/>
      </c>
      <c r="N5" s="265" t="str">
        <f>IF($B5="","",COUNTIF(Dec[Resident Name],$B5))</f>
        <v/>
      </c>
      <c r="O5" s="265" t="str">
        <f>IF($B5="","",SUM(C5:N5))</f>
        <v/>
      </c>
      <c r="P5" s="11"/>
      <c r="R5" s="160" t="str">
        <f>IFERROR(INDEX($B$5:$B$172,MATCH(ROWS($R$5:R5),$X$5:$X$172,0)),"")</f>
        <v/>
      </c>
      <c r="S5" s="76" t="str">
        <f>IF($R5="","",INDEX($O$5:$O$172,MATCH(ROWS($R$5:R5),$X$5:$X$172,0)))</f>
        <v/>
      </c>
      <c r="U5" s="160" t="str">
        <f>IFERROR(INDEX($Z$5:$Z$448,MATCH(ROWS($U$5:U5),$AA$5:$AA$448,0)),"")</f>
        <v/>
      </c>
      <c r="V5" s="274" t="str">
        <f>IF(Jan!C4="","",Jan!C4)</f>
        <v/>
      </c>
      <c r="W5" s="274" t="str" cm="1">
        <f t="array" ref="W5">IF(V5="","",IF(COUNTIF($V$5:V5,V5)&gt;1,"",ROUND(1+SUMPRODUCT(($V$5:$V$448&lt;&gt;"")*($V$5:$V$448&lt;V5)/COUNTIF($V$5:$V$448,$V$5:$V$448&amp;"")),0)))</f>
        <v/>
      </c>
      <c r="X5" s="274" t="str">
        <f>IF($B5="","",1+COUNTIF($O$5:$O$172,"&gt;"&amp;$O5)+COUNTIFS($O$5:$O$172,$O5,$B$5:$B$172,"&lt;"&amp;$B5))</f>
        <v/>
      </c>
      <c r="Z5" s="274" t="str">
        <f>IF(Jan!H4="Major Injury",Jan!C4,"")</f>
        <v/>
      </c>
      <c r="AA5" s="274" t="str" cm="1">
        <f t="array" ref="AA5">IF(Z5="","",IF(COUNTIF($Z$5:Z5,Z5)&gt;1,"",ROUND(1+SUMPRODUCT(($Z$5:$Z$448&lt;&gt;"")*($Z$5:$Z$448&lt;Z5)/COUNTIF($Z$5:$Z$448,$Z$5:$Z$448&amp;"")),0)))</f>
        <v/>
      </c>
    </row>
    <row r="6" spans="2:27" x14ac:dyDescent="0.25">
      <c r="B6" s="160" t="str">
        <f>IFERROR(INDEX($V$5:$V$448,MATCH(ROWS($B$5:B6),$W$5:$W$448,0)),"")</f>
        <v/>
      </c>
      <c r="C6" s="265" t="str">
        <f>IF($B6="","",COUNTIF(Jan[Resident Name],$B6))</f>
        <v/>
      </c>
      <c r="D6" s="265" t="str">
        <f>IF($B6="","",COUNTIF(Feb[Resident Name],$B6))</f>
        <v/>
      </c>
      <c r="E6" s="265" t="str">
        <f>IF($B6="","",COUNTIF(Mar[Resident Name],$B6))</f>
        <v/>
      </c>
      <c r="F6" s="265" t="str">
        <f>IF($B6="","",COUNTIF(Apr[Resident Name],$B6))</f>
        <v/>
      </c>
      <c r="G6" s="265" t="str">
        <f>IF($B6="","",COUNTIF(May[Resident Name],$B6))</f>
        <v/>
      </c>
      <c r="H6" s="265" t="str">
        <f>IF($B6="","",COUNTIF(June[Resident Name],$B6))</f>
        <v/>
      </c>
      <c r="I6" s="265" t="str">
        <f>IF($B6="","",COUNTIF(July[Resident Name],$B6))</f>
        <v/>
      </c>
      <c r="J6" s="265" t="str">
        <f>IF($B6="","",COUNTIF(Aug[Resident Name],$B6))</f>
        <v/>
      </c>
      <c r="K6" s="265" t="str">
        <f>IF($B6="","",COUNTIF(Sept[Resident Name],$B6))</f>
        <v/>
      </c>
      <c r="L6" s="265" t="str">
        <f>IF($B6="","",COUNTIF(Oct[Resident Name],$B6))</f>
        <v/>
      </c>
      <c r="M6" s="265" t="str">
        <f>IF($B6="","",COUNTIF(Nov[Resident Name],$B6))</f>
        <v/>
      </c>
      <c r="N6" s="265" t="str">
        <f>IF($B6="","",COUNTIF(Dec[Resident Name],$B6))</f>
        <v/>
      </c>
      <c r="O6" s="265" t="str">
        <f t="shared" ref="O6:O69" si="1">IF($B6="","",SUM(C6:N6))</f>
        <v/>
      </c>
      <c r="P6" s="11"/>
      <c r="R6" s="160" t="str">
        <f>IFERROR(INDEX($B$5:$B$172,MATCH(ROWS($R$5:R6),$X$5:$X$172,0)),"")</f>
        <v/>
      </c>
      <c r="S6" s="76" t="str">
        <f>IF($R6="","",INDEX($O$5:$O$172,MATCH(ROWS($R$5:R6),$X$5:$X$172,0)))</f>
        <v/>
      </c>
      <c r="U6" s="160" t="str">
        <f>IFERROR(INDEX($Z$5:$Z$448,MATCH(ROWS($U$5:U6),$AA$5:$AA$448,0)),"")</f>
        <v/>
      </c>
      <c r="V6" s="274" t="str">
        <f>IF(Jan!C5="","",Jan!C5)</f>
        <v/>
      </c>
      <c r="W6" s="274" t="str" cm="1">
        <f t="array" ref="W6">IF(V6="","",IF(COUNTIF($V$5:V6,V6)&gt;1,"",ROUND(1+SUMPRODUCT(($V$5:$V$448&lt;&gt;"")*($V$5:$V$448&lt;V6)/COUNTIF($V$5:$V$448,$V$5:$V$448&amp;"")),0)))</f>
        <v/>
      </c>
      <c r="X6" s="274" t="str">
        <f t="shared" ref="X6:X69" si="2">IF($B6="","",1+COUNTIF($O$5:$O$172,"&gt;"&amp;$O6)+COUNTIFS($O$5:$O$172,$O6,$B$5:$B$172,"&lt;"&amp;$B6))</f>
        <v/>
      </c>
      <c r="Z6" s="274" t="str">
        <f>IF(Jan!H5="Major Injury",Jan!C5,"")</f>
        <v/>
      </c>
      <c r="AA6" s="274" t="str" cm="1">
        <f t="array" ref="AA6">IF(Z6="","",IF(COUNTIF($Z$5:Z6,Z6)&gt;1,"",ROUND(1+SUMPRODUCT(($Z$5:$Z$448&lt;&gt;"")*($Z$5:$Z$448&lt;Z6)/COUNTIF($Z$5:$Z$448,$Z$5:$Z$448&amp;"")),0)))</f>
        <v/>
      </c>
    </row>
    <row r="7" spans="2:27" x14ac:dyDescent="0.25">
      <c r="B7" s="160" t="str">
        <f>IFERROR(INDEX($V$5:$V$448,MATCH(ROWS($B$5:B7),$W$5:$W$448,0)),"")</f>
        <v/>
      </c>
      <c r="C7" s="265" t="str">
        <f>IF($B7="","",COUNTIF(Jan[Resident Name],$B7))</f>
        <v/>
      </c>
      <c r="D7" s="265" t="str">
        <f>IF($B7="","",COUNTIF(Feb[Resident Name],$B7))</f>
        <v/>
      </c>
      <c r="E7" s="265" t="str">
        <f>IF($B7="","",COUNTIF(Mar[Resident Name],$B7))</f>
        <v/>
      </c>
      <c r="F7" s="265" t="str">
        <f>IF($B7="","",COUNTIF(Apr[Resident Name],$B7))</f>
        <v/>
      </c>
      <c r="G7" s="265" t="str">
        <f>IF($B7="","",COUNTIF(May[Resident Name],$B7))</f>
        <v/>
      </c>
      <c r="H7" s="265" t="str">
        <f>IF($B7="","",COUNTIF(June[Resident Name],$B7))</f>
        <v/>
      </c>
      <c r="I7" s="265" t="str">
        <f>IF($B7="","",COUNTIF(July[Resident Name],$B7))</f>
        <v/>
      </c>
      <c r="J7" s="265" t="str">
        <f>IF($B7="","",COUNTIF(Aug[Resident Name],$B7))</f>
        <v/>
      </c>
      <c r="K7" s="265" t="str">
        <f>IF($B7="","",COUNTIF(Sept[Resident Name],$B7))</f>
        <v/>
      </c>
      <c r="L7" s="265" t="str">
        <f>IF($B7="","",COUNTIF(Oct[Resident Name],$B7))</f>
        <v/>
      </c>
      <c r="M7" s="265" t="str">
        <f>IF($B7="","",COUNTIF(Nov[Resident Name],$B7))</f>
        <v/>
      </c>
      <c r="N7" s="265" t="str">
        <f>IF($B7="","",COUNTIF(Dec[Resident Name],$B7))</f>
        <v/>
      </c>
      <c r="O7" s="265" t="str">
        <f t="shared" si="1"/>
        <v/>
      </c>
      <c r="P7" s="11"/>
      <c r="R7" s="160" t="str">
        <f>IFERROR(INDEX($B$5:$B$172,MATCH(ROWS($R$5:R7),$X$5:$X$172,0)),"")</f>
        <v/>
      </c>
      <c r="S7" s="76" t="str">
        <f>IF($R7="","",INDEX($O$5:$O$172,MATCH(ROWS($R$5:R7),$X$5:$X$172,0)))</f>
        <v/>
      </c>
      <c r="U7" s="160" t="str">
        <f>IFERROR(INDEX($Z$5:$Z$448,MATCH(ROWS($U$5:U7),$AA$5:$AA$448,0)),"")</f>
        <v/>
      </c>
      <c r="V7" s="274" t="str">
        <f>IF(Jan!C6="","",Jan!C6)</f>
        <v/>
      </c>
      <c r="W7" s="274" t="str" cm="1">
        <f t="array" ref="W7">IF(V7="","",IF(COUNTIF($V$5:V7,V7)&gt;1,"",ROUND(1+SUMPRODUCT(($V$5:$V$448&lt;&gt;"")*($V$5:$V$448&lt;V7)/COUNTIF($V$5:$V$448,$V$5:$V$448&amp;"")),0)))</f>
        <v/>
      </c>
      <c r="X7" s="274" t="str">
        <f t="shared" si="2"/>
        <v/>
      </c>
      <c r="Z7" s="274" t="str">
        <f>IF(Jan!H6="Major Injury",Jan!C6,"")</f>
        <v/>
      </c>
      <c r="AA7" s="274" t="str" cm="1">
        <f t="array" ref="AA7">IF(Z7="","",IF(COUNTIF($Z$5:Z7,Z7)&gt;1,"",ROUND(1+SUMPRODUCT(($Z$5:$Z$448&lt;&gt;"")*($Z$5:$Z$448&lt;Z7)/COUNTIF($Z$5:$Z$448,$Z$5:$Z$448&amp;"")),0)))</f>
        <v/>
      </c>
    </row>
    <row r="8" spans="2:27" x14ac:dyDescent="0.25">
      <c r="B8" s="160" t="str">
        <f>IFERROR(INDEX($V$5:$V$448,MATCH(ROWS($B$5:B8),$W$5:$W$448,0)),"")</f>
        <v/>
      </c>
      <c r="C8" s="265" t="str">
        <f>IF($B8="","",COUNTIF(Jan[Resident Name],$B8))</f>
        <v/>
      </c>
      <c r="D8" s="265" t="str">
        <f>IF($B8="","",COUNTIF(Feb[Resident Name],$B8))</f>
        <v/>
      </c>
      <c r="E8" s="265" t="str">
        <f>IF($B8="","",COUNTIF(Mar[Resident Name],$B8))</f>
        <v/>
      </c>
      <c r="F8" s="265" t="str">
        <f>IF($B8="","",COUNTIF(Apr[Resident Name],$B8))</f>
        <v/>
      </c>
      <c r="G8" s="265" t="str">
        <f>IF($B8="","",COUNTIF(May[Resident Name],$B8))</f>
        <v/>
      </c>
      <c r="H8" s="265" t="str">
        <f>IF($B8="","",COUNTIF(June[Resident Name],$B8))</f>
        <v/>
      </c>
      <c r="I8" s="265" t="str">
        <f>IF($B8="","",COUNTIF(July[Resident Name],$B8))</f>
        <v/>
      </c>
      <c r="J8" s="265" t="str">
        <f>IF($B8="","",COUNTIF(Aug[Resident Name],$B8))</f>
        <v/>
      </c>
      <c r="K8" s="265" t="str">
        <f>IF($B8="","",COUNTIF(Sept[Resident Name],$B8))</f>
        <v/>
      </c>
      <c r="L8" s="265" t="str">
        <f>IF($B8="","",COUNTIF(Oct[Resident Name],$B8))</f>
        <v/>
      </c>
      <c r="M8" s="265" t="str">
        <f>IF($B8="","",COUNTIF(Nov[Resident Name],$B8))</f>
        <v/>
      </c>
      <c r="N8" s="265" t="str">
        <f>IF($B8="","",COUNTIF(Dec[Resident Name],$B8))</f>
        <v/>
      </c>
      <c r="O8" s="265" t="str">
        <f t="shared" si="1"/>
        <v/>
      </c>
      <c r="P8" s="11"/>
      <c r="R8" s="160" t="str">
        <f>IFERROR(INDEX($B$5:$B$172,MATCH(ROWS($R$5:R8),$X$5:$X$172,0)),"")</f>
        <v/>
      </c>
      <c r="S8" s="76" t="str">
        <f>IF($R8="","",INDEX($O$5:$O$172,MATCH(ROWS($R$5:R8),$X$5:$X$172,0)))</f>
        <v/>
      </c>
      <c r="U8" s="160" t="str">
        <f>IFERROR(INDEX($Z$5:$Z$448,MATCH(ROWS($U$5:U8),$AA$5:$AA$448,0)),"")</f>
        <v/>
      </c>
      <c r="V8" s="274" t="str">
        <f>IF(Jan!C7="","",Jan!C7)</f>
        <v/>
      </c>
      <c r="W8" s="274" t="str" cm="1">
        <f t="array" ref="W8">IF(V8="","",IF(COUNTIF($V$5:V8,V8)&gt;1,"",ROUND(1+SUMPRODUCT(($V$5:$V$448&lt;&gt;"")*($V$5:$V$448&lt;V8)/COUNTIF($V$5:$V$448,$V$5:$V$448&amp;"")),0)))</f>
        <v/>
      </c>
      <c r="X8" s="274" t="str">
        <f t="shared" si="2"/>
        <v/>
      </c>
      <c r="Z8" s="274" t="str">
        <f>IF(Jan!H7="Major Injury",Jan!C7,"")</f>
        <v/>
      </c>
      <c r="AA8" s="274" t="str" cm="1">
        <f t="array" ref="AA8">IF(Z8="","",IF(COUNTIF($Z$5:Z8,Z8)&gt;1,"",ROUND(1+SUMPRODUCT(($Z$5:$Z$448&lt;&gt;"")*($Z$5:$Z$448&lt;Z8)/COUNTIF($Z$5:$Z$448,$Z$5:$Z$448&amp;"")),0)))</f>
        <v/>
      </c>
    </row>
    <row r="9" spans="2:27" x14ac:dyDescent="0.25">
      <c r="B9" s="160" t="str">
        <f>IFERROR(INDEX($V$5:$V$448,MATCH(ROWS($B$5:B9),$W$5:$W$448,0)),"")</f>
        <v/>
      </c>
      <c r="C9" s="265" t="str">
        <f>IF($B9="","",COUNTIF(Jan[Resident Name],$B9))</f>
        <v/>
      </c>
      <c r="D9" s="265" t="str">
        <f>IF($B9="","",COUNTIF(Feb[Resident Name],$B9))</f>
        <v/>
      </c>
      <c r="E9" s="265" t="str">
        <f>IF($B9="","",COUNTIF(Mar[Resident Name],$B9))</f>
        <v/>
      </c>
      <c r="F9" s="265" t="str">
        <f>IF($B9="","",COUNTIF(Apr[Resident Name],$B9))</f>
        <v/>
      </c>
      <c r="G9" s="265" t="str">
        <f>IF($B9="","",COUNTIF(May[Resident Name],$B9))</f>
        <v/>
      </c>
      <c r="H9" s="265" t="str">
        <f>IF($B9="","",COUNTIF(June[Resident Name],$B9))</f>
        <v/>
      </c>
      <c r="I9" s="265" t="str">
        <f>IF($B9="","",COUNTIF(July[Resident Name],$B9))</f>
        <v/>
      </c>
      <c r="J9" s="265" t="str">
        <f>IF($B9="","",COUNTIF(Aug[Resident Name],$B9))</f>
        <v/>
      </c>
      <c r="K9" s="265" t="str">
        <f>IF($B9="","",COUNTIF(Sept[Resident Name],$B9))</f>
        <v/>
      </c>
      <c r="L9" s="265" t="str">
        <f>IF($B9="","",COUNTIF(Oct[Resident Name],$B9))</f>
        <v/>
      </c>
      <c r="M9" s="265" t="str">
        <f>IF($B9="","",COUNTIF(Nov[Resident Name],$B9))</f>
        <v/>
      </c>
      <c r="N9" s="265" t="str">
        <f>IF($B9="","",COUNTIF(Dec[Resident Name],$B9))</f>
        <v/>
      </c>
      <c r="O9" s="265" t="str">
        <f t="shared" si="1"/>
        <v/>
      </c>
      <c r="P9" s="11"/>
      <c r="R9" s="160" t="str">
        <f>IFERROR(INDEX($B$5:$B$172,MATCH(ROWS($R$5:R9),$X$5:$X$172,0)),"")</f>
        <v/>
      </c>
      <c r="S9" s="76" t="str">
        <f>IF($R9="","",INDEX($O$5:$O$172,MATCH(ROWS($R$5:R9),$X$5:$X$172,0)))</f>
        <v/>
      </c>
      <c r="U9" s="160" t="str">
        <f>IFERROR(INDEX($Z$5:$Z$448,MATCH(ROWS($U$5:U9),$AA$5:$AA$448,0)),"")</f>
        <v/>
      </c>
      <c r="V9" s="274" t="str">
        <f>IF(Jan!C8="","",Jan!C8)</f>
        <v/>
      </c>
      <c r="W9" s="274" t="str" cm="1">
        <f t="array" ref="W9">IF(V9="","",IF(COUNTIF($V$5:V9,V9)&gt;1,"",ROUND(1+SUMPRODUCT(($V$5:$V$448&lt;&gt;"")*($V$5:$V$448&lt;V9)/COUNTIF($V$5:$V$448,$V$5:$V$448&amp;"")),0)))</f>
        <v/>
      </c>
      <c r="X9" s="274" t="str">
        <f t="shared" si="2"/>
        <v/>
      </c>
      <c r="Z9" s="274" t="str">
        <f>IF(Jan!H8="Major Injury",Jan!C8,"")</f>
        <v/>
      </c>
      <c r="AA9" s="274" t="str" cm="1">
        <f t="array" ref="AA9">IF(Z9="","",IF(COUNTIF($Z$5:Z9,Z9)&gt;1,"",ROUND(1+SUMPRODUCT(($Z$5:$Z$448&lt;&gt;"")*($Z$5:$Z$448&lt;Z9)/COUNTIF($Z$5:$Z$448,$Z$5:$Z$448&amp;"")),0)))</f>
        <v/>
      </c>
    </row>
    <row r="10" spans="2:27" x14ac:dyDescent="0.25">
      <c r="B10" s="160" t="str">
        <f>IFERROR(INDEX($V$5:$V$448,MATCH(ROWS($B$5:B10),$W$5:$W$448,0)),"")</f>
        <v/>
      </c>
      <c r="C10" s="265" t="str">
        <f>IF($B10="","",COUNTIF(Jan[Resident Name],$B10))</f>
        <v/>
      </c>
      <c r="D10" s="265" t="str">
        <f>IF($B10="","",COUNTIF(Feb[Resident Name],$B10))</f>
        <v/>
      </c>
      <c r="E10" s="265" t="str">
        <f>IF($B10="","",COUNTIF(Mar[Resident Name],$B10))</f>
        <v/>
      </c>
      <c r="F10" s="265" t="str">
        <f>IF($B10="","",COUNTIF(Apr[Resident Name],$B10))</f>
        <v/>
      </c>
      <c r="G10" s="265" t="str">
        <f>IF($B10="","",COUNTIF(May[Resident Name],$B10))</f>
        <v/>
      </c>
      <c r="H10" s="265" t="str">
        <f>IF($B10="","",COUNTIF(June[Resident Name],$B10))</f>
        <v/>
      </c>
      <c r="I10" s="265" t="str">
        <f>IF($B10="","",COUNTIF(July[Resident Name],$B10))</f>
        <v/>
      </c>
      <c r="J10" s="265" t="str">
        <f>IF($B10="","",COUNTIF(Aug[Resident Name],$B10))</f>
        <v/>
      </c>
      <c r="K10" s="265" t="str">
        <f>IF($B10="","",COUNTIF(Sept[Resident Name],$B10))</f>
        <v/>
      </c>
      <c r="L10" s="265" t="str">
        <f>IF($B10="","",COUNTIF(Oct[Resident Name],$B10))</f>
        <v/>
      </c>
      <c r="M10" s="265" t="str">
        <f>IF($B10="","",COUNTIF(Nov[Resident Name],$B10))</f>
        <v/>
      </c>
      <c r="N10" s="265" t="str">
        <f>IF($B10="","",COUNTIF(Dec[Resident Name],$B10))</f>
        <v/>
      </c>
      <c r="O10" s="265" t="str">
        <f t="shared" si="1"/>
        <v/>
      </c>
      <c r="P10" s="11"/>
      <c r="R10" s="160" t="str">
        <f>IFERROR(INDEX($B$5:$B$172,MATCH(ROWS($R$5:R10),$X$5:$X$172,0)),"")</f>
        <v/>
      </c>
      <c r="S10" s="76" t="str">
        <f>IF($R10="","",INDEX($O$5:$O$172,MATCH(ROWS($R$5:R10),$X$5:$X$172,0)))</f>
        <v/>
      </c>
      <c r="U10" s="160" t="str">
        <f>IFERROR(INDEX($Z$5:$Z$448,MATCH(ROWS($U$5:U10),$AA$5:$AA$448,0)),"")</f>
        <v/>
      </c>
      <c r="V10" s="274" t="str">
        <f>IF(Jan!C9="","",Jan!C9)</f>
        <v/>
      </c>
      <c r="W10" s="274" t="str" cm="1">
        <f t="array" ref="W10">IF(V10="","",IF(COUNTIF($V$5:V10,V10)&gt;1,"",ROUND(1+SUMPRODUCT(($V$5:$V$448&lt;&gt;"")*($V$5:$V$448&lt;V10)/COUNTIF($V$5:$V$448,$V$5:$V$448&amp;"")),0)))</f>
        <v/>
      </c>
      <c r="X10" s="274" t="str">
        <f t="shared" si="2"/>
        <v/>
      </c>
      <c r="Z10" s="274" t="str">
        <f>IF(Jan!H9="Major Injury",Jan!C9,"")</f>
        <v/>
      </c>
      <c r="AA10" s="274" t="str" cm="1">
        <f t="array" ref="AA10">IF(Z10="","",IF(COUNTIF($Z$5:Z10,Z10)&gt;1,"",ROUND(1+SUMPRODUCT(($Z$5:$Z$448&lt;&gt;"")*($Z$5:$Z$448&lt;Z10)/COUNTIF($Z$5:$Z$448,$Z$5:$Z$448&amp;"")),0)))</f>
        <v/>
      </c>
    </row>
    <row r="11" spans="2:27" x14ac:dyDescent="0.25">
      <c r="B11" s="160" t="str">
        <f>IFERROR(INDEX($V$5:$V$448,MATCH(ROWS($B$5:B11),$W$5:$W$448,0)),"")</f>
        <v/>
      </c>
      <c r="C11" s="265" t="str">
        <f>IF($B11="","",COUNTIF(Jan[Resident Name],$B11))</f>
        <v/>
      </c>
      <c r="D11" s="265" t="str">
        <f>IF($B11="","",COUNTIF(Feb[Resident Name],$B11))</f>
        <v/>
      </c>
      <c r="E11" s="265" t="str">
        <f>IF($B11="","",COUNTIF(Mar[Resident Name],$B11))</f>
        <v/>
      </c>
      <c r="F11" s="265" t="str">
        <f>IF($B11="","",COUNTIF(Apr[Resident Name],$B11))</f>
        <v/>
      </c>
      <c r="G11" s="265" t="str">
        <f>IF($B11="","",COUNTIF(May[Resident Name],$B11))</f>
        <v/>
      </c>
      <c r="H11" s="265" t="str">
        <f>IF($B11="","",COUNTIF(June[Resident Name],$B11))</f>
        <v/>
      </c>
      <c r="I11" s="265" t="str">
        <f>IF($B11="","",COUNTIF(July[Resident Name],$B11))</f>
        <v/>
      </c>
      <c r="J11" s="265" t="str">
        <f>IF($B11="","",COUNTIF(Aug[Resident Name],$B11))</f>
        <v/>
      </c>
      <c r="K11" s="265" t="str">
        <f>IF($B11="","",COUNTIF(Sept[Resident Name],$B11))</f>
        <v/>
      </c>
      <c r="L11" s="265" t="str">
        <f>IF($B11="","",COUNTIF(Oct[Resident Name],$B11))</f>
        <v/>
      </c>
      <c r="M11" s="265" t="str">
        <f>IF($B11="","",COUNTIF(Nov[Resident Name],$B11))</f>
        <v/>
      </c>
      <c r="N11" s="265" t="str">
        <f>IF($B11="","",COUNTIF(Dec[Resident Name],$B11))</f>
        <v/>
      </c>
      <c r="O11" s="265" t="str">
        <f t="shared" si="1"/>
        <v/>
      </c>
      <c r="P11" s="11"/>
      <c r="R11" s="160" t="str">
        <f>IFERROR(INDEX($B$5:$B$172,MATCH(ROWS($R$5:R11),$X$5:$X$172,0)),"")</f>
        <v/>
      </c>
      <c r="S11" s="76" t="str">
        <f>IF($R11="","",INDEX($O$5:$O$172,MATCH(ROWS($R$5:R11),$X$5:$X$172,0)))</f>
        <v/>
      </c>
      <c r="U11" s="160" t="str">
        <f>IFERROR(INDEX($Z$5:$Z$448,MATCH(ROWS($U$5:U11),$AA$5:$AA$448,0)),"")</f>
        <v/>
      </c>
      <c r="V11" s="274" t="str">
        <f>IF(Jan!C10="","",Jan!C10)</f>
        <v/>
      </c>
      <c r="W11" s="274" t="str" cm="1">
        <f t="array" ref="W11">IF(V11="","",IF(COUNTIF($V$5:V11,V11)&gt;1,"",ROUND(1+SUMPRODUCT(($V$5:$V$448&lt;&gt;"")*($V$5:$V$448&lt;V11)/COUNTIF($V$5:$V$448,$V$5:$V$448&amp;"")),0)))</f>
        <v/>
      </c>
      <c r="X11" s="274" t="str">
        <f t="shared" si="2"/>
        <v/>
      </c>
      <c r="Z11" s="274" t="str">
        <f>IF(Jan!H10="Major Injury",Jan!C10,"")</f>
        <v/>
      </c>
      <c r="AA11" s="274" t="str" cm="1">
        <f t="array" ref="AA11">IF(Z11="","",IF(COUNTIF($Z$5:Z11,Z11)&gt;1,"",ROUND(1+SUMPRODUCT(($Z$5:$Z$448&lt;&gt;"")*($Z$5:$Z$448&lt;Z11)/COUNTIF($Z$5:$Z$448,$Z$5:$Z$448&amp;"")),0)))</f>
        <v/>
      </c>
    </row>
    <row r="12" spans="2:27" x14ac:dyDescent="0.25">
      <c r="B12" s="160" t="str">
        <f>IFERROR(INDEX($V$5:$V$448,MATCH(ROWS($B$5:B12),$W$5:$W$448,0)),"")</f>
        <v/>
      </c>
      <c r="C12" s="265" t="str">
        <f>IF($B12="","",COUNTIF(Jan[Resident Name],$B12))</f>
        <v/>
      </c>
      <c r="D12" s="265" t="str">
        <f>IF($B12="","",COUNTIF(Feb[Resident Name],$B12))</f>
        <v/>
      </c>
      <c r="E12" s="265" t="str">
        <f>IF($B12="","",COUNTIF(Mar[Resident Name],$B12))</f>
        <v/>
      </c>
      <c r="F12" s="265" t="str">
        <f>IF($B12="","",COUNTIF(Apr[Resident Name],$B12))</f>
        <v/>
      </c>
      <c r="G12" s="265" t="str">
        <f>IF($B12="","",COUNTIF(May[Resident Name],$B12))</f>
        <v/>
      </c>
      <c r="H12" s="265" t="str">
        <f>IF($B12="","",COUNTIF(June[Resident Name],$B12))</f>
        <v/>
      </c>
      <c r="I12" s="265" t="str">
        <f>IF($B12="","",COUNTIF(July[Resident Name],$B12))</f>
        <v/>
      </c>
      <c r="J12" s="265" t="str">
        <f>IF($B12="","",COUNTIF(Aug[Resident Name],$B12))</f>
        <v/>
      </c>
      <c r="K12" s="265" t="str">
        <f>IF($B12="","",COUNTIF(Sept[Resident Name],$B12))</f>
        <v/>
      </c>
      <c r="L12" s="265" t="str">
        <f>IF($B12="","",COUNTIF(Oct[Resident Name],$B12))</f>
        <v/>
      </c>
      <c r="M12" s="265" t="str">
        <f>IF($B12="","",COUNTIF(Nov[Resident Name],$B12))</f>
        <v/>
      </c>
      <c r="N12" s="265" t="str">
        <f>IF($B12="","",COUNTIF(Dec[Resident Name],$B12))</f>
        <v/>
      </c>
      <c r="O12" s="265" t="str">
        <f t="shared" si="1"/>
        <v/>
      </c>
      <c r="P12" s="11"/>
      <c r="R12" s="160" t="str">
        <f>IFERROR(INDEX($B$5:$B$172,MATCH(ROWS($R$5:R12),$X$5:$X$172,0)),"")</f>
        <v/>
      </c>
      <c r="S12" s="76" t="str">
        <f>IF($R12="","",INDEX($O$5:$O$172,MATCH(ROWS($R$5:R12),$X$5:$X$172,0)))</f>
        <v/>
      </c>
      <c r="U12" s="160" t="str">
        <f>IFERROR(INDEX($Z$5:$Z$448,MATCH(ROWS($U$5:U12),$AA$5:$AA$448,0)),"")</f>
        <v/>
      </c>
      <c r="V12" s="274" t="str">
        <f>IF(Jan!C11="","",Jan!C11)</f>
        <v/>
      </c>
      <c r="W12" s="274" t="str" cm="1">
        <f t="array" ref="W12">IF(V12="","",IF(COUNTIF($V$5:V12,V12)&gt;1,"",ROUND(1+SUMPRODUCT(($V$5:$V$448&lt;&gt;"")*($V$5:$V$448&lt;V12)/COUNTIF($V$5:$V$448,$V$5:$V$448&amp;"")),0)))</f>
        <v/>
      </c>
      <c r="X12" s="274" t="str">
        <f t="shared" si="2"/>
        <v/>
      </c>
      <c r="Z12" s="274" t="str">
        <f>IF(Jan!H11="Major Injury",Jan!C11,"")</f>
        <v/>
      </c>
      <c r="AA12" s="274" t="str" cm="1">
        <f t="array" ref="AA12">IF(Z12="","",IF(COUNTIF($Z$5:Z12,Z12)&gt;1,"",ROUND(1+SUMPRODUCT(($Z$5:$Z$448&lt;&gt;"")*($Z$5:$Z$448&lt;Z12)/COUNTIF($Z$5:$Z$448,$Z$5:$Z$448&amp;"")),0)))</f>
        <v/>
      </c>
    </row>
    <row r="13" spans="2:27" x14ac:dyDescent="0.25">
      <c r="B13" s="160" t="str">
        <f>IFERROR(INDEX($V$5:$V$448,MATCH(ROWS($B$5:B13),$W$5:$W$448,0)),"")</f>
        <v/>
      </c>
      <c r="C13" s="265" t="str">
        <f>IF($B13="","",COUNTIF(Jan[Resident Name],$B13))</f>
        <v/>
      </c>
      <c r="D13" s="265" t="str">
        <f>IF($B13="","",COUNTIF(Feb[Resident Name],$B13))</f>
        <v/>
      </c>
      <c r="E13" s="265" t="str">
        <f>IF($B13="","",COUNTIF(Mar[Resident Name],$B13))</f>
        <v/>
      </c>
      <c r="F13" s="265" t="str">
        <f>IF($B13="","",COUNTIF(Apr[Resident Name],$B13))</f>
        <v/>
      </c>
      <c r="G13" s="265" t="str">
        <f>IF($B13="","",COUNTIF(May[Resident Name],$B13))</f>
        <v/>
      </c>
      <c r="H13" s="265" t="str">
        <f>IF($B13="","",COUNTIF(June[Resident Name],$B13))</f>
        <v/>
      </c>
      <c r="I13" s="265" t="str">
        <f>IF($B13="","",COUNTIF(July[Resident Name],$B13))</f>
        <v/>
      </c>
      <c r="J13" s="265" t="str">
        <f>IF($B13="","",COUNTIF(Aug[Resident Name],$B13))</f>
        <v/>
      </c>
      <c r="K13" s="265" t="str">
        <f>IF($B13="","",COUNTIF(Sept[Resident Name],$B13))</f>
        <v/>
      </c>
      <c r="L13" s="265" t="str">
        <f>IF($B13="","",COUNTIF(Oct[Resident Name],$B13))</f>
        <v/>
      </c>
      <c r="M13" s="265" t="str">
        <f>IF($B13="","",COUNTIF(Nov[Resident Name],$B13))</f>
        <v/>
      </c>
      <c r="N13" s="265" t="str">
        <f>IF($B13="","",COUNTIF(Dec[Resident Name],$B13))</f>
        <v/>
      </c>
      <c r="O13" s="265" t="str">
        <f t="shared" si="1"/>
        <v/>
      </c>
      <c r="P13" s="11"/>
      <c r="R13" s="160" t="str">
        <f>IFERROR(INDEX($B$5:$B$172,MATCH(ROWS($R$5:R13),$X$5:$X$172,0)),"")</f>
        <v/>
      </c>
      <c r="S13" s="76" t="str">
        <f>IF($R13="","",INDEX($O$5:$O$172,MATCH(ROWS($R$5:R13),$X$5:$X$172,0)))</f>
        <v/>
      </c>
      <c r="U13" s="160" t="str">
        <f>IFERROR(INDEX($Z$5:$Z$448,MATCH(ROWS($U$5:U13),$AA$5:$AA$448,0)),"")</f>
        <v/>
      </c>
      <c r="V13" s="274" t="str">
        <f>IF(Jan!C12="","",Jan!C12)</f>
        <v/>
      </c>
      <c r="W13" s="274" t="str" cm="1">
        <f t="array" ref="W13">IF(V13="","",IF(COUNTIF($V$5:V13,V13)&gt;1,"",ROUND(1+SUMPRODUCT(($V$5:$V$448&lt;&gt;"")*($V$5:$V$448&lt;V13)/COUNTIF($V$5:$V$448,$V$5:$V$448&amp;"")),0)))</f>
        <v/>
      </c>
      <c r="X13" s="274" t="str">
        <f t="shared" si="2"/>
        <v/>
      </c>
      <c r="Z13" s="274" t="str">
        <f>IF(Jan!H12="Major Injury",Jan!C12,"")</f>
        <v/>
      </c>
      <c r="AA13" s="274" t="str" cm="1">
        <f t="array" ref="AA13">IF(Z13="","",IF(COUNTIF($Z$5:Z13,Z13)&gt;1,"",ROUND(1+SUMPRODUCT(($Z$5:$Z$448&lt;&gt;"")*($Z$5:$Z$448&lt;Z13)/COUNTIF($Z$5:$Z$448,$Z$5:$Z$448&amp;"")),0)))</f>
        <v/>
      </c>
    </row>
    <row r="14" spans="2:27" x14ac:dyDescent="0.25">
      <c r="B14" s="160" t="str">
        <f>IFERROR(INDEX($V$5:$V$448,MATCH(ROWS($B$5:B14),$W$5:$W$448,0)),"")</f>
        <v/>
      </c>
      <c r="C14" s="265" t="str">
        <f>IF($B14="","",COUNTIF(Jan[Resident Name],$B14))</f>
        <v/>
      </c>
      <c r="D14" s="265" t="str">
        <f>IF($B14="","",COUNTIF(Feb[Resident Name],$B14))</f>
        <v/>
      </c>
      <c r="E14" s="265" t="str">
        <f>IF($B14="","",COUNTIF(Mar[Resident Name],$B14))</f>
        <v/>
      </c>
      <c r="F14" s="265" t="str">
        <f>IF($B14="","",COUNTIF(Apr[Resident Name],$B14))</f>
        <v/>
      </c>
      <c r="G14" s="265" t="str">
        <f>IF($B14="","",COUNTIF(May[Resident Name],$B14))</f>
        <v/>
      </c>
      <c r="H14" s="265" t="str">
        <f>IF($B14="","",COUNTIF(June[Resident Name],$B14))</f>
        <v/>
      </c>
      <c r="I14" s="265" t="str">
        <f>IF($B14="","",COUNTIF(July[Resident Name],$B14))</f>
        <v/>
      </c>
      <c r="J14" s="265" t="str">
        <f>IF($B14="","",COUNTIF(Aug[Resident Name],$B14))</f>
        <v/>
      </c>
      <c r="K14" s="265" t="str">
        <f>IF($B14="","",COUNTIF(Sept[Resident Name],$B14))</f>
        <v/>
      </c>
      <c r="L14" s="265" t="str">
        <f>IF($B14="","",COUNTIF(Oct[Resident Name],$B14))</f>
        <v/>
      </c>
      <c r="M14" s="265" t="str">
        <f>IF($B14="","",COUNTIF(Nov[Resident Name],$B14))</f>
        <v/>
      </c>
      <c r="N14" s="265" t="str">
        <f>IF($B14="","",COUNTIF(Dec[Resident Name],$B14))</f>
        <v/>
      </c>
      <c r="O14" s="265" t="str">
        <f t="shared" si="1"/>
        <v/>
      </c>
      <c r="P14" s="11"/>
      <c r="R14" s="160" t="str">
        <f>IFERROR(INDEX($B$5:$B$172,MATCH(ROWS($R$5:R14),$X$5:$X$172,0)),"")</f>
        <v/>
      </c>
      <c r="S14" s="76" t="str">
        <f>IF($R14="","",INDEX($O$5:$O$172,MATCH(ROWS($R$5:R14),$X$5:$X$172,0)))</f>
        <v/>
      </c>
      <c r="U14" s="160" t="str">
        <f>IFERROR(INDEX($Z$5:$Z$448,MATCH(ROWS($U$5:U14),$AA$5:$AA$448,0)),"")</f>
        <v/>
      </c>
      <c r="V14" s="274" t="str">
        <f>IF(Jan!C13="","",Jan!C13)</f>
        <v/>
      </c>
      <c r="W14" s="274" t="str" cm="1">
        <f t="array" ref="W14">IF(V14="","",IF(COUNTIF($V$5:V14,V14)&gt;1,"",ROUND(1+SUMPRODUCT(($V$5:$V$448&lt;&gt;"")*($V$5:$V$448&lt;V14)/COUNTIF($V$5:$V$448,$V$5:$V$448&amp;"")),0)))</f>
        <v/>
      </c>
      <c r="X14" s="274" t="str">
        <f t="shared" si="2"/>
        <v/>
      </c>
      <c r="Z14" s="274" t="str">
        <f>IF(Jan!H13="Major Injury",Jan!C13,"")</f>
        <v/>
      </c>
      <c r="AA14" s="274" t="str" cm="1">
        <f t="array" ref="AA14">IF(Z14="","",IF(COUNTIF($Z$5:Z14,Z14)&gt;1,"",ROUND(1+SUMPRODUCT(($Z$5:$Z$448&lt;&gt;"")*($Z$5:$Z$448&lt;Z14)/COUNTIF($Z$5:$Z$448,$Z$5:$Z$448&amp;"")),0)))</f>
        <v/>
      </c>
    </row>
    <row r="15" spans="2:27" x14ac:dyDescent="0.25">
      <c r="B15" s="160" t="str">
        <f>IFERROR(INDEX($V$5:$V$448,MATCH(ROWS($B$5:B15),$W$5:$W$448,0)),"")</f>
        <v/>
      </c>
      <c r="C15" s="265" t="str">
        <f>IF($B15="","",COUNTIF(Jan[Resident Name],$B15))</f>
        <v/>
      </c>
      <c r="D15" s="265" t="str">
        <f>IF($B15="","",COUNTIF(Feb[Resident Name],$B15))</f>
        <v/>
      </c>
      <c r="E15" s="265" t="str">
        <f>IF($B15="","",COUNTIF(Mar[Resident Name],$B15))</f>
        <v/>
      </c>
      <c r="F15" s="265" t="str">
        <f>IF($B15="","",COUNTIF(Apr[Resident Name],$B15))</f>
        <v/>
      </c>
      <c r="G15" s="265" t="str">
        <f>IF($B15="","",COUNTIF(May[Resident Name],$B15))</f>
        <v/>
      </c>
      <c r="H15" s="265" t="str">
        <f>IF($B15="","",COUNTIF(June[Resident Name],$B15))</f>
        <v/>
      </c>
      <c r="I15" s="265" t="str">
        <f>IF($B15="","",COUNTIF(July[Resident Name],$B15))</f>
        <v/>
      </c>
      <c r="J15" s="265" t="str">
        <f>IF($B15="","",COUNTIF(Aug[Resident Name],$B15))</f>
        <v/>
      </c>
      <c r="K15" s="265" t="str">
        <f>IF($B15="","",COUNTIF(Sept[Resident Name],$B15))</f>
        <v/>
      </c>
      <c r="L15" s="265" t="str">
        <f>IF($B15="","",COUNTIF(Oct[Resident Name],$B15))</f>
        <v/>
      </c>
      <c r="M15" s="265" t="str">
        <f>IF($B15="","",COUNTIF(Nov[Resident Name],$B15))</f>
        <v/>
      </c>
      <c r="N15" s="265" t="str">
        <f>IF($B15="","",COUNTIF(Dec[Resident Name],$B15))</f>
        <v/>
      </c>
      <c r="O15" s="265" t="str">
        <f t="shared" si="1"/>
        <v/>
      </c>
      <c r="P15" s="11"/>
      <c r="R15" s="160" t="str">
        <f>IFERROR(INDEX($B$5:$B$172,MATCH(ROWS($R$5:R15),$X$5:$X$172,0)),"")</f>
        <v/>
      </c>
      <c r="S15" s="76" t="str">
        <f>IF($R15="","",INDEX($O$5:$O$172,MATCH(ROWS($R$5:R15),$X$5:$X$172,0)))</f>
        <v/>
      </c>
      <c r="U15" s="160" t="str">
        <f>IFERROR(INDEX($Z$5:$Z$448,MATCH(ROWS($U$5:U15),$AA$5:$AA$448,0)),"")</f>
        <v/>
      </c>
      <c r="V15" s="274" t="str">
        <f>IF(Jan!C14="","",Jan!C14)</f>
        <v/>
      </c>
      <c r="W15" s="274" t="str" cm="1">
        <f t="array" ref="W15">IF(V15="","",IF(COUNTIF($V$5:V15,V15)&gt;1,"",ROUND(1+SUMPRODUCT(($V$5:$V$448&lt;&gt;"")*($V$5:$V$448&lt;V15)/COUNTIF($V$5:$V$448,$V$5:$V$448&amp;"")),0)))</f>
        <v/>
      </c>
      <c r="X15" s="274" t="str">
        <f t="shared" si="2"/>
        <v/>
      </c>
      <c r="Z15" s="274" t="str">
        <f>IF(Jan!H14="Major Injury",Jan!C14,"")</f>
        <v/>
      </c>
      <c r="AA15" s="274" t="str" cm="1">
        <f t="array" ref="AA15">IF(Z15="","",IF(COUNTIF($Z$5:Z15,Z15)&gt;1,"",ROUND(1+SUMPRODUCT(($Z$5:$Z$448&lt;&gt;"")*($Z$5:$Z$448&lt;Z15)/COUNTIF($Z$5:$Z$448,$Z$5:$Z$448&amp;"")),0)))</f>
        <v/>
      </c>
    </row>
    <row r="16" spans="2:27" x14ac:dyDescent="0.25">
      <c r="B16" s="160" t="str">
        <f>IFERROR(INDEX($V$5:$V$448,MATCH(ROWS($B$5:B16),$W$5:$W$448,0)),"")</f>
        <v/>
      </c>
      <c r="C16" s="265" t="str">
        <f>IF($B16="","",COUNTIF(Jan[Resident Name],$B16))</f>
        <v/>
      </c>
      <c r="D16" s="265" t="str">
        <f>IF($B16="","",COUNTIF(Feb[Resident Name],$B16))</f>
        <v/>
      </c>
      <c r="E16" s="265" t="str">
        <f>IF($B16="","",COUNTIF(Mar[Resident Name],$B16))</f>
        <v/>
      </c>
      <c r="F16" s="265" t="str">
        <f>IF($B16="","",COUNTIF(Apr[Resident Name],$B16))</f>
        <v/>
      </c>
      <c r="G16" s="265" t="str">
        <f>IF($B16="","",COUNTIF(May[Resident Name],$B16))</f>
        <v/>
      </c>
      <c r="H16" s="265" t="str">
        <f>IF($B16="","",COUNTIF(June[Resident Name],$B16))</f>
        <v/>
      </c>
      <c r="I16" s="265" t="str">
        <f>IF($B16="","",COUNTIF(July[Resident Name],$B16))</f>
        <v/>
      </c>
      <c r="J16" s="265" t="str">
        <f>IF($B16="","",COUNTIF(Aug[Resident Name],$B16))</f>
        <v/>
      </c>
      <c r="K16" s="265" t="str">
        <f>IF($B16="","",COUNTIF(Sept[Resident Name],$B16))</f>
        <v/>
      </c>
      <c r="L16" s="265" t="str">
        <f>IF($B16="","",COUNTIF(Oct[Resident Name],$B16))</f>
        <v/>
      </c>
      <c r="M16" s="265" t="str">
        <f>IF($B16="","",COUNTIF(Nov[Resident Name],$B16))</f>
        <v/>
      </c>
      <c r="N16" s="265" t="str">
        <f>IF($B16="","",COUNTIF(Dec[Resident Name],$B16))</f>
        <v/>
      </c>
      <c r="O16" s="265" t="str">
        <f t="shared" si="1"/>
        <v/>
      </c>
      <c r="P16" s="11"/>
      <c r="R16" s="160" t="str">
        <f>IFERROR(INDEX($B$5:$B$172,MATCH(ROWS($R$5:R16),$X$5:$X$172,0)),"")</f>
        <v/>
      </c>
      <c r="S16" s="76" t="str">
        <f>IF($R16="","",INDEX($O$5:$O$172,MATCH(ROWS($R$5:R16),$X$5:$X$172,0)))</f>
        <v/>
      </c>
      <c r="U16" s="160" t="str">
        <f>IFERROR(INDEX($Z$5:$Z$448,MATCH(ROWS($U$5:U16),$AA$5:$AA$448,0)),"")</f>
        <v/>
      </c>
      <c r="V16" s="274" t="str">
        <f>IF(Jan!C15="","",Jan!C15)</f>
        <v/>
      </c>
      <c r="W16" s="274" t="str" cm="1">
        <f t="array" ref="W16">IF(V16="","",IF(COUNTIF($V$5:V16,V16)&gt;1,"",ROUND(1+SUMPRODUCT(($V$5:$V$448&lt;&gt;"")*($V$5:$V$448&lt;V16)/COUNTIF($V$5:$V$448,$V$5:$V$448&amp;"")),0)))</f>
        <v/>
      </c>
      <c r="X16" s="274" t="str">
        <f t="shared" si="2"/>
        <v/>
      </c>
      <c r="Z16" s="274" t="str">
        <f>IF(Jan!H15="Major Injury",Jan!C15,"")</f>
        <v/>
      </c>
      <c r="AA16" s="274" t="str" cm="1">
        <f t="array" ref="AA16">IF(Z16="","",IF(COUNTIF($Z$5:Z16,Z16)&gt;1,"",ROUND(1+SUMPRODUCT(($Z$5:$Z$448&lt;&gt;"")*($Z$5:$Z$448&lt;Z16)/COUNTIF($Z$5:$Z$448,$Z$5:$Z$448&amp;"")),0)))</f>
        <v/>
      </c>
    </row>
    <row r="17" spans="2:27" x14ac:dyDescent="0.25">
      <c r="B17" s="160" t="str">
        <f>IFERROR(INDEX($V$5:$V$448,MATCH(ROWS($B$5:B17),$W$5:$W$448,0)),"")</f>
        <v/>
      </c>
      <c r="C17" s="265" t="str">
        <f>IF($B17="","",COUNTIF(Jan[Resident Name],$B17))</f>
        <v/>
      </c>
      <c r="D17" s="265" t="str">
        <f>IF($B17="","",COUNTIF(Feb[Resident Name],$B17))</f>
        <v/>
      </c>
      <c r="E17" s="265" t="str">
        <f>IF($B17="","",COUNTIF(Mar[Resident Name],$B17))</f>
        <v/>
      </c>
      <c r="F17" s="265" t="str">
        <f>IF($B17="","",COUNTIF(Apr[Resident Name],$B17))</f>
        <v/>
      </c>
      <c r="G17" s="265" t="str">
        <f>IF($B17="","",COUNTIF(May[Resident Name],$B17))</f>
        <v/>
      </c>
      <c r="H17" s="265" t="str">
        <f>IF($B17="","",COUNTIF(June[Resident Name],$B17))</f>
        <v/>
      </c>
      <c r="I17" s="265" t="str">
        <f>IF($B17="","",COUNTIF(July[Resident Name],$B17))</f>
        <v/>
      </c>
      <c r="J17" s="265" t="str">
        <f>IF($B17="","",COUNTIF(Aug[Resident Name],$B17))</f>
        <v/>
      </c>
      <c r="K17" s="265" t="str">
        <f>IF($B17="","",COUNTIF(Sept[Resident Name],$B17))</f>
        <v/>
      </c>
      <c r="L17" s="265" t="str">
        <f>IF($B17="","",COUNTIF(Oct[Resident Name],$B17))</f>
        <v/>
      </c>
      <c r="M17" s="265" t="str">
        <f>IF($B17="","",COUNTIF(Nov[Resident Name],$B17))</f>
        <v/>
      </c>
      <c r="N17" s="265" t="str">
        <f>IF($B17="","",COUNTIF(Dec[Resident Name],$B17))</f>
        <v/>
      </c>
      <c r="O17" s="265" t="str">
        <f t="shared" si="1"/>
        <v/>
      </c>
      <c r="P17" s="11"/>
      <c r="R17" s="160" t="str">
        <f>IFERROR(INDEX($B$5:$B$172,MATCH(ROWS($R$5:R17),$X$5:$X$172,0)),"")</f>
        <v/>
      </c>
      <c r="S17" s="76" t="str">
        <f>IF($R17="","",INDEX($O$5:$O$172,MATCH(ROWS($R$5:R17),$X$5:$X$172,0)))</f>
        <v/>
      </c>
      <c r="U17" s="160" t="str">
        <f>IFERROR(INDEX($Z$5:$Z$448,MATCH(ROWS($U$5:U17),$AA$5:$AA$448,0)),"")</f>
        <v/>
      </c>
      <c r="V17" s="274" t="str">
        <f>IF(Jan!C16="","",Jan!C16)</f>
        <v/>
      </c>
      <c r="W17" s="274" t="str" cm="1">
        <f t="array" ref="W17">IF(V17="","",IF(COUNTIF($V$5:V17,V17)&gt;1,"",ROUND(1+SUMPRODUCT(($V$5:$V$448&lt;&gt;"")*($V$5:$V$448&lt;V17)/COUNTIF($V$5:$V$448,$V$5:$V$448&amp;"")),0)))</f>
        <v/>
      </c>
      <c r="X17" s="274" t="str">
        <f t="shared" si="2"/>
        <v/>
      </c>
      <c r="Z17" s="274" t="str">
        <f>IF(Jan!H16="Major Injury",Jan!C16,"")</f>
        <v/>
      </c>
      <c r="AA17" s="274" t="str" cm="1">
        <f t="array" ref="AA17">IF(Z17="","",IF(COUNTIF($Z$5:Z17,Z17)&gt;1,"",ROUND(1+SUMPRODUCT(($Z$5:$Z$448&lt;&gt;"")*($Z$5:$Z$448&lt;Z17)/COUNTIF($Z$5:$Z$448,$Z$5:$Z$448&amp;"")),0)))</f>
        <v/>
      </c>
    </row>
    <row r="18" spans="2:27" x14ac:dyDescent="0.25">
      <c r="B18" s="160" t="str">
        <f>IFERROR(INDEX($V$5:$V$448,MATCH(ROWS($B$5:B18),$W$5:$W$448,0)),"")</f>
        <v/>
      </c>
      <c r="C18" s="265" t="str">
        <f>IF($B18="","",COUNTIF(Jan[Resident Name],$B18))</f>
        <v/>
      </c>
      <c r="D18" s="265" t="str">
        <f>IF($B18="","",COUNTIF(Feb[Resident Name],$B18))</f>
        <v/>
      </c>
      <c r="E18" s="265" t="str">
        <f>IF($B18="","",COUNTIF(Mar[Resident Name],$B18))</f>
        <v/>
      </c>
      <c r="F18" s="265" t="str">
        <f>IF($B18="","",COUNTIF(Apr[Resident Name],$B18))</f>
        <v/>
      </c>
      <c r="G18" s="265" t="str">
        <f>IF($B18="","",COUNTIF(May[Resident Name],$B18))</f>
        <v/>
      </c>
      <c r="H18" s="265" t="str">
        <f>IF($B18="","",COUNTIF(June[Resident Name],$B18))</f>
        <v/>
      </c>
      <c r="I18" s="265" t="str">
        <f>IF($B18="","",COUNTIF(July[Resident Name],$B18))</f>
        <v/>
      </c>
      <c r="J18" s="265" t="str">
        <f>IF($B18="","",COUNTIF(Aug[Resident Name],$B18))</f>
        <v/>
      </c>
      <c r="K18" s="265" t="str">
        <f>IF($B18="","",COUNTIF(Sept[Resident Name],$B18))</f>
        <v/>
      </c>
      <c r="L18" s="265" t="str">
        <f>IF($B18="","",COUNTIF(Oct[Resident Name],$B18))</f>
        <v/>
      </c>
      <c r="M18" s="265" t="str">
        <f>IF($B18="","",COUNTIF(Nov[Resident Name],$B18))</f>
        <v/>
      </c>
      <c r="N18" s="265" t="str">
        <f>IF($B18="","",COUNTIF(Dec[Resident Name],$B18))</f>
        <v/>
      </c>
      <c r="O18" s="265" t="str">
        <f t="shared" si="1"/>
        <v/>
      </c>
      <c r="P18" s="11"/>
      <c r="R18" s="160" t="str">
        <f>IFERROR(INDEX($B$5:$B$172,MATCH(ROWS($R$5:R18),$X$5:$X$172,0)),"")</f>
        <v/>
      </c>
      <c r="S18" s="76" t="str">
        <f>IF($R18="","",INDEX($O$5:$O$172,MATCH(ROWS($R$5:R18),$X$5:$X$172,0)))</f>
        <v/>
      </c>
      <c r="U18" s="160" t="str">
        <f>IFERROR(INDEX($Z$5:$Z$448,MATCH(ROWS($U$5:U18),$AA$5:$AA$448,0)),"")</f>
        <v/>
      </c>
      <c r="V18" s="274" t="str">
        <f>IF(Jan!C17="","",Jan!C17)</f>
        <v/>
      </c>
      <c r="W18" s="274" t="str" cm="1">
        <f t="array" ref="W18">IF(V18="","",IF(COUNTIF($V$5:V18,V18)&gt;1,"",ROUND(1+SUMPRODUCT(($V$5:$V$448&lt;&gt;"")*($V$5:$V$448&lt;V18)/COUNTIF($V$5:$V$448,$V$5:$V$448&amp;"")),0)))</f>
        <v/>
      </c>
      <c r="X18" s="274" t="str">
        <f t="shared" si="2"/>
        <v/>
      </c>
      <c r="Z18" s="274" t="str">
        <f>IF(Jan!H17="Major Injury",Jan!C17,"")</f>
        <v/>
      </c>
      <c r="AA18" s="274" t="str" cm="1">
        <f t="array" ref="AA18">IF(Z18="","",IF(COUNTIF($Z$5:Z18,Z18)&gt;1,"",ROUND(1+SUMPRODUCT(($Z$5:$Z$448&lt;&gt;"")*($Z$5:$Z$448&lt;Z18)/COUNTIF($Z$5:$Z$448,$Z$5:$Z$448&amp;"")),0)))</f>
        <v/>
      </c>
    </row>
    <row r="19" spans="2:27" x14ac:dyDescent="0.25">
      <c r="B19" s="160" t="str">
        <f>IFERROR(INDEX($V$5:$V$448,MATCH(ROWS($B$5:B19),$W$5:$W$448,0)),"")</f>
        <v/>
      </c>
      <c r="C19" s="265" t="str">
        <f>IF($B19="","",COUNTIF(Jan[Resident Name],$B19))</f>
        <v/>
      </c>
      <c r="D19" s="265" t="str">
        <f>IF($B19="","",COUNTIF(Feb[Resident Name],$B19))</f>
        <v/>
      </c>
      <c r="E19" s="265" t="str">
        <f>IF($B19="","",COUNTIF(Mar[Resident Name],$B19))</f>
        <v/>
      </c>
      <c r="F19" s="265" t="str">
        <f>IF($B19="","",COUNTIF(Apr[Resident Name],$B19))</f>
        <v/>
      </c>
      <c r="G19" s="265" t="str">
        <f>IF($B19="","",COUNTIF(May[Resident Name],$B19))</f>
        <v/>
      </c>
      <c r="H19" s="265" t="str">
        <f>IF($B19="","",COUNTIF(June[Resident Name],$B19))</f>
        <v/>
      </c>
      <c r="I19" s="265" t="str">
        <f>IF($B19="","",COUNTIF(July[Resident Name],$B19))</f>
        <v/>
      </c>
      <c r="J19" s="265" t="str">
        <f>IF($B19="","",COUNTIF(Aug[Resident Name],$B19))</f>
        <v/>
      </c>
      <c r="K19" s="265" t="str">
        <f>IF($B19="","",COUNTIF(Sept[Resident Name],$B19))</f>
        <v/>
      </c>
      <c r="L19" s="265" t="str">
        <f>IF($B19="","",COUNTIF(Oct[Resident Name],$B19))</f>
        <v/>
      </c>
      <c r="M19" s="265" t="str">
        <f>IF($B19="","",COUNTIF(Nov[Resident Name],$B19))</f>
        <v/>
      </c>
      <c r="N19" s="265" t="str">
        <f>IF($B19="","",COUNTIF(Dec[Resident Name],$B19))</f>
        <v/>
      </c>
      <c r="O19" s="265" t="str">
        <f t="shared" si="1"/>
        <v/>
      </c>
      <c r="P19" s="11"/>
      <c r="R19" s="160" t="str">
        <f>IFERROR(INDEX($B$5:$B$172,MATCH(ROWS($R$5:R19),$X$5:$X$172,0)),"")</f>
        <v/>
      </c>
      <c r="S19" s="76" t="str">
        <f>IF($R19="","",INDEX($O$5:$O$172,MATCH(ROWS($R$5:R19),$X$5:$X$172,0)))</f>
        <v/>
      </c>
      <c r="U19" s="160" t="str">
        <f>IFERROR(INDEX($Z$5:$Z$448,MATCH(ROWS($U$5:U19),$AA$5:$AA$448,0)),"")</f>
        <v/>
      </c>
      <c r="V19" s="274" t="str">
        <f>IF(Jan!C18="","",Jan!C18)</f>
        <v/>
      </c>
      <c r="W19" s="274" t="str" cm="1">
        <f t="array" ref="W19">IF(V19="","",IF(COUNTIF($V$5:V19,V19)&gt;1,"",ROUND(1+SUMPRODUCT(($V$5:$V$448&lt;&gt;"")*($V$5:$V$448&lt;V19)/COUNTIF($V$5:$V$448,$V$5:$V$448&amp;"")),0)))</f>
        <v/>
      </c>
      <c r="X19" s="274" t="str">
        <f t="shared" si="2"/>
        <v/>
      </c>
      <c r="Z19" s="274" t="str">
        <f>IF(Jan!H18="Major Injury",Jan!C18,"")</f>
        <v/>
      </c>
      <c r="AA19" s="274" t="str" cm="1">
        <f t="array" ref="AA19">IF(Z19="","",IF(COUNTIF($Z$5:Z19,Z19)&gt;1,"",ROUND(1+SUMPRODUCT(($Z$5:$Z$448&lt;&gt;"")*($Z$5:$Z$448&lt;Z19)/COUNTIF($Z$5:$Z$448,$Z$5:$Z$448&amp;"")),0)))</f>
        <v/>
      </c>
    </row>
    <row r="20" spans="2:27" x14ac:dyDescent="0.25">
      <c r="B20" s="160" t="str">
        <f>IFERROR(INDEX($V$5:$V$448,MATCH(ROWS($B$5:B20),$W$5:$W$448,0)),"")</f>
        <v/>
      </c>
      <c r="C20" s="265" t="str">
        <f>IF($B20="","",COUNTIF(Jan[Resident Name],$B20))</f>
        <v/>
      </c>
      <c r="D20" s="265" t="str">
        <f>IF($B20="","",COUNTIF(Feb[Resident Name],$B20))</f>
        <v/>
      </c>
      <c r="E20" s="265" t="str">
        <f>IF($B20="","",COUNTIF(Mar[Resident Name],$B20))</f>
        <v/>
      </c>
      <c r="F20" s="265" t="str">
        <f>IF($B20="","",COUNTIF(Apr[Resident Name],$B20))</f>
        <v/>
      </c>
      <c r="G20" s="265" t="str">
        <f>IF($B20="","",COUNTIF(May[Resident Name],$B20))</f>
        <v/>
      </c>
      <c r="H20" s="265" t="str">
        <f>IF($B20="","",COUNTIF(June[Resident Name],$B20))</f>
        <v/>
      </c>
      <c r="I20" s="265" t="str">
        <f>IF($B20="","",COUNTIF(July[Resident Name],$B20))</f>
        <v/>
      </c>
      <c r="J20" s="265" t="str">
        <f>IF($B20="","",COUNTIF(Aug[Resident Name],$B20))</f>
        <v/>
      </c>
      <c r="K20" s="265" t="str">
        <f>IF($B20="","",COUNTIF(Sept[Resident Name],$B20))</f>
        <v/>
      </c>
      <c r="L20" s="265" t="str">
        <f>IF($B20="","",COUNTIF(Oct[Resident Name],$B20))</f>
        <v/>
      </c>
      <c r="M20" s="265" t="str">
        <f>IF($B20="","",COUNTIF(Nov[Resident Name],$B20))</f>
        <v/>
      </c>
      <c r="N20" s="265" t="str">
        <f>IF($B20="","",COUNTIF(Dec[Resident Name],$B20))</f>
        <v/>
      </c>
      <c r="O20" s="265" t="str">
        <f t="shared" si="1"/>
        <v/>
      </c>
      <c r="P20" s="11"/>
      <c r="R20" s="160" t="str">
        <f>IFERROR(INDEX($B$5:$B$172,MATCH(ROWS($R$5:R20),$X$5:$X$172,0)),"")</f>
        <v/>
      </c>
      <c r="S20" s="76" t="str">
        <f>IF($R20="","",INDEX($O$5:$O$172,MATCH(ROWS($R$5:R20),$X$5:$X$172,0)))</f>
        <v/>
      </c>
      <c r="U20" s="160" t="str">
        <f>IFERROR(INDEX($Z$5:$Z$448,MATCH(ROWS($U$5:U20),$AA$5:$AA$448,0)),"")</f>
        <v/>
      </c>
      <c r="V20" s="274" t="str">
        <f>IF(Jan!C19="","",Jan!C19)</f>
        <v/>
      </c>
      <c r="W20" s="274" t="str" cm="1">
        <f t="array" ref="W20">IF(V20="","",IF(COUNTIF($V$5:V20,V20)&gt;1,"",ROUND(1+SUMPRODUCT(($V$5:$V$448&lt;&gt;"")*($V$5:$V$448&lt;V20)/COUNTIF($V$5:$V$448,$V$5:$V$448&amp;"")),0)))</f>
        <v/>
      </c>
      <c r="X20" s="274" t="str">
        <f t="shared" si="2"/>
        <v/>
      </c>
      <c r="Z20" s="274" t="str">
        <f>IF(Jan!H19="Major Injury",Jan!C19,"")</f>
        <v/>
      </c>
      <c r="AA20" s="274" t="str" cm="1">
        <f t="array" ref="AA20">IF(Z20="","",IF(COUNTIF($Z$5:Z20,Z20)&gt;1,"",ROUND(1+SUMPRODUCT(($Z$5:$Z$448&lt;&gt;"")*($Z$5:$Z$448&lt;Z20)/COUNTIF($Z$5:$Z$448,$Z$5:$Z$448&amp;"")),0)))</f>
        <v/>
      </c>
    </row>
    <row r="21" spans="2:27" x14ac:dyDescent="0.25">
      <c r="B21" s="160" t="str">
        <f>IFERROR(INDEX($V$5:$V$448,MATCH(ROWS($B$5:B21),$W$5:$W$448,0)),"")</f>
        <v/>
      </c>
      <c r="C21" s="265" t="str">
        <f>IF($B21="","",COUNTIF(Jan[Resident Name],$B21))</f>
        <v/>
      </c>
      <c r="D21" s="265" t="str">
        <f>IF($B21="","",COUNTIF(Feb[Resident Name],$B21))</f>
        <v/>
      </c>
      <c r="E21" s="265" t="str">
        <f>IF($B21="","",COUNTIF(Mar[Resident Name],$B21))</f>
        <v/>
      </c>
      <c r="F21" s="265" t="str">
        <f>IF($B21="","",COUNTIF(Apr[Resident Name],$B21))</f>
        <v/>
      </c>
      <c r="G21" s="265" t="str">
        <f>IF($B21="","",COUNTIF(May[Resident Name],$B21))</f>
        <v/>
      </c>
      <c r="H21" s="265" t="str">
        <f>IF($B21="","",COUNTIF(June[Resident Name],$B21))</f>
        <v/>
      </c>
      <c r="I21" s="265" t="str">
        <f>IF($B21="","",COUNTIF(July[Resident Name],$B21))</f>
        <v/>
      </c>
      <c r="J21" s="265" t="str">
        <f>IF($B21="","",COUNTIF(Aug[Resident Name],$B21))</f>
        <v/>
      </c>
      <c r="K21" s="265" t="str">
        <f>IF($B21="","",COUNTIF(Sept[Resident Name],$B21))</f>
        <v/>
      </c>
      <c r="L21" s="265" t="str">
        <f>IF($B21="","",COUNTIF(Oct[Resident Name],$B21))</f>
        <v/>
      </c>
      <c r="M21" s="265" t="str">
        <f>IF($B21="","",COUNTIF(Nov[Resident Name],$B21))</f>
        <v/>
      </c>
      <c r="N21" s="265" t="str">
        <f>IF($B21="","",COUNTIF(Dec[Resident Name],$B21))</f>
        <v/>
      </c>
      <c r="O21" s="265" t="str">
        <f t="shared" si="1"/>
        <v/>
      </c>
      <c r="P21" s="11"/>
      <c r="R21" s="160" t="str">
        <f>IFERROR(INDEX($B$5:$B$172,MATCH(ROWS($R$5:R21),$X$5:$X$172,0)),"")</f>
        <v/>
      </c>
      <c r="S21" s="76" t="str">
        <f>IF($R21="","",INDEX($O$5:$O$172,MATCH(ROWS($R$5:R21),$X$5:$X$172,0)))</f>
        <v/>
      </c>
      <c r="U21" s="160" t="str">
        <f>IFERROR(INDEX($Z$5:$Z$448,MATCH(ROWS($U$5:U21),$AA$5:$AA$448,0)),"")</f>
        <v/>
      </c>
      <c r="V21" s="274" t="str">
        <f>IF(Jan!C20="","",Jan!C20)</f>
        <v/>
      </c>
      <c r="W21" s="274" t="str" cm="1">
        <f t="array" ref="W21">IF(V21="","",IF(COUNTIF($V$5:V21,V21)&gt;1,"",ROUND(1+SUMPRODUCT(($V$5:$V$448&lt;&gt;"")*($V$5:$V$448&lt;V21)/COUNTIF($V$5:$V$448,$V$5:$V$448&amp;"")),0)))</f>
        <v/>
      </c>
      <c r="X21" s="274" t="str">
        <f t="shared" si="2"/>
        <v/>
      </c>
      <c r="Z21" s="274" t="str">
        <f>IF(Jan!H20="Major Injury",Jan!C20,"")</f>
        <v/>
      </c>
      <c r="AA21" s="274" t="str" cm="1">
        <f t="array" ref="AA21">IF(Z21="","",IF(COUNTIF($Z$5:Z21,Z21)&gt;1,"",ROUND(1+SUMPRODUCT(($Z$5:$Z$448&lt;&gt;"")*($Z$5:$Z$448&lt;Z21)/COUNTIF($Z$5:$Z$448,$Z$5:$Z$448&amp;"")),0)))</f>
        <v/>
      </c>
    </row>
    <row r="22" spans="2:27" x14ac:dyDescent="0.25">
      <c r="B22" s="160" t="str">
        <f>IFERROR(INDEX($V$5:$V$448,MATCH(ROWS($B$5:B22),$W$5:$W$448,0)),"")</f>
        <v/>
      </c>
      <c r="C22" s="265" t="str">
        <f>IF($B22="","",COUNTIF(Jan[Resident Name],$B22))</f>
        <v/>
      </c>
      <c r="D22" s="265" t="str">
        <f>IF($B22="","",COUNTIF(Feb[Resident Name],$B22))</f>
        <v/>
      </c>
      <c r="E22" s="265" t="str">
        <f>IF($B22="","",COUNTIF(Mar[Resident Name],$B22))</f>
        <v/>
      </c>
      <c r="F22" s="265" t="str">
        <f>IF($B22="","",COUNTIF(Apr[Resident Name],$B22))</f>
        <v/>
      </c>
      <c r="G22" s="265" t="str">
        <f>IF($B22="","",COUNTIF(May[Resident Name],$B22))</f>
        <v/>
      </c>
      <c r="H22" s="265" t="str">
        <f>IF($B22="","",COUNTIF(June[Resident Name],$B22))</f>
        <v/>
      </c>
      <c r="I22" s="265" t="str">
        <f>IF($B22="","",COUNTIF(July[Resident Name],$B22))</f>
        <v/>
      </c>
      <c r="J22" s="265" t="str">
        <f>IF($B22="","",COUNTIF(Aug[Resident Name],$B22))</f>
        <v/>
      </c>
      <c r="K22" s="265" t="str">
        <f>IF($B22="","",COUNTIF(Sept[Resident Name],$B22))</f>
        <v/>
      </c>
      <c r="L22" s="265" t="str">
        <f>IF($B22="","",COUNTIF(Oct[Resident Name],$B22))</f>
        <v/>
      </c>
      <c r="M22" s="265" t="str">
        <f>IF($B22="","",COUNTIF(Nov[Resident Name],$B22))</f>
        <v/>
      </c>
      <c r="N22" s="265" t="str">
        <f>IF($B22="","",COUNTIF(Dec[Resident Name],$B22))</f>
        <v/>
      </c>
      <c r="O22" s="265" t="str">
        <f t="shared" si="1"/>
        <v/>
      </c>
      <c r="P22" s="11"/>
      <c r="R22" s="160" t="str">
        <f>IFERROR(INDEX($B$5:$B$172,MATCH(ROWS($R$5:R22),$X$5:$X$172,0)),"")</f>
        <v/>
      </c>
      <c r="S22" s="76" t="str">
        <f>IF($R22="","",INDEX($O$5:$O$172,MATCH(ROWS($R$5:R22),$X$5:$X$172,0)))</f>
        <v/>
      </c>
      <c r="U22" s="160" t="str">
        <f>IFERROR(INDEX($Z$5:$Z$448,MATCH(ROWS($U$5:U22),$AA$5:$AA$448,0)),"")</f>
        <v/>
      </c>
      <c r="V22" s="274" t="str">
        <f>IF(Jan!C21="","",Jan!C21)</f>
        <v/>
      </c>
      <c r="W22" s="274" t="str" cm="1">
        <f t="array" ref="W22">IF(V22="","",IF(COUNTIF($V$5:V22,V22)&gt;1,"",ROUND(1+SUMPRODUCT(($V$5:$V$448&lt;&gt;"")*($V$5:$V$448&lt;V22)/COUNTIF($V$5:$V$448,$V$5:$V$448&amp;"")),0)))</f>
        <v/>
      </c>
      <c r="X22" s="274" t="str">
        <f t="shared" si="2"/>
        <v/>
      </c>
      <c r="Z22" s="274" t="str">
        <f>IF(Jan!H21="Major Injury",Jan!C21,"")</f>
        <v/>
      </c>
      <c r="AA22" s="274" t="str" cm="1">
        <f t="array" ref="AA22">IF(Z22="","",IF(COUNTIF($Z$5:Z22,Z22)&gt;1,"",ROUND(1+SUMPRODUCT(($Z$5:$Z$448&lt;&gt;"")*($Z$5:$Z$448&lt;Z22)/COUNTIF($Z$5:$Z$448,$Z$5:$Z$448&amp;"")),0)))</f>
        <v/>
      </c>
    </row>
    <row r="23" spans="2:27" x14ac:dyDescent="0.25">
      <c r="B23" s="160" t="str">
        <f>IFERROR(INDEX($V$5:$V$448,MATCH(ROWS($B$5:B23),$W$5:$W$448,0)),"")</f>
        <v/>
      </c>
      <c r="C23" s="265" t="str">
        <f>IF($B23="","",COUNTIF(Jan[Resident Name],$B23))</f>
        <v/>
      </c>
      <c r="D23" s="265" t="str">
        <f>IF($B23="","",COUNTIF(Feb[Resident Name],$B23))</f>
        <v/>
      </c>
      <c r="E23" s="265" t="str">
        <f>IF($B23="","",COUNTIF(Mar[Resident Name],$B23))</f>
        <v/>
      </c>
      <c r="F23" s="265" t="str">
        <f>IF($B23="","",COUNTIF(Apr[Resident Name],$B23))</f>
        <v/>
      </c>
      <c r="G23" s="265" t="str">
        <f>IF($B23="","",COUNTIF(May[Resident Name],$B23))</f>
        <v/>
      </c>
      <c r="H23" s="265" t="str">
        <f>IF($B23="","",COUNTIF(June[Resident Name],$B23))</f>
        <v/>
      </c>
      <c r="I23" s="265" t="str">
        <f>IF($B23="","",COUNTIF(July[Resident Name],$B23))</f>
        <v/>
      </c>
      <c r="J23" s="265" t="str">
        <f>IF($B23="","",COUNTIF(Aug[Resident Name],$B23))</f>
        <v/>
      </c>
      <c r="K23" s="265" t="str">
        <f>IF($B23="","",COUNTIF(Sept[Resident Name],$B23))</f>
        <v/>
      </c>
      <c r="L23" s="265" t="str">
        <f>IF($B23="","",COUNTIF(Oct[Resident Name],$B23))</f>
        <v/>
      </c>
      <c r="M23" s="265" t="str">
        <f>IF($B23="","",COUNTIF(Nov[Resident Name],$B23))</f>
        <v/>
      </c>
      <c r="N23" s="265" t="str">
        <f>IF($B23="","",COUNTIF(Dec[Resident Name],$B23))</f>
        <v/>
      </c>
      <c r="O23" s="265" t="str">
        <f t="shared" si="1"/>
        <v/>
      </c>
      <c r="P23" s="11"/>
      <c r="R23" s="160" t="str">
        <f>IFERROR(INDEX($B$5:$B$172,MATCH(ROWS($R$5:R23),$X$5:$X$172,0)),"")</f>
        <v/>
      </c>
      <c r="S23" s="76" t="str">
        <f>IF($R23="","",INDEX($O$5:$O$172,MATCH(ROWS($R$5:R23),$X$5:$X$172,0)))</f>
        <v/>
      </c>
      <c r="U23" s="160" t="str">
        <f>IFERROR(INDEX($Z$5:$Z$448,MATCH(ROWS($U$5:U23),$AA$5:$AA$448,0)),"")</f>
        <v/>
      </c>
      <c r="V23" s="274" t="str">
        <f>IF(Jan!C22="","",Jan!C22)</f>
        <v/>
      </c>
      <c r="W23" s="274" t="str" cm="1">
        <f t="array" ref="W23">IF(V23="","",IF(COUNTIF($V$5:V23,V23)&gt;1,"",ROUND(1+SUMPRODUCT(($V$5:$V$448&lt;&gt;"")*($V$5:$V$448&lt;V23)/COUNTIF($V$5:$V$448,$V$5:$V$448&amp;"")),0)))</f>
        <v/>
      </c>
      <c r="X23" s="274" t="str">
        <f t="shared" si="2"/>
        <v/>
      </c>
      <c r="Z23" s="274" t="str">
        <f>IF(Jan!H22="Major Injury",Jan!C22,"")</f>
        <v/>
      </c>
      <c r="AA23" s="274" t="str" cm="1">
        <f t="array" ref="AA23">IF(Z23="","",IF(COUNTIF($Z$5:Z23,Z23)&gt;1,"",ROUND(1+SUMPRODUCT(($Z$5:$Z$448&lt;&gt;"")*($Z$5:$Z$448&lt;Z23)/COUNTIF($Z$5:$Z$448,$Z$5:$Z$448&amp;"")),0)))</f>
        <v/>
      </c>
    </row>
    <row r="24" spans="2:27" x14ac:dyDescent="0.25">
      <c r="B24" s="160" t="str">
        <f>IFERROR(INDEX($V$5:$V$448,MATCH(ROWS($B$5:B24),$W$5:$W$448,0)),"")</f>
        <v/>
      </c>
      <c r="C24" s="265" t="str">
        <f>IF($B24="","",COUNTIF(Jan[Resident Name],$B24))</f>
        <v/>
      </c>
      <c r="D24" s="265" t="str">
        <f>IF($B24="","",COUNTIF(Feb[Resident Name],$B24))</f>
        <v/>
      </c>
      <c r="E24" s="265" t="str">
        <f>IF($B24="","",COUNTIF(Mar[Resident Name],$B24))</f>
        <v/>
      </c>
      <c r="F24" s="265" t="str">
        <f>IF($B24="","",COUNTIF(Apr[Resident Name],$B24))</f>
        <v/>
      </c>
      <c r="G24" s="265" t="str">
        <f>IF($B24="","",COUNTIF(May[Resident Name],$B24))</f>
        <v/>
      </c>
      <c r="H24" s="265" t="str">
        <f>IF($B24="","",COUNTIF(June[Resident Name],$B24))</f>
        <v/>
      </c>
      <c r="I24" s="265" t="str">
        <f>IF($B24="","",COUNTIF(July[Resident Name],$B24))</f>
        <v/>
      </c>
      <c r="J24" s="265" t="str">
        <f>IF($B24="","",COUNTIF(Aug[Resident Name],$B24))</f>
        <v/>
      </c>
      <c r="K24" s="265" t="str">
        <f>IF($B24="","",COUNTIF(Sept[Resident Name],$B24))</f>
        <v/>
      </c>
      <c r="L24" s="265" t="str">
        <f>IF($B24="","",COUNTIF(Oct[Resident Name],$B24))</f>
        <v/>
      </c>
      <c r="M24" s="265" t="str">
        <f>IF($B24="","",COUNTIF(Nov[Resident Name],$B24))</f>
        <v/>
      </c>
      <c r="N24" s="265" t="str">
        <f>IF($B24="","",COUNTIF(Dec[Resident Name],$B24))</f>
        <v/>
      </c>
      <c r="O24" s="265" t="str">
        <f t="shared" si="1"/>
        <v/>
      </c>
      <c r="P24" s="11"/>
      <c r="R24" s="160" t="str">
        <f>IFERROR(INDEX($B$5:$B$172,MATCH(ROWS($R$5:R24),$X$5:$X$172,0)),"")</f>
        <v/>
      </c>
      <c r="S24" s="76" t="str">
        <f>IF($R24="","",INDEX($O$5:$O$172,MATCH(ROWS($R$5:R24),$X$5:$X$172,0)))</f>
        <v/>
      </c>
      <c r="U24" s="160" t="str">
        <f>IFERROR(INDEX($Z$5:$Z$448,MATCH(ROWS($U$5:U24),$AA$5:$AA$448,0)),"")</f>
        <v/>
      </c>
      <c r="V24" s="274" t="str">
        <f>IF(Jan!C23="","",Jan!C23)</f>
        <v/>
      </c>
      <c r="W24" s="274" t="str" cm="1">
        <f t="array" ref="W24">IF(V24="","",IF(COUNTIF($V$5:V24,V24)&gt;1,"",ROUND(1+SUMPRODUCT(($V$5:$V$448&lt;&gt;"")*($V$5:$V$448&lt;V24)/COUNTIF($V$5:$V$448,$V$5:$V$448&amp;"")),0)))</f>
        <v/>
      </c>
      <c r="X24" s="274" t="str">
        <f t="shared" si="2"/>
        <v/>
      </c>
      <c r="Z24" s="274" t="str">
        <f>IF(Jan!H23="Major Injury",Jan!C23,"")</f>
        <v/>
      </c>
      <c r="AA24" s="274" t="str" cm="1">
        <f t="array" ref="AA24">IF(Z24="","",IF(COUNTIF($Z$5:Z24,Z24)&gt;1,"",ROUND(1+SUMPRODUCT(($Z$5:$Z$448&lt;&gt;"")*($Z$5:$Z$448&lt;Z24)/COUNTIF($Z$5:$Z$448,$Z$5:$Z$448&amp;"")),0)))</f>
        <v/>
      </c>
    </row>
    <row r="25" spans="2:27" x14ac:dyDescent="0.25">
      <c r="B25" s="160" t="str">
        <f>IFERROR(INDEX($V$5:$V$448,MATCH(ROWS($B$5:B25),$W$5:$W$448,0)),"")</f>
        <v/>
      </c>
      <c r="C25" s="265" t="str">
        <f>IF($B25="","",COUNTIF(Jan[Resident Name],$B25))</f>
        <v/>
      </c>
      <c r="D25" s="265" t="str">
        <f>IF($B25="","",COUNTIF(Feb[Resident Name],$B25))</f>
        <v/>
      </c>
      <c r="E25" s="265" t="str">
        <f>IF($B25="","",COUNTIF(Mar[Resident Name],$B25))</f>
        <v/>
      </c>
      <c r="F25" s="265" t="str">
        <f>IF($B25="","",COUNTIF(Apr[Resident Name],$B25))</f>
        <v/>
      </c>
      <c r="G25" s="265" t="str">
        <f>IF($B25="","",COUNTIF(May[Resident Name],$B25))</f>
        <v/>
      </c>
      <c r="H25" s="265" t="str">
        <f>IF($B25="","",COUNTIF(June[Resident Name],$B25))</f>
        <v/>
      </c>
      <c r="I25" s="265" t="str">
        <f>IF($B25="","",COUNTIF(July[Resident Name],$B25))</f>
        <v/>
      </c>
      <c r="J25" s="265" t="str">
        <f>IF($B25="","",COUNTIF(Aug[Resident Name],$B25))</f>
        <v/>
      </c>
      <c r="K25" s="265" t="str">
        <f>IF($B25="","",COUNTIF(Sept[Resident Name],$B25))</f>
        <v/>
      </c>
      <c r="L25" s="265" t="str">
        <f>IF($B25="","",COUNTIF(Oct[Resident Name],$B25))</f>
        <v/>
      </c>
      <c r="M25" s="265" t="str">
        <f>IF($B25="","",COUNTIF(Nov[Resident Name],$B25))</f>
        <v/>
      </c>
      <c r="N25" s="265" t="str">
        <f>IF($B25="","",COUNTIF(Dec[Resident Name],$B25))</f>
        <v/>
      </c>
      <c r="O25" s="265" t="str">
        <f t="shared" si="1"/>
        <v/>
      </c>
      <c r="P25" s="11"/>
      <c r="R25" s="160" t="str">
        <f>IFERROR(INDEX($B$5:$B$172,MATCH(ROWS($R$5:R25),$X$5:$X$172,0)),"")</f>
        <v/>
      </c>
      <c r="S25" s="76" t="str">
        <f>IF($R25="","",INDEX($O$5:$O$172,MATCH(ROWS($R$5:R25),$X$5:$X$172,0)))</f>
        <v/>
      </c>
      <c r="U25" s="160" t="str">
        <f>IFERROR(INDEX($Z$5:$Z$448,MATCH(ROWS($U$5:U25),$AA$5:$AA$448,0)),"")</f>
        <v/>
      </c>
      <c r="V25" s="274" t="str">
        <f>IF(Jan!C24="","",Jan!C24)</f>
        <v/>
      </c>
      <c r="W25" s="274" t="str" cm="1">
        <f t="array" ref="W25">IF(V25="","",IF(COUNTIF($V$5:V25,V25)&gt;1,"",ROUND(1+SUMPRODUCT(($V$5:$V$448&lt;&gt;"")*($V$5:$V$448&lt;V25)/COUNTIF($V$5:$V$448,$V$5:$V$448&amp;"")),0)))</f>
        <v/>
      </c>
      <c r="X25" s="274" t="str">
        <f t="shared" si="2"/>
        <v/>
      </c>
      <c r="Z25" s="274" t="str">
        <f>IF(Jan!H24="Major Injury",Jan!C24,"")</f>
        <v/>
      </c>
      <c r="AA25" s="274" t="str" cm="1">
        <f t="array" ref="AA25">IF(Z25="","",IF(COUNTIF($Z$5:Z25,Z25)&gt;1,"",ROUND(1+SUMPRODUCT(($Z$5:$Z$448&lt;&gt;"")*($Z$5:$Z$448&lt;Z25)/COUNTIF($Z$5:$Z$448,$Z$5:$Z$448&amp;"")),0)))</f>
        <v/>
      </c>
    </row>
    <row r="26" spans="2:27" x14ac:dyDescent="0.25">
      <c r="B26" s="160" t="str">
        <f>IFERROR(INDEX($V$5:$V$448,MATCH(ROWS($B$5:B26),$W$5:$W$448,0)),"")</f>
        <v/>
      </c>
      <c r="C26" s="265" t="str">
        <f>IF($B26="","",COUNTIF(Jan[Resident Name],$B26))</f>
        <v/>
      </c>
      <c r="D26" s="265" t="str">
        <f>IF($B26="","",COUNTIF(Feb[Resident Name],$B26))</f>
        <v/>
      </c>
      <c r="E26" s="265" t="str">
        <f>IF($B26="","",COUNTIF(Mar[Resident Name],$B26))</f>
        <v/>
      </c>
      <c r="F26" s="265" t="str">
        <f>IF($B26="","",COUNTIF(Apr[Resident Name],$B26))</f>
        <v/>
      </c>
      <c r="G26" s="265" t="str">
        <f>IF($B26="","",COUNTIF(May[Resident Name],$B26))</f>
        <v/>
      </c>
      <c r="H26" s="265" t="str">
        <f>IF($B26="","",COUNTIF(June[Resident Name],$B26))</f>
        <v/>
      </c>
      <c r="I26" s="265" t="str">
        <f>IF($B26="","",COUNTIF(July[Resident Name],$B26))</f>
        <v/>
      </c>
      <c r="J26" s="265" t="str">
        <f>IF($B26="","",COUNTIF(Aug[Resident Name],$B26))</f>
        <v/>
      </c>
      <c r="K26" s="265" t="str">
        <f>IF($B26="","",COUNTIF(Sept[Resident Name],$B26))</f>
        <v/>
      </c>
      <c r="L26" s="265" t="str">
        <f>IF($B26="","",COUNTIF(Oct[Resident Name],$B26))</f>
        <v/>
      </c>
      <c r="M26" s="265" t="str">
        <f>IF($B26="","",COUNTIF(Nov[Resident Name],$B26))</f>
        <v/>
      </c>
      <c r="N26" s="265" t="str">
        <f>IF($B26="","",COUNTIF(Dec[Resident Name],$B26))</f>
        <v/>
      </c>
      <c r="O26" s="265" t="str">
        <f t="shared" si="1"/>
        <v/>
      </c>
      <c r="P26" s="11"/>
      <c r="R26" s="160" t="str">
        <f>IFERROR(INDEX($B$5:$B$172,MATCH(ROWS($R$5:R26),$X$5:$X$172,0)),"")</f>
        <v/>
      </c>
      <c r="S26" s="76" t="str">
        <f>IF($R26="","",INDEX($O$5:$O$172,MATCH(ROWS($R$5:R26),$X$5:$X$172,0)))</f>
        <v/>
      </c>
      <c r="U26" s="160" t="str">
        <f>IFERROR(INDEX($Z$5:$Z$448,MATCH(ROWS($U$5:U26),$AA$5:$AA$448,0)),"")</f>
        <v/>
      </c>
      <c r="V26" s="274" t="str">
        <f>IF(Jan!C25="","",Jan!C25)</f>
        <v/>
      </c>
      <c r="W26" s="274" t="str" cm="1">
        <f t="array" ref="W26">IF(V26="","",IF(COUNTIF($V$5:V26,V26)&gt;1,"",ROUND(1+SUMPRODUCT(($V$5:$V$448&lt;&gt;"")*($V$5:$V$448&lt;V26)/COUNTIF($V$5:$V$448,$V$5:$V$448&amp;"")),0)))</f>
        <v/>
      </c>
      <c r="X26" s="274" t="str">
        <f t="shared" si="2"/>
        <v/>
      </c>
      <c r="Z26" s="274" t="str">
        <f>IF(Jan!H25="Major Injury",Jan!C25,"")</f>
        <v/>
      </c>
      <c r="AA26" s="274" t="str" cm="1">
        <f t="array" ref="AA26">IF(Z26="","",IF(COUNTIF($Z$5:Z26,Z26)&gt;1,"",ROUND(1+SUMPRODUCT(($Z$5:$Z$448&lt;&gt;"")*($Z$5:$Z$448&lt;Z26)/COUNTIF($Z$5:$Z$448,$Z$5:$Z$448&amp;"")),0)))</f>
        <v/>
      </c>
    </row>
    <row r="27" spans="2:27" x14ac:dyDescent="0.25">
      <c r="B27" s="160" t="str">
        <f>IFERROR(INDEX($V$5:$V$448,MATCH(ROWS($B$5:B27),$W$5:$W$448,0)),"")</f>
        <v/>
      </c>
      <c r="C27" s="265" t="str">
        <f>IF($B27="","",COUNTIF(Jan[Resident Name],$B27))</f>
        <v/>
      </c>
      <c r="D27" s="265" t="str">
        <f>IF($B27="","",COUNTIF(Feb[Resident Name],$B27))</f>
        <v/>
      </c>
      <c r="E27" s="265" t="str">
        <f>IF($B27="","",COUNTIF(Mar[Resident Name],$B27))</f>
        <v/>
      </c>
      <c r="F27" s="265" t="str">
        <f>IF($B27="","",COUNTIF(Apr[Resident Name],$B27))</f>
        <v/>
      </c>
      <c r="G27" s="265" t="str">
        <f>IF($B27="","",COUNTIF(May[Resident Name],$B27))</f>
        <v/>
      </c>
      <c r="H27" s="265" t="str">
        <f>IF($B27="","",COUNTIF(June[Resident Name],$B27))</f>
        <v/>
      </c>
      <c r="I27" s="265" t="str">
        <f>IF($B27="","",COUNTIF(July[Resident Name],$B27))</f>
        <v/>
      </c>
      <c r="J27" s="265" t="str">
        <f>IF($B27="","",COUNTIF(Aug[Resident Name],$B27))</f>
        <v/>
      </c>
      <c r="K27" s="265" t="str">
        <f>IF($B27="","",COUNTIF(Sept[Resident Name],$B27))</f>
        <v/>
      </c>
      <c r="L27" s="265" t="str">
        <f>IF($B27="","",COUNTIF(Oct[Resident Name],$B27))</f>
        <v/>
      </c>
      <c r="M27" s="265" t="str">
        <f>IF($B27="","",COUNTIF(Nov[Resident Name],$B27))</f>
        <v/>
      </c>
      <c r="N27" s="265" t="str">
        <f>IF($B27="","",COUNTIF(Dec[Resident Name],$B27))</f>
        <v/>
      </c>
      <c r="O27" s="265" t="str">
        <f t="shared" si="1"/>
        <v/>
      </c>
      <c r="P27" s="11"/>
      <c r="R27" s="160" t="str">
        <f>IFERROR(INDEX($B$5:$B$172,MATCH(ROWS($R$5:R27),$X$5:$X$172,0)),"")</f>
        <v/>
      </c>
      <c r="S27" s="76" t="str">
        <f>IF($R27="","",INDEX($O$5:$O$172,MATCH(ROWS($R$5:R27),$X$5:$X$172,0)))</f>
        <v/>
      </c>
      <c r="U27" s="160" t="str">
        <f>IFERROR(INDEX($Z$5:$Z$448,MATCH(ROWS($U$5:U27),$AA$5:$AA$448,0)),"")</f>
        <v/>
      </c>
      <c r="V27" s="274" t="str">
        <f>IF(Jan!C26="","",Jan!C26)</f>
        <v/>
      </c>
      <c r="W27" s="274" t="str" cm="1">
        <f t="array" ref="W27">IF(V27="","",IF(COUNTIF($V$5:V27,V27)&gt;1,"",ROUND(1+SUMPRODUCT(($V$5:$V$448&lt;&gt;"")*($V$5:$V$448&lt;V27)/COUNTIF($V$5:$V$448,$V$5:$V$448&amp;"")),0)))</f>
        <v/>
      </c>
      <c r="X27" s="274" t="str">
        <f t="shared" si="2"/>
        <v/>
      </c>
      <c r="Z27" s="274" t="str">
        <f>IF(Jan!H26="Major Injury",Jan!C26,"")</f>
        <v/>
      </c>
      <c r="AA27" s="274" t="str" cm="1">
        <f t="array" ref="AA27">IF(Z27="","",IF(COUNTIF($Z$5:Z27,Z27)&gt;1,"",ROUND(1+SUMPRODUCT(($Z$5:$Z$448&lt;&gt;"")*($Z$5:$Z$448&lt;Z27)/COUNTIF($Z$5:$Z$448,$Z$5:$Z$448&amp;"")),0)))</f>
        <v/>
      </c>
    </row>
    <row r="28" spans="2:27" x14ac:dyDescent="0.25">
      <c r="B28" s="160" t="str">
        <f>IFERROR(INDEX($V$5:$V$448,MATCH(ROWS($B$5:B28),$W$5:$W$448,0)),"")</f>
        <v/>
      </c>
      <c r="C28" s="265" t="str">
        <f>IF($B28="","",COUNTIF(Jan[Resident Name],$B28))</f>
        <v/>
      </c>
      <c r="D28" s="265" t="str">
        <f>IF($B28="","",COUNTIF(Feb[Resident Name],$B28))</f>
        <v/>
      </c>
      <c r="E28" s="265" t="str">
        <f>IF($B28="","",COUNTIF(Mar[Resident Name],$B28))</f>
        <v/>
      </c>
      <c r="F28" s="265" t="str">
        <f>IF($B28="","",COUNTIF(Apr[Resident Name],$B28))</f>
        <v/>
      </c>
      <c r="G28" s="265" t="str">
        <f>IF($B28="","",COUNTIF(May[Resident Name],$B28))</f>
        <v/>
      </c>
      <c r="H28" s="265" t="str">
        <f>IF($B28="","",COUNTIF(June[Resident Name],$B28))</f>
        <v/>
      </c>
      <c r="I28" s="265" t="str">
        <f>IF($B28="","",COUNTIF(July[Resident Name],$B28))</f>
        <v/>
      </c>
      <c r="J28" s="265" t="str">
        <f>IF($B28="","",COUNTIF(Aug[Resident Name],$B28))</f>
        <v/>
      </c>
      <c r="K28" s="265" t="str">
        <f>IF($B28="","",COUNTIF(Sept[Resident Name],$B28))</f>
        <v/>
      </c>
      <c r="L28" s="265" t="str">
        <f>IF($B28="","",COUNTIF(Oct[Resident Name],$B28))</f>
        <v/>
      </c>
      <c r="M28" s="265" t="str">
        <f>IF($B28="","",COUNTIF(Nov[Resident Name],$B28))</f>
        <v/>
      </c>
      <c r="N28" s="265" t="str">
        <f>IF($B28="","",COUNTIF(Dec[Resident Name],$B28))</f>
        <v/>
      </c>
      <c r="O28" s="265" t="str">
        <f t="shared" si="1"/>
        <v/>
      </c>
      <c r="P28" s="11"/>
      <c r="R28" s="160" t="str">
        <f>IFERROR(INDEX($B$5:$B$172,MATCH(ROWS($R$5:R28),$X$5:$X$172,0)),"")</f>
        <v/>
      </c>
      <c r="S28" s="76" t="str">
        <f>IF($R28="","",INDEX($O$5:$O$172,MATCH(ROWS($R$5:R28),$X$5:$X$172,0)))</f>
        <v/>
      </c>
      <c r="U28" s="160" t="str">
        <f>IFERROR(INDEX($Z$5:$Z$448,MATCH(ROWS($U$5:U28),$AA$5:$AA$448,0)),"")</f>
        <v/>
      </c>
      <c r="V28" s="274" t="str">
        <f>IF(Jan!C27="","",Jan!C27)</f>
        <v/>
      </c>
      <c r="W28" s="274" t="str" cm="1">
        <f t="array" ref="W28">IF(V28="","",IF(COUNTIF($V$5:V28,V28)&gt;1,"",ROUND(1+SUMPRODUCT(($V$5:$V$448&lt;&gt;"")*($V$5:$V$448&lt;V28)/COUNTIF($V$5:$V$448,$V$5:$V$448&amp;"")),0)))</f>
        <v/>
      </c>
      <c r="X28" s="274" t="str">
        <f t="shared" si="2"/>
        <v/>
      </c>
      <c r="Z28" s="274" t="str">
        <f>IF(Jan!H27="Major Injury",Jan!C27,"")</f>
        <v/>
      </c>
      <c r="AA28" s="274" t="str" cm="1">
        <f t="array" ref="AA28">IF(Z28="","",IF(COUNTIF($Z$5:Z28,Z28)&gt;1,"",ROUND(1+SUMPRODUCT(($Z$5:$Z$448&lt;&gt;"")*($Z$5:$Z$448&lt;Z28)/COUNTIF($Z$5:$Z$448,$Z$5:$Z$448&amp;"")),0)))</f>
        <v/>
      </c>
    </row>
    <row r="29" spans="2:27" x14ac:dyDescent="0.25">
      <c r="B29" s="160" t="str">
        <f>IFERROR(INDEX($V$5:$V$448,MATCH(ROWS($B$5:B29),$W$5:$W$448,0)),"")</f>
        <v/>
      </c>
      <c r="C29" s="265" t="str">
        <f>IF($B29="","",COUNTIF(Jan[Resident Name],$B29))</f>
        <v/>
      </c>
      <c r="D29" s="265" t="str">
        <f>IF($B29="","",COUNTIF(Feb[Resident Name],$B29))</f>
        <v/>
      </c>
      <c r="E29" s="265" t="str">
        <f>IF($B29="","",COUNTIF(Mar[Resident Name],$B29))</f>
        <v/>
      </c>
      <c r="F29" s="265" t="str">
        <f>IF($B29="","",COUNTIF(Apr[Resident Name],$B29))</f>
        <v/>
      </c>
      <c r="G29" s="265" t="str">
        <f>IF($B29="","",COUNTIF(May[Resident Name],$B29))</f>
        <v/>
      </c>
      <c r="H29" s="265" t="str">
        <f>IF($B29="","",COUNTIF(June[Resident Name],$B29))</f>
        <v/>
      </c>
      <c r="I29" s="265" t="str">
        <f>IF($B29="","",COUNTIF(July[Resident Name],$B29))</f>
        <v/>
      </c>
      <c r="J29" s="265" t="str">
        <f>IF($B29="","",COUNTIF(Aug[Resident Name],$B29))</f>
        <v/>
      </c>
      <c r="K29" s="265" t="str">
        <f>IF($B29="","",COUNTIF(Sept[Resident Name],$B29))</f>
        <v/>
      </c>
      <c r="L29" s="265" t="str">
        <f>IF($B29="","",COUNTIF(Oct[Resident Name],$B29))</f>
        <v/>
      </c>
      <c r="M29" s="265" t="str">
        <f>IF($B29="","",COUNTIF(Nov[Resident Name],$B29))</f>
        <v/>
      </c>
      <c r="N29" s="265" t="str">
        <f>IF($B29="","",COUNTIF(Dec[Resident Name],$B29))</f>
        <v/>
      </c>
      <c r="O29" s="265" t="str">
        <f t="shared" si="1"/>
        <v/>
      </c>
      <c r="P29" s="11"/>
      <c r="R29" s="160" t="str">
        <f>IFERROR(INDEX($B$5:$B$172,MATCH(ROWS($R$5:R29),$X$5:$X$172,0)),"")</f>
        <v/>
      </c>
      <c r="S29" s="76" t="str">
        <f>IF($R29="","",INDEX($O$5:$O$172,MATCH(ROWS($R$5:R29),$X$5:$X$172,0)))</f>
        <v/>
      </c>
      <c r="U29" s="160" t="str">
        <f>IFERROR(INDEX($Z$5:$Z$448,MATCH(ROWS($U$5:U29),$AA$5:$AA$448,0)),"")</f>
        <v/>
      </c>
      <c r="V29" s="274" t="str">
        <f>IF(Jan!C28="","",Jan!C28)</f>
        <v/>
      </c>
      <c r="W29" s="274" t="str" cm="1">
        <f t="array" ref="W29">IF(V29="","",IF(COUNTIF($V$5:V29,V29)&gt;1,"",ROUND(1+SUMPRODUCT(($V$5:$V$448&lt;&gt;"")*($V$5:$V$448&lt;V29)/COUNTIF($V$5:$V$448,$V$5:$V$448&amp;"")),0)))</f>
        <v/>
      </c>
      <c r="X29" s="274" t="str">
        <f t="shared" si="2"/>
        <v/>
      </c>
      <c r="Z29" s="274" t="str">
        <f>IF(Jan!H28="Major Injury",Jan!C28,"")</f>
        <v/>
      </c>
      <c r="AA29" s="274" t="str" cm="1">
        <f t="array" ref="AA29">IF(Z29="","",IF(COUNTIF($Z$5:Z29,Z29)&gt;1,"",ROUND(1+SUMPRODUCT(($Z$5:$Z$448&lt;&gt;"")*($Z$5:$Z$448&lt;Z29)/COUNTIF($Z$5:$Z$448,$Z$5:$Z$448&amp;"")),0)))</f>
        <v/>
      </c>
    </row>
    <row r="30" spans="2:27" x14ac:dyDescent="0.25">
      <c r="B30" s="160" t="str">
        <f>IFERROR(INDEX($V$5:$V$448,MATCH(ROWS($B$5:B30),$W$5:$W$448,0)),"")</f>
        <v/>
      </c>
      <c r="C30" s="265" t="str">
        <f>IF($B30="","",COUNTIF(Jan[Resident Name],$B30))</f>
        <v/>
      </c>
      <c r="D30" s="265" t="str">
        <f>IF($B30="","",COUNTIF(Feb[Resident Name],$B30))</f>
        <v/>
      </c>
      <c r="E30" s="265" t="str">
        <f>IF($B30="","",COUNTIF(Mar[Resident Name],$B30))</f>
        <v/>
      </c>
      <c r="F30" s="265" t="str">
        <f>IF($B30="","",COUNTIF(Apr[Resident Name],$B30))</f>
        <v/>
      </c>
      <c r="G30" s="265" t="str">
        <f>IF($B30="","",COUNTIF(May[Resident Name],$B30))</f>
        <v/>
      </c>
      <c r="H30" s="265" t="str">
        <f>IF($B30="","",COUNTIF(June[Resident Name],$B30))</f>
        <v/>
      </c>
      <c r="I30" s="265" t="str">
        <f>IF($B30="","",COUNTIF(July[Resident Name],$B30))</f>
        <v/>
      </c>
      <c r="J30" s="265" t="str">
        <f>IF($B30="","",COUNTIF(Aug[Resident Name],$B30))</f>
        <v/>
      </c>
      <c r="K30" s="265" t="str">
        <f>IF($B30="","",COUNTIF(Sept[Resident Name],$B30))</f>
        <v/>
      </c>
      <c r="L30" s="265" t="str">
        <f>IF($B30="","",COUNTIF(Oct[Resident Name],$B30))</f>
        <v/>
      </c>
      <c r="M30" s="265" t="str">
        <f>IF($B30="","",COUNTIF(Nov[Resident Name],$B30))</f>
        <v/>
      </c>
      <c r="N30" s="265" t="str">
        <f>IF($B30="","",COUNTIF(Dec[Resident Name],$B30))</f>
        <v/>
      </c>
      <c r="O30" s="265" t="str">
        <f t="shared" si="1"/>
        <v/>
      </c>
      <c r="P30" s="11"/>
      <c r="R30" s="160" t="str">
        <f>IFERROR(INDEX($B$5:$B$172,MATCH(ROWS($R$5:R30),$X$5:$X$172,0)),"")</f>
        <v/>
      </c>
      <c r="S30" s="76" t="str">
        <f>IF($R30="","",INDEX($O$5:$O$172,MATCH(ROWS($R$5:R30),$X$5:$X$172,0)))</f>
        <v/>
      </c>
      <c r="U30" s="160" t="str">
        <f>IFERROR(INDEX($Z$5:$Z$448,MATCH(ROWS($U$5:U30),$AA$5:$AA$448,0)),"")</f>
        <v/>
      </c>
      <c r="V30" s="274" t="str">
        <f>IF(Jan!C29="","",Jan!C29)</f>
        <v/>
      </c>
      <c r="W30" s="274" t="str" cm="1">
        <f t="array" ref="W30">IF(V30="","",IF(COUNTIF($V$5:V30,V30)&gt;1,"",ROUND(1+SUMPRODUCT(($V$5:$V$448&lt;&gt;"")*($V$5:$V$448&lt;V30)/COUNTIF($V$5:$V$448,$V$5:$V$448&amp;"")),0)))</f>
        <v/>
      </c>
      <c r="X30" s="274" t="str">
        <f t="shared" si="2"/>
        <v/>
      </c>
      <c r="Z30" s="274" t="str">
        <f>IF(Jan!H29="Major Injury",Jan!C29,"")</f>
        <v/>
      </c>
      <c r="AA30" s="274" t="str" cm="1">
        <f t="array" ref="AA30">IF(Z30="","",IF(COUNTIF($Z$5:Z30,Z30)&gt;1,"",ROUND(1+SUMPRODUCT(($Z$5:$Z$448&lt;&gt;"")*($Z$5:$Z$448&lt;Z30)/COUNTIF($Z$5:$Z$448,$Z$5:$Z$448&amp;"")),0)))</f>
        <v/>
      </c>
    </row>
    <row r="31" spans="2:27" x14ac:dyDescent="0.25">
      <c r="B31" s="160" t="str">
        <f>IFERROR(INDEX($V$5:$V$448,MATCH(ROWS($B$5:B31),$W$5:$W$448,0)),"")</f>
        <v/>
      </c>
      <c r="C31" s="265" t="str">
        <f>IF($B31="","",COUNTIF(Jan[Resident Name],$B31))</f>
        <v/>
      </c>
      <c r="D31" s="265" t="str">
        <f>IF($B31="","",COUNTIF(Feb[Resident Name],$B31))</f>
        <v/>
      </c>
      <c r="E31" s="265" t="str">
        <f>IF($B31="","",COUNTIF(Mar[Resident Name],$B31))</f>
        <v/>
      </c>
      <c r="F31" s="265" t="str">
        <f>IF($B31="","",COUNTIF(Apr[Resident Name],$B31))</f>
        <v/>
      </c>
      <c r="G31" s="265" t="str">
        <f>IF($B31="","",COUNTIF(May[Resident Name],$B31))</f>
        <v/>
      </c>
      <c r="H31" s="265" t="str">
        <f>IF($B31="","",COUNTIF(June[Resident Name],$B31))</f>
        <v/>
      </c>
      <c r="I31" s="265" t="str">
        <f>IF($B31="","",COUNTIF(July[Resident Name],$B31))</f>
        <v/>
      </c>
      <c r="J31" s="265" t="str">
        <f>IF($B31="","",COUNTIF(Aug[Resident Name],$B31))</f>
        <v/>
      </c>
      <c r="K31" s="265" t="str">
        <f>IF($B31="","",COUNTIF(Sept[Resident Name],$B31))</f>
        <v/>
      </c>
      <c r="L31" s="265" t="str">
        <f>IF($B31="","",COUNTIF(Oct[Resident Name],$B31))</f>
        <v/>
      </c>
      <c r="M31" s="265" t="str">
        <f>IF($B31="","",COUNTIF(Nov[Resident Name],$B31))</f>
        <v/>
      </c>
      <c r="N31" s="265" t="str">
        <f>IF($B31="","",COUNTIF(Dec[Resident Name],$B31))</f>
        <v/>
      </c>
      <c r="O31" s="265" t="str">
        <f t="shared" si="1"/>
        <v/>
      </c>
      <c r="P31" s="11"/>
      <c r="R31" s="160" t="str">
        <f>IFERROR(INDEX($B$5:$B$172,MATCH(ROWS($R$5:R31),$X$5:$X$172,0)),"")</f>
        <v/>
      </c>
      <c r="S31" s="76" t="str">
        <f>IF($R31="","",INDEX($O$5:$O$172,MATCH(ROWS($R$5:R31),$X$5:$X$172,0)))</f>
        <v/>
      </c>
      <c r="U31" s="160" t="str">
        <f>IFERROR(INDEX($Z$5:$Z$448,MATCH(ROWS($U$5:U31),$AA$5:$AA$448,0)),"")</f>
        <v/>
      </c>
      <c r="V31" s="274" t="str">
        <f>IF(Jan!C30="","",Jan!C30)</f>
        <v/>
      </c>
      <c r="W31" s="274" t="str" cm="1">
        <f t="array" ref="W31">IF(V31="","",IF(COUNTIF($V$5:V31,V31)&gt;1,"",ROUND(1+SUMPRODUCT(($V$5:$V$448&lt;&gt;"")*($V$5:$V$448&lt;V31)/COUNTIF($V$5:$V$448,$V$5:$V$448&amp;"")),0)))</f>
        <v/>
      </c>
      <c r="X31" s="274" t="str">
        <f t="shared" si="2"/>
        <v/>
      </c>
      <c r="Z31" s="274" t="str">
        <f>IF(Jan!H30="Major Injury",Jan!C30,"")</f>
        <v/>
      </c>
      <c r="AA31" s="274" t="str" cm="1">
        <f t="array" ref="AA31">IF(Z31="","",IF(COUNTIF($Z$5:Z31,Z31)&gt;1,"",ROUND(1+SUMPRODUCT(($Z$5:$Z$448&lt;&gt;"")*($Z$5:$Z$448&lt;Z31)/COUNTIF($Z$5:$Z$448,$Z$5:$Z$448&amp;"")),0)))</f>
        <v/>
      </c>
    </row>
    <row r="32" spans="2:27" x14ac:dyDescent="0.25">
      <c r="B32" s="160" t="str">
        <f>IFERROR(INDEX($V$5:$V$448,MATCH(ROWS($B$5:B32),$W$5:$W$448,0)),"")</f>
        <v/>
      </c>
      <c r="C32" s="265" t="str">
        <f>IF($B32="","",COUNTIF(Jan[Resident Name],$B32))</f>
        <v/>
      </c>
      <c r="D32" s="265" t="str">
        <f>IF($B32="","",COUNTIF(Feb[Resident Name],$B32))</f>
        <v/>
      </c>
      <c r="E32" s="265" t="str">
        <f>IF($B32="","",COUNTIF(Mar[Resident Name],$B32))</f>
        <v/>
      </c>
      <c r="F32" s="265" t="str">
        <f>IF($B32="","",COUNTIF(Apr[Resident Name],$B32))</f>
        <v/>
      </c>
      <c r="G32" s="265" t="str">
        <f>IF($B32="","",COUNTIF(May[Resident Name],$B32))</f>
        <v/>
      </c>
      <c r="H32" s="265" t="str">
        <f>IF($B32="","",COUNTIF(June[Resident Name],$B32))</f>
        <v/>
      </c>
      <c r="I32" s="265" t="str">
        <f>IF($B32="","",COUNTIF(July[Resident Name],$B32))</f>
        <v/>
      </c>
      <c r="J32" s="265" t="str">
        <f>IF($B32="","",COUNTIF(Aug[Resident Name],$B32))</f>
        <v/>
      </c>
      <c r="K32" s="265" t="str">
        <f>IF($B32="","",COUNTIF(Sept[Resident Name],$B32))</f>
        <v/>
      </c>
      <c r="L32" s="265" t="str">
        <f>IF($B32="","",COUNTIF(Oct[Resident Name],$B32))</f>
        <v/>
      </c>
      <c r="M32" s="265" t="str">
        <f>IF($B32="","",COUNTIF(Nov[Resident Name],$B32))</f>
        <v/>
      </c>
      <c r="N32" s="265" t="str">
        <f>IF($B32="","",COUNTIF(Dec[Resident Name],$B32))</f>
        <v/>
      </c>
      <c r="O32" s="265" t="str">
        <f t="shared" si="1"/>
        <v/>
      </c>
      <c r="P32" s="11"/>
      <c r="R32" s="160" t="str">
        <f>IFERROR(INDEX($B$5:$B$172,MATCH(ROWS($R$5:R32),$X$5:$X$172,0)),"")</f>
        <v/>
      </c>
      <c r="S32" s="76" t="str">
        <f>IF($R32="","",INDEX($O$5:$O$172,MATCH(ROWS($R$5:R32),$X$5:$X$172,0)))</f>
        <v/>
      </c>
      <c r="U32" s="160" t="str">
        <f>IFERROR(INDEX($Z$5:$Z$448,MATCH(ROWS($U$5:U32),$AA$5:$AA$448,0)),"")</f>
        <v/>
      </c>
      <c r="V32" s="274" t="str">
        <f>IF(Jan!C31="","",Jan!C31)</f>
        <v/>
      </c>
      <c r="W32" s="274" t="str" cm="1">
        <f t="array" ref="W32">IF(V32="","",IF(COUNTIF($V$5:V32,V32)&gt;1,"",ROUND(1+SUMPRODUCT(($V$5:$V$448&lt;&gt;"")*($V$5:$V$448&lt;V32)/COUNTIF($V$5:$V$448,$V$5:$V$448&amp;"")),0)))</f>
        <v/>
      </c>
      <c r="X32" s="274" t="str">
        <f t="shared" si="2"/>
        <v/>
      </c>
      <c r="Z32" s="274" t="str">
        <f>IF(Jan!H31="Major Injury",Jan!C31,"")</f>
        <v/>
      </c>
      <c r="AA32" s="274" t="str" cm="1">
        <f t="array" ref="AA32">IF(Z32="","",IF(COUNTIF($Z$5:Z32,Z32)&gt;1,"",ROUND(1+SUMPRODUCT(($Z$5:$Z$448&lt;&gt;"")*($Z$5:$Z$448&lt;Z32)/COUNTIF($Z$5:$Z$448,$Z$5:$Z$448&amp;"")),0)))</f>
        <v/>
      </c>
    </row>
    <row r="33" spans="2:27" x14ac:dyDescent="0.25">
      <c r="B33" s="160" t="str">
        <f>IFERROR(INDEX($V$5:$V$448,MATCH(ROWS($B$5:B33),$W$5:$W$448,0)),"")</f>
        <v/>
      </c>
      <c r="C33" s="265" t="str">
        <f>IF($B33="","",COUNTIF(Jan[Resident Name],$B33))</f>
        <v/>
      </c>
      <c r="D33" s="265" t="str">
        <f>IF($B33="","",COUNTIF(Feb[Resident Name],$B33))</f>
        <v/>
      </c>
      <c r="E33" s="265" t="str">
        <f>IF($B33="","",COUNTIF(Mar[Resident Name],$B33))</f>
        <v/>
      </c>
      <c r="F33" s="265" t="str">
        <f>IF($B33="","",COUNTIF(Apr[Resident Name],$B33))</f>
        <v/>
      </c>
      <c r="G33" s="265" t="str">
        <f>IF($B33="","",COUNTIF(May[Resident Name],$B33))</f>
        <v/>
      </c>
      <c r="H33" s="265" t="str">
        <f>IF($B33="","",COUNTIF(June[Resident Name],$B33))</f>
        <v/>
      </c>
      <c r="I33" s="265" t="str">
        <f>IF($B33="","",COUNTIF(July[Resident Name],$B33))</f>
        <v/>
      </c>
      <c r="J33" s="265" t="str">
        <f>IF($B33="","",COUNTIF(Aug[Resident Name],$B33))</f>
        <v/>
      </c>
      <c r="K33" s="265" t="str">
        <f>IF($B33="","",COUNTIF(Sept[Resident Name],$B33))</f>
        <v/>
      </c>
      <c r="L33" s="265" t="str">
        <f>IF($B33="","",COUNTIF(Oct[Resident Name],$B33))</f>
        <v/>
      </c>
      <c r="M33" s="265" t="str">
        <f>IF($B33="","",COUNTIF(Nov[Resident Name],$B33))</f>
        <v/>
      </c>
      <c r="N33" s="265" t="str">
        <f>IF($B33="","",COUNTIF(Dec[Resident Name],$B33))</f>
        <v/>
      </c>
      <c r="O33" s="265" t="str">
        <f t="shared" si="1"/>
        <v/>
      </c>
      <c r="P33" s="11"/>
      <c r="R33" s="160" t="str">
        <f>IFERROR(INDEX($B$5:$B$172,MATCH(ROWS($R$5:R33),$X$5:$X$172,0)),"")</f>
        <v/>
      </c>
      <c r="S33" s="76" t="str">
        <f>IF($R33="","",INDEX($O$5:$O$172,MATCH(ROWS($R$5:R33),$X$5:$X$172,0)))</f>
        <v/>
      </c>
      <c r="U33" s="160" t="str">
        <f>IFERROR(INDEX($Z$5:$Z$448,MATCH(ROWS($U$5:U33),$AA$5:$AA$448,0)),"")</f>
        <v/>
      </c>
      <c r="V33" s="274" t="str">
        <f>IF(Jan!C32="","",Jan!C32)</f>
        <v/>
      </c>
      <c r="W33" s="274" t="str" cm="1">
        <f t="array" ref="W33">IF(V33="","",IF(COUNTIF($V$5:V33,V33)&gt;1,"",ROUND(1+SUMPRODUCT(($V$5:$V$448&lt;&gt;"")*($V$5:$V$448&lt;V33)/COUNTIF($V$5:$V$448,$V$5:$V$448&amp;"")),0)))</f>
        <v/>
      </c>
      <c r="X33" s="274" t="str">
        <f t="shared" si="2"/>
        <v/>
      </c>
      <c r="Z33" s="274" t="str">
        <f>IF(Jan!H32="Major Injury",Jan!C32,"")</f>
        <v/>
      </c>
      <c r="AA33" s="274" t="str" cm="1">
        <f t="array" ref="AA33">IF(Z33="","",IF(COUNTIF($Z$5:Z33,Z33)&gt;1,"",ROUND(1+SUMPRODUCT(($Z$5:$Z$448&lt;&gt;"")*($Z$5:$Z$448&lt;Z33)/COUNTIF($Z$5:$Z$448,$Z$5:$Z$448&amp;"")),0)))</f>
        <v/>
      </c>
    </row>
    <row r="34" spans="2:27" x14ac:dyDescent="0.25">
      <c r="B34" s="160" t="str">
        <f>IFERROR(INDEX($V$5:$V$448,MATCH(ROWS($B$5:B34),$W$5:$W$448,0)),"")</f>
        <v/>
      </c>
      <c r="C34" s="265" t="str">
        <f>IF($B34="","",COUNTIF(Jan[Resident Name],$B34))</f>
        <v/>
      </c>
      <c r="D34" s="265" t="str">
        <f>IF($B34="","",COUNTIF(Feb[Resident Name],$B34))</f>
        <v/>
      </c>
      <c r="E34" s="265" t="str">
        <f>IF($B34="","",COUNTIF(Mar[Resident Name],$B34))</f>
        <v/>
      </c>
      <c r="F34" s="265" t="str">
        <f>IF($B34="","",COUNTIF(Apr[Resident Name],$B34))</f>
        <v/>
      </c>
      <c r="G34" s="265" t="str">
        <f>IF($B34="","",COUNTIF(May[Resident Name],$B34))</f>
        <v/>
      </c>
      <c r="H34" s="265" t="str">
        <f>IF($B34="","",COUNTIF(June[Resident Name],$B34))</f>
        <v/>
      </c>
      <c r="I34" s="265" t="str">
        <f>IF($B34="","",COUNTIF(July[Resident Name],$B34))</f>
        <v/>
      </c>
      <c r="J34" s="265" t="str">
        <f>IF($B34="","",COUNTIF(Aug[Resident Name],$B34))</f>
        <v/>
      </c>
      <c r="K34" s="265" t="str">
        <f>IF($B34="","",COUNTIF(Sept[Resident Name],$B34))</f>
        <v/>
      </c>
      <c r="L34" s="265" t="str">
        <f>IF($B34="","",COUNTIF(Oct[Resident Name],$B34))</f>
        <v/>
      </c>
      <c r="M34" s="265" t="str">
        <f>IF($B34="","",COUNTIF(Nov[Resident Name],$B34))</f>
        <v/>
      </c>
      <c r="N34" s="265" t="str">
        <f>IF($B34="","",COUNTIF(Dec[Resident Name],$B34))</f>
        <v/>
      </c>
      <c r="O34" s="265" t="str">
        <f t="shared" si="1"/>
        <v/>
      </c>
      <c r="P34" s="11"/>
      <c r="R34" s="160" t="str">
        <f>IFERROR(INDEX($B$5:$B$172,MATCH(ROWS($R$5:R34),$X$5:$X$172,0)),"")</f>
        <v/>
      </c>
      <c r="S34" s="76" t="str">
        <f>IF($R34="","",INDEX($O$5:$O$172,MATCH(ROWS($R$5:R34),$X$5:$X$172,0)))</f>
        <v/>
      </c>
      <c r="U34" s="160" t="str">
        <f>IFERROR(INDEX($Z$5:$Z$448,MATCH(ROWS($U$5:U34),$AA$5:$AA$448,0)),"")</f>
        <v/>
      </c>
      <c r="V34" s="274" t="str">
        <f>IF(Jan!C33="","",Jan!C33)</f>
        <v/>
      </c>
      <c r="W34" s="274" t="str" cm="1">
        <f t="array" ref="W34">IF(V34="","",IF(COUNTIF($V$5:V34,V34)&gt;1,"",ROUND(1+SUMPRODUCT(($V$5:$V$448&lt;&gt;"")*($V$5:$V$448&lt;V34)/COUNTIF($V$5:$V$448,$V$5:$V$448&amp;"")),0)))</f>
        <v/>
      </c>
      <c r="X34" s="274" t="str">
        <f t="shared" si="2"/>
        <v/>
      </c>
      <c r="Z34" s="274" t="str">
        <f>IF(Jan!H33="Major Injury",Jan!C33,"")</f>
        <v/>
      </c>
      <c r="AA34" s="274" t="str" cm="1">
        <f t="array" ref="AA34">IF(Z34="","",IF(COUNTIF($Z$5:Z34,Z34)&gt;1,"",ROUND(1+SUMPRODUCT(($Z$5:$Z$448&lt;&gt;"")*($Z$5:$Z$448&lt;Z34)/COUNTIF($Z$5:$Z$448,$Z$5:$Z$448&amp;"")),0)))</f>
        <v/>
      </c>
    </row>
    <row r="35" spans="2:27" x14ac:dyDescent="0.25">
      <c r="B35" s="160" t="str">
        <f>IFERROR(INDEX($V$5:$V$448,MATCH(ROWS($B$5:B35),$W$5:$W$448,0)),"")</f>
        <v/>
      </c>
      <c r="C35" s="265" t="str">
        <f>IF($B35="","",COUNTIF(Jan[Resident Name],$B35))</f>
        <v/>
      </c>
      <c r="D35" s="265" t="str">
        <f>IF($B35="","",COUNTIF(Feb[Resident Name],$B35))</f>
        <v/>
      </c>
      <c r="E35" s="265" t="str">
        <f>IF($B35="","",COUNTIF(Mar[Resident Name],$B35))</f>
        <v/>
      </c>
      <c r="F35" s="265" t="str">
        <f>IF($B35="","",COUNTIF(Apr[Resident Name],$B35))</f>
        <v/>
      </c>
      <c r="G35" s="265" t="str">
        <f>IF($B35="","",COUNTIF(May[Resident Name],$B35))</f>
        <v/>
      </c>
      <c r="H35" s="265" t="str">
        <f>IF($B35="","",COUNTIF(June[Resident Name],$B35))</f>
        <v/>
      </c>
      <c r="I35" s="265" t="str">
        <f>IF($B35="","",COUNTIF(July[Resident Name],$B35))</f>
        <v/>
      </c>
      <c r="J35" s="265" t="str">
        <f>IF($B35="","",COUNTIF(Aug[Resident Name],$B35))</f>
        <v/>
      </c>
      <c r="K35" s="265" t="str">
        <f>IF($B35="","",COUNTIF(Sept[Resident Name],$B35))</f>
        <v/>
      </c>
      <c r="L35" s="265" t="str">
        <f>IF($B35="","",COUNTIF(Oct[Resident Name],$B35))</f>
        <v/>
      </c>
      <c r="M35" s="265" t="str">
        <f>IF($B35="","",COUNTIF(Nov[Resident Name],$B35))</f>
        <v/>
      </c>
      <c r="N35" s="265" t="str">
        <f>IF($B35="","",COUNTIF(Dec[Resident Name],$B35))</f>
        <v/>
      </c>
      <c r="O35" s="265" t="str">
        <f t="shared" si="1"/>
        <v/>
      </c>
      <c r="P35" s="11"/>
      <c r="R35" s="160" t="str">
        <f>IFERROR(INDEX($B$5:$B$172,MATCH(ROWS($R$5:R35),$X$5:$X$172,0)),"")</f>
        <v/>
      </c>
      <c r="S35" s="76" t="str">
        <f>IF($R35="","",INDEX($O$5:$O$172,MATCH(ROWS($R$5:R35),$X$5:$X$172,0)))</f>
        <v/>
      </c>
      <c r="U35" s="160" t="str">
        <f>IFERROR(INDEX($Z$5:$Z$448,MATCH(ROWS($U$5:U35),$AA$5:$AA$448,0)),"")</f>
        <v/>
      </c>
      <c r="V35" s="274" t="str">
        <f>IF(Jan!C34="","",Jan!C34)</f>
        <v/>
      </c>
      <c r="W35" s="274" t="str" cm="1">
        <f t="array" ref="W35">IF(V35="","",IF(COUNTIF($V$5:V35,V35)&gt;1,"",ROUND(1+SUMPRODUCT(($V$5:$V$448&lt;&gt;"")*($V$5:$V$448&lt;V35)/COUNTIF($V$5:$V$448,$V$5:$V$448&amp;"")),0)))</f>
        <v/>
      </c>
      <c r="X35" s="274" t="str">
        <f t="shared" si="2"/>
        <v/>
      </c>
      <c r="Z35" s="274" t="str">
        <f>IF(Jan!H34="Major Injury",Jan!C34,"")</f>
        <v/>
      </c>
      <c r="AA35" s="274" t="str" cm="1">
        <f t="array" ref="AA35">IF(Z35="","",IF(COUNTIF($Z$5:Z35,Z35)&gt;1,"",ROUND(1+SUMPRODUCT(($Z$5:$Z$448&lt;&gt;"")*($Z$5:$Z$448&lt;Z35)/COUNTIF($Z$5:$Z$448,$Z$5:$Z$448&amp;"")),0)))</f>
        <v/>
      </c>
    </row>
    <row r="36" spans="2:27" x14ac:dyDescent="0.25">
      <c r="B36" s="160" t="str">
        <f>IFERROR(INDEX($V$5:$V$448,MATCH(ROWS($B$5:B36),$W$5:$W$448,0)),"")</f>
        <v/>
      </c>
      <c r="C36" s="265" t="str">
        <f>IF($B36="","",COUNTIF(Jan[Resident Name],$B36))</f>
        <v/>
      </c>
      <c r="D36" s="265" t="str">
        <f>IF($B36="","",COUNTIF(Feb[Resident Name],$B36))</f>
        <v/>
      </c>
      <c r="E36" s="265" t="str">
        <f>IF($B36="","",COUNTIF(Mar[Resident Name],$B36))</f>
        <v/>
      </c>
      <c r="F36" s="265" t="str">
        <f>IF($B36="","",COUNTIF(Apr[Resident Name],$B36))</f>
        <v/>
      </c>
      <c r="G36" s="265" t="str">
        <f>IF($B36="","",COUNTIF(May[Resident Name],$B36))</f>
        <v/>
      </c>
      <c r="H36" s="265" t="str">
        <f>IF($B36="","",COUNTIF(June[Resident Name],$B36))</f>
        <v/>
      </c>
      <c r="I36" s="265" t="str">
        <f>IF($B36="","",COUNTIF(July[Resident Name],$B36))</f>
        <v/>
      </c>
      <c r="J36" s="265" t="str">
        <f>IF($B36="","",COUNTIF(Aug[Resident Name],$B36))</f>
        <v/>
      </c>
      <c r="K36" s="265" t="str">
        <f>IF($B36="","",COUNTIF(Sept[Resident Name],$B36))</f>
        <v/>
      </c>
      <c r="L36" s="265" t="str">
        <f>IF($B36="","",COUNTIF(Oct[Resident Name],$B36))</f>
        <v/>
      </c>
      <c r="M36" s="265" t="str">
        <f>IF($B36="","",COUNTIF(Nov[Resident Name],$B36))</f>
        <v/>
      </c>
      <c r="N36" s="265" t="str">
        <f>IF($B36="","",COUNTIF(Dec[Resident Name],$B36))</f>
        <v/>
      </c>
      <c r="O36" s="265" t="str">
        <f t="shared" si="1"/>
        <v/>
      </c>
      <c r="P36" s="11"/>
      <c r="R36" s="160" t="str">
        <f>IFERROR(INDEX($B$5:$B$172,MATCH(ROWS($R$5:R36),$X$5:$X$172,0)),"")</f>
        <v/>
      </c>
      <c r="S36" s="76" t="str">
        <f>IF($R36="","",INDEX($O$5:$O$172,MATCH(ROWS($R$5:R36),$X$5:$X$172,0)))</f>
        <v/>
      </c>
      <c r="U36" s="160" t="str">
        <f>IFERROR(INDEX($Z$5:$Z$448,MATCH(ROWS($U$5:U36),$AA$5:$AA$448,0)),"")</f>
        <v/>
      </c>
      <c r="V36" s="274" t="str">
        <f>IF(Jan!C35="","",Jan!C35)</f>
        <v/>
      </c>
      <c r="W36" s="274" t="str" cm="1">
        <f t="array" ref="W36">IF(V36="","",IF(COUNTIF($V$5:V36,V36)&gt;1,"",ROUND(1+SUMPRODUCT(($V$5:$V$448&lt;&gt;"")*($V$5:$V$448&lt;V36)/COUNTIF($V$5:$V$448,$V$5:$V$448&amp;"")),0)))</f>
        <v/>
      </c>
      <c r="X36" s="274" t="str">
        <f t="shared" si="2"/>
        <v/>
      </c>
      <c r="Z36" s="274" t="str">
        <f>IF(Jan!H35="Major Injury",Jan!C35,"")</f>
        <v/>
      </c>
      <c r="AA36" s="274" t="str" cm="1">
        <f t="array" ref="AA36">IF(Z36="","",IF(COUNTIF($Z$5:Z36,Z36)&gt;1,"",ROUND(1+SUMPRODUCT(($Z$5:$Z$448&lt;&gt;"")*($Z$5:$Z$448&lt;Z36)/COUNTIF($Z$5:$Z$448,$Z$5:$Z$448&amp;"")),0)))</f>
        <v/>
      </c>
    </row>
    <row r="37" spans="2:27" x14ac:dyDescent="0.25">
      <c r="B37" s="160" t="str">
        <f>IFERROR(INDEX($V$5:$V$448,MATCH(ROWS($B$5:B37),$W$5:$W$448,0)),"")</f>
        <v/>
      </c>
      <c r="C37" s="265" t="str">
        <f>IF($B37="","",COUNTIF(Jan[Resident Name],$B37))</f>
        <v/>
      </c>
      <c r="D37" s="265" t="str">
        <f>IF($B37="","",COUNTIF(Feb[Resident Name],$B37))</f>
        <v/>
      </c>
      <c r="E37" s="265" t="str">
        <f>IF($B37="","",COUNTIF(Mar[Resident Name],$B37))</f>
        <v/>
      </c>
      <c r="F37" s="265" t="str">
        <f>IF($B37="","",COUNTIF(Apr[Resident Name],$B37))</f>
        <v/>
      </c>
      <c r="G37" s="265" t="str">
        <f>IF($B37="","",COUNTIF(May[Resident Name],$B37))</f>
        <v/>
      </c>
      <c r="H37" s="265" t="str">
        <f>IF($B37="","",COUNTIF(June[Resident Name],$B37))</f>
        <v/>
      </c>
      <c r="I37" s="265" t="str">
        <f>IF($B37="","",COUNTIF(July[Resident Name],$B37))</f>
        <v/>
      </c>
      <c r="J37" s="265" t="str">
        <f>IF($B37="","",COUNTIF(Aug[Resident Name],$B37))</f>
        <v/>
      </c>
      <c r="K37" s="265" t="str">
        <f>IF($B37="","",COUNTIF(Sept[Resident Name],$B37))</f>
        <v/>
      </c>
      <c r="L37" s="265" t="str">
        <f>IF($B37="","",COUNTIF(Oct[Resident Name],$B37))</f>
        <v/>
      </c>
      <c r="M37" s="265" t="str">
        <f>IF($B37="","",COUNTIF(Nov[Resident Name],$B37))</f>
        <v/>
      </c>
      <c r="N37" s="265" t="str">
        <f>IF($B37="","",COUNTIF(Dec[Resident Name],$B37))</f>
        <v/>
      </c>
      <c r="O37" s="265" t="str">
        <f t="shared" si="1"/>
        <v/>
      </c>
      <c r="P37" s="11"/>
      <c r="R37" s="160" t="str">
        <f>IFERROR(INDEX($B$5:$B$172,MATCH(ROWS($R$5:R37),$X$5:$X$172,0)),"")</f>
        <v/>
      </c>
      <c r="S37" s="76" t="str">
        <f>IF($R37="","",INDEX($O$5:$O$172,MATCH(ROWS($R$5:R37),$X$5:$X$172,0)))</f>
        <v/>
      </c>
      <c r="U37" s="160" t="str">
        <f>IFERROR(INDEX($Z$5:$Z$448,MATCH(ROWS($U$5:U37),$AA$5:$AA$448,0)),"")</f>
        <v/>
      </c>
      <c r="V37" s="274" t="str">
        <f>IF(Jan!C36="","",Jan!C36)</f>
        <v/>
      </c>
      <c r="W37" s="274" t="str" cm="1">
        <f t="array" ref="W37">IF(V37="","",IF(COUNTIF($V$5:V37,V37)&gt;1,"",ROUND(1+SUMPRODUCT(($V$5:$V$448&lt;&gt;"")*($V$5:$V$448&lt;V37)/COUNTIF($V$5:$V$448,$V$5:$V$448&amp;"")),0)))</f>
        <v/>
      </c>
      <c r="X37" s="274" t="str">
        <f t="shared" si="2"/>
        <v/>
      </c>
      <c r="Z37" s="274" t="str">
        <f>IF(Jan!H36="Major Injury",Jan!C36,"")</f>
        <v/>
      </c>
      <c r="AA37" s="274" t="str" cm="1">
        <f t="array" ref="AA37">IF(Z37="","",IF(COUNTIF($Z$5:Z37,Z37)&gt;1,"",ROUND(1+SUMPRODUCT(($Z$5:$Z$448&lt;&gt;"")*($Z$5:$Z$448&lt;Z37)/COUNTIF($Z$5:$Z$448,$Z$5:$Z$448&amp;"")),0)))</f>
        <v/>
      </c>
    </row>
    <row r="38" spans="2:27" x14ac:dyDescent="0.25">
      <c r="B38" s="160" t="str">
        <f>IFERROR(INDEX($V$5:$V$448,MATCH(ROWS($B$5:B38),$W$5:$W$448,0)),"")</f>
        <v/>
      </c>
      <c r="C38" s="265" t="str">
        <f>IF($B38="","",COUNTIF(Jan[Resident Name],$B38))</f>
        <v/>
      </c>
      <c r="D38" s="265" t="str">
        <f>IF($B38="","",COUNTIF(Feb[Resident Name],$B38))</f>
        <v/>
      </c>
      <c r="E38" s="265" t="str">
        <f>IF($B38="","",COUNTIF(Mar[Resident Name],$B38))</f>
        <v/>
      </c>
      <c r="F38" s="265" t="str">
        <f>IF($B38="","",COUNTIF(Apr[Resident Name],$B38))</f>
        <v/>
      </c>
      <c r="G38" s="265" t="str">
        <f>IF($B38="","",COUNTIF(May[Resident Name],$B38))</f>
        <v/>
      </c>
      <c r="H38" s="265" t="str">
        <f>IF($B38="","",COUNTIF(June[Resident Name],$B38))</f>
        <v/>
      </c>
      <c r="I38" s="265" t="str">
        <f>IF($B38="","",COUNTIF(July[Resident Name],$B38))</f>
        <v/>
      </c>
      <c r="J38" s="265" t="str">
        <f>IF($B38="","",COUNTIF(Aug[Resident Name],$B38))</f>
        <v/>
      </c>
      <c r="K38" s="265" t="str">
        <f>IF($B38="","",COUNTIF(Sept[Resident Name],$B38))</f>
        <v/>
      </c>
      <c r="L38" s="265" t="str">
        <f>IF($B38="","",COUNTIF(Oct[Resident Name],$B38))</f>
        <v/>
      </c>
      <c r="M38" s="265" t="str">
        <f>IF($B38="","",COUNTIF(Nov[Resident Name],$B38))</f>
        <v/>
      </c>
      <c r="N38" s="265" t="str">
        <f>IF($B38="","",COUNTIF(Dec[Resident Name],$B38))</f>
        <v/>
      </c>
      <c r="O38" s="265" t="str">
        <f t="shared" si="1"/>
        <v/>
      </c>
      <c r="P38" s="11"/>
      <c r="R38" s="160" t="str">
        <f>IFERROR(INDEX($B$5:$B$172,MATCH(ROWS($R$5:R38),$X$5:$X$172,0)),"")</f>
        <v/>
      </c>
      <c r="S38" s="76" t="str">
        <f>IF($R38="","",INDEX($O$5:$O$172,MATCH(ROWS($R$5:R38),$X$5:$X$172,0)))</f>
        <v/>
      </c>
      <c r="U38" s="160" t="str">
        <f>IFERROR(INDEX($Z$5:$Z$448,MATCH(ROWS($U$5:U38),$AA$5:$AA$448,0)),"")</f>
        <v/>
      </c>
      <c r="V38" s="274" t="str">
        <f>IF(Jan!C37="","",Jan!C37)</f>
        <v/>
      </c>
      <c r="W38" s="274" t="str" cm="1">
        <f t="array" ref="W38">IF(V38="","",IF(COUNTIF($V$5:V38,V38)&gt;1,"",ROUND(1+SUMPRODUCT(($V$5:$V$448&lt;&gt;"")*($V$5:$V$448&lt;V38)/COUNTIF($V$5:$V$448,$V$5:$V$448&amp;"")),0)))</f>
        <v/>
      </c>
      <c r="X38" s="274" t="str">
        <f t="shared" si="2"/>
        <v/>
      </c>
      <c r="Z38" s="274" t="str">
        <f>IF(Jan!H37="Major Injury",Jan!C37,"")</f>
        <v/>
      </c>
      <c r="AA38" s="274" t="str" cm="1">
        <f t="array" ref="AA38">IF(Z38="","",IF(COUNTIF($Z$5:Z38,Z38)&gt;1,"",ROUND(1+SUMPRODUCT(($Z$5:$Z$448&lt;&gt;"")*($Z$5:$Z$448&lt;Z38)/COUNTIF($Z$5:$Z$448,$Z$5:$Z$448&amp;"")),0)))</f>
        <v/>
      </c>
    </row>
    <row r="39" spans="2:27" x14ac:dyDescent="0.25">
      <c r="B39" s="160" t="str">
        <f>IFERROR(INDEX($V$5:$V$448,MATCH(ROWS($B$5:B39),$W$5:$W$448,0)),"")</f>
        <v/>
      </c>
      <c r="C39" s="265" t="str">
        <f>IF($B39="","",COUNTIF(Jan[Resident Name],$B39))</f>
        <v/>
      </c>
      <c r="D39" s="265" t="str">
        <f>IF($B39="","",COUNTIF(Feb[Resident Name],$B39))</f>
        <v/>
      </c>
      <c r="E39" s="265" t="str">
        <f>IF($B39="","",COUNTIF(Mar[Resident Name],$B39))</f>
        <v/>
      </c>
      <c r="F39" s="265" t="str">
        <f>IF($B39="","",COUNTIF(Apr[Resident Name],$B39))</f>
        <v/>
      </c>
      <c r="G39" s="265" t="str">
        <f>IF($B39="","",COUNTIF(May[Resident Name],$B39))</f>
        <v/>
      </c>
      <c r="H39" s="265" t="str">
        <f>IF($B39="","",COUNTIF(June[Resident Name],$B39))</f>
        <v/>
      </c>
      <c r="I39" s="265" t="str">
        <f>IF($B39="","",COUNTIF(July[Resident Name],$B39))</f>
        <v/>
      </c>
      <c r="J39" s="265" t="str">
        <f>IF($B39="","",COUNTIF(Aug[Resident Name],$B39))</f>
        <v/>
      </c>
      <c r="K39" s="265" t="str">
        <f>IF($B39="","",COUNTIF(Sept[Resident Name],$B39))</f>
        <v/>
      </c>
      <c r="L39" s="265" t="str">
        <f>IF($B39="","",COUNTIF(Oct[Resident Name],$B39))</f>
        <v/>
      </c>
      <c r="M39" s="265" t="str">
        <f>IF($B39="","",COUNTIF(Nov[Resident Name],$B39))</f>
        <v/>
      </c>
      <c r="N39" s="265" t="str">
        <f>IF($B39="","",COUNTIF(Dec[Resident Name],$B39))</f>
        <v/>
      </c>
      <c r="O39" s="265" t="str">
        <f t="shared" si="1"/>
        <v/>
      </c>
      <c r="P39" s="11"/>
      <c r="R39" s="160" t="str">
        <f>IFERROR(INDEX($B$5:$B$172,MATCH(ROWS($R$5:R39),$X$5:$X$172,0)),"")</f>
        <v/>
      </c>
      <c r="S39" s="76" t="str">
        <f>IF($R39="","",INDEX($O$5:$O$172,MATCH(ROWS($R$5:R39),$X$5:$X$172,0)))</f>
        <v/>
      </c>
      <c r="U39" s="160" t="str">
        <f>IFERROR(INDEX($Z$5:$Z$448,MATCH(ROWS($U$5:U39),$AA$5:$AA$448,0)),"")</f>
        <v/>
      </c>
      <c r="V39" s="274" t="str">
        <f>IF(Jan!C38="","",Jan!C38)</f>
        <v/>
      </c>
      <c r="W39" s="274" t="str" cm="1">
        <f t="array" ref="W39">IF(V39="","",IF(COUNTIF($V$5:V39,V39)&gt;1,"",ROUND(1+SUMPRODUCT(($V$5:$V$448&lt;&gt;"")*($V$5:$V$448&lt;V39)/COUNTIF($V$5:$V$448,$V$5:$V$448&amp;"")),0)))</f>
        <v/>
      </c>
      <c r="X39" s="274" t="str">
        <f t="shared" si="2"/>
        <v/>
      </c>
      <c r="Z39" s="274" t="str">
        <f>IF(Jan!H38="Major Injury",Jan!C38,"")</f>
        <v/>
      </c>
      <c r="AA39" s="274" t="str" cm="1">
        <f t="array" ref="AA39">IF(Z39="","",IF(COUNTIF($Z$5:Z39,Z39)&gt;1,"",ROUND(1+SUMPRODUCT(($Z$5:$Z$448&lt;&gt;"")*($Z$5:$Z$448&lt;Z39)/COUNTIF($Z$5:$Z$448,$Z$5:$Z$448&amp;"")),0)))</f>
        <v/>
      </c>
    </row>
    <row r="40" spans="2:27" x14ac:dyDescent="0.25">
      <c r="B40" s="160" t="str">
        <f>IFERROR(INDEX($V$5:$V$448,MATCH(ROWS($B$5:B40),$W$5:$W$448,0)),"")</f>
        <v/>
      </c>
      <c r="C40" s="265" t="str">
        <f>IF($B40="","",COUNTIF(Jan[Resident Name],$B40))</f>
        <v/>
      </c>
      <c r="D40" s="265" t="str">
        <f>IF($B40="","",COUNTIF(Feb[Resident Name],$B40))</f>
        <v/>
      </c>
      <c r="E40" s="265" t="str">
        <f>IF($B40="","",COUNTIF(Mar[Resident Name],$B40))</f>
        <v/>
      </c>
      <c r="F40" s="265" t="str">
        <f>IF($B40="","",COUNTIF(Apr[Resident Name],$B40))</f>
        <v/>
      </c>
      <c r="G40" s="265" t="str">
        <f>IF($B40="","",COUNTIF(May[Resident Name],$B40))</f>
        <v/>
      </c>
      <c r="H40" s="265" t="str">
        <f>IF($B40="","",COUNTIF(June[Resident Name],$B40))</f>
        <v/>
      </c>
      <c r="I40" s="265" t="str">
        <f>IF($B40="","",COUNTIF(July[Resident Name],$B40))</f>
        <v/>
      </c>
      <c r="J40" s="265" t="str">
        <f>IF($B40="","",COUNTIF(Aug[Resident Name],$B40))</f>
        <v/>
      </c>
      <c r="K40" s="265" t="str">
        <f>IF($B40="","",COUNTIF(Sept[Resident Name],$B40))</f>
        <v/>
      </c>
      <c r="L40" s="265" t="str">
        <f>IF($B40="","",COUNTIF(Oct[Resident Name],$B40))</f>
        <v/>
      </c>
      <c r="M40" s="265" t="str">
        <f>IF($B40="","",COUNTIF(Nov[Resident Name],$B40))</f>
        <v/>
      </c>
      <c r="N40" s="265" t="str">
        <f>IF($B40="","",COUNTIF(Dec[Resident Name],$B40))</f>
        <v/>
      </c>
      <c r="O40" s="265" t="str">
        <f t="shared" si="1"/>
        <v/>
      </c>
      <c r="P40" s="11"/>
      <c r="R40" s="160" t="str">
        <f>IFERROR(INDEX($B$5:$B$172,MATCH(ROWS($R$5:R40),$X$5:$X$172,0)),"")</f>
        <v/>
      </c>
      <c r="S40" s="76" t="str">
        <f>IF($R40="","",INDEX($O$5:$O$172,MATCH(ROWS($R$5:R40),$X$5:$X$172,0)))</f>
        <v/>
      </c>
      <c r="U40" s="160" t="str">
        <f>IFERROR(INDEX($Z$5:$Z$448,MATCH(ROWS($U$5:U40),$AA$5:$AA$448,0)),"")</f>
        <v/>
      </c>
      <c r="V40" s="274" t="str">
        <f>IF(Jan!C39="","",Jan!C39)</f>
        <v/>
      </c>
      <c r="W40" s="274" t="str" cm="1">
        <f t="array" ref="W40">IF(V40="","",IF(COUNTIF($V$5:V40,V40)&gt;1,"",ROUND(1+SUMPRODUCT(($V$5:$V$448&lt;&gt;"")*($V$5:$V$448&lt;V40)/COUNTIF($V$5:$V$448,$V$5:$V$448&amp;"")),0)))</f>
        <v/>
      </c>
      <c r="X40" s="274" t="str">
        <f t="shared" si="2"/>
        <v/>
      </c>
      <c r="Z40" s="274" t="str">
        <f>IF(Jan!H39="Major Injury",Jan!C39,"")</f>
        <v/>
      </c>
      <c r="AA40" s="274" t="str" cm="1">
        <f t="array" ref="AA40">IF(Z40="","",IF(COUNTIF($Z$5:Z40,Z40)&gt;1,"",ROUND(1+SUMPRODUCT(($Z$5:$Z$448&lt;&gt;"")*($Z$5:$Z$448&lt;Z40)/COUNTIF($Z$5:$Z$448,$Z$5:$Z$448&amp;"")),0)))</f>
        <v/>
      </c>
    </row>
    <row r="41" spans="2:27" x14ac:dyDescent="0.25">
      <c r="B41" s="160" t="str">
        <f>IFERROR(INDEX($V$5:$V$448,MATCH(ROWS($B$5:B41),$W$5:$W$448,0)),"")</f>
        <v/>
      </c>
      <c r="C41" s="265" t="str">
        <f>IF($B41="","",COUNTIF(Jan[Resident Name],$B41))</f>
        <v/>
      </c>
      <c r="D41" s="265" t="str">
        <f>IF($B41="","",COUNTIF(Feb[Resident Name],$B41))</f>
        <v/>
      </c>
      <c r="E41" s="265" t="str">
        <f>IF($B41="","",COUNTIF(Mar[Resident Name],$B41))</f>
        <v/>
      </c>
      <c r="F41" s="265" t="str">
        <f>IF($B41="","",COUNTIF(Apr[Resident Name],$B41))</f>
        <v/>
      </c>
      <c r="G41" s="265" t="str">
        <f>IF($B41="","",COUNTIF(May[Resident Name],$B41))</f>
        <v/>
      </c>
      <c r="H41" s="265" t="str">
        <f>IF($B41="","",COUNTIF(June[Resident Name],$B41))</f>
        <v/>
      </c>
      <c r="I41" s="265" t="str">
        <f>IF($B41="","",COUNTIF(July[Resident Name],$B41))</f>
        <v/>
      </c>
      <c r="J41" s="265" t="str">
        <f>IF($B41="","",COUNTIF(Aug[Resident Name],$B41))</f>
        <v/>
      </c>
      <c r="K41" s="265" t="str">
        <f>IF($B41="","",COUNTIF(Sept[Resident Name],$B41))</f>
        <v/>
      </c>
      <c r="L41" s="265" t="str">
        <f>IF($B41="","",COUNTIF(Oct[Resident Name],$B41))</f>
        <v/>
      </c>
      <c r="M41" s="265" t="str">
        <f>IF($B41="","",COUNTIF(Nov[Resident Name],$B41))</f>
        <v/>
      </c>
      <c r="N41" s="265" t="str">
        <f>IF($B41="","",COUNTIF(Dec[Resident Name],$B41))</f>
        <v/>
      </c>
      <c r="O41" s="265" t="str">
        <f t="shared" si="1"/>
        <v/>
      </c>
      <c r="P41" s="11"/>
      <c r="R41" s="160" t="str">
        <f>IFERROR(INDEX($B$5:$B$172,MATCH(ROWS($R$5:R41),$X$5:$X$172,0)),"")</f>
        <v/>
      </c>
      <c r="S41" s="76" t="str">
        <f>IF($R41="","",INDEX($O$5:$O$172,MATCH(ROWS($R$5:R41),$X$5:$X$172,0)))</f>
        <v/>
      </c>
      <c r="U41" s="160" t="str">
        <f>IFERROR(INDEX($Z$5:$Z$448,MATCH(ROWS($U$5:U41),$AA$5:$AA$448,0)),"")</f>
        <v/>
      </c>
      <c r="V41" s="274" t="str">
        <f>IF(Jan!C40="","",Jan!C40)</f>
        <v/>
      </c>
      <c r="W41" s="274" t="str" cm="1">
        <f t="array" ref="W41">IF(V41="","",IF(COUNTIF($V$5:V41,V41)&gt;1,"",ROUND(1+SUMPRODUCT(($V$5:$V$448&lt;&gt;"")*($V$5:$V$448&lt;V41)/COUNTIF($V$5:$V$448,$V$5:$V$448&amp;"")),0)))</f>
        <v/>
      </c>
      <c r="X41" s="274" t="str">
        <f t="shared" si="2"/>
        <v/>
      </c>
      <c r="Z41" s="274" t="str">
        <f>IF(Jan!H40="Major Injury",Jan!C40,"")</f>
        <v/>
      </c>
      <c r="AA41" s="274" t="str" cm="1">
        <f t="array" ref="AA41">IF(Z41="","",IF(COUNTIF($Z$5:Z41,Z41)&gt;1,"",ROUND(1+SUMPRODUCT(($Z$5:$Z$448&lt;&gt;"")*($Z$5:$Z$448&lt;Z41)/COUNTIF($Z$5:$Z$448,$Z$5:$Z$448&amp;"")),0)))</f>
        <v/>
      </c>
    </row>
    <row r="42" spans="2:27" x14ac:dyDescent="0.25">
      <c r="B42" s="160" t="str">
        <f>IFERROR(INDEX($V$5:$V$448,MATCH(ROWS($B$5:B42),$W$5:$W$448,0)),"")</f>
        <v/>
      </c>
      <c r="C42" s="265" t="str">
        <f>IF($B42="","",COUNTIF(Jan[Resident Name],$B42))</f>
        <v/>
      </c>
      <c r="D42" s="265" t="str">
        <f>IF($B42="","",COUNTIF(Feb[Resident Name],$B42))</f>
        <v/>
      </c>
      <c r="E42" s="265" t="str">
        <f>IF($B42="","",COUNTIF(Mar[Resident Name],$B42))</f>
        <v/>
      </c>
      <c r="F42" s="265" t="str">
        <f>IF($B42="","",COUNTIF(Apr[Resident Name],$B42))</f>
        <v/>
      </c>
      <c r="G42" s="265" t="str">
        <f>IF($B42="","",COUNTIF(May[Resident Name],$B42))</f>
        <v/>
      </c>
      <c r="H42" s="265" t="str">
        <f>IF($B42="","",COUNTIF(June[Resident Name],$B42))</f>
        <v/>
      </c>
      <c r="I42" s="265" t="str">
        <f>IF($B42="","",COUNTIF(July[Resident Name],$B42))</f>
        <v/>
      </c>
      <c r="J42" s="265" t="str">
        <f>IF($B42="","",COUNTIF(Aug[Resident Name],$B42))</f>
        <v/>
      </c>
      <c r="K42" s="265" t="str">
        <f>IF($B42="","",COUNTIF(Sept[Resident Name],$B42))</f>
        <v/>
      </c>
      <c r="L42" s="265" t="str">
        <f>IF($B42="","",COUNTIF(Oct[Resident Name],$B42))</f>
        <v/>
      </c>
      <c r="M42" s="265" t="str">
        <f>IF($B42="","",COUNTIF(Nov[Resident Name],$B42))</f>
        <v/>
      </c>
      <c r="N42" s="265" t="str">
        <f>IF($B42="","",COUNTIF(Dec[Resident Name],$B42))</f>
        <v/>
      </c>
      <c r="O42" s="265" t="str">
        <f t="shared" si="1"/>
        <v/>
      </c>
      <c r="P42" s="11"/>
      <c r="R42" s="160" t="str">
        <f>IFERROR(INDEX($B$5:$B$172,MATCH(ROWS($R$5:R42),$X$5:$X$172,0)),"")</f>
        <v/>
      </c>
      <c r="S42" s="76" t="str">
        <f>IF($R42="","",INDEX($O$5:$O$172,MATCH(ROWS($R$5:R42),$X$5:$X$172,0)))</f>
        <v/>
      </c>
      <c r="U42" s="160" t="str">
        <f>IFERROR(INDEX($Z$5:$Z$448,MATCH(ROWS($U$5:U42),$AA$5:$AA$448,0)),"")</f>
        <v/>
      </c>
      <c r="V42" s="274" t="str">
        <f>IF(Feb!C4="","",Feb!C4)</f>
        <v/>
      </c>
      <c r="W42" s="274" t="str" cm="1">
        <f t="array" ref="W42">IF(V42="","",IF(COUNTIF($V$5:V42,V42)&gt;1,"",ROUND(1+SUMPRODUCT(($V$5:$V$448&lt;&gt;"")*($V$5:$V$448&lt;V42)/COUNTIF($V$5:$V$448,$V$5:$V$448&amp;"")),0)))</f>
        <v/>
      </c>
      <c r="X42" s="274" t="str">
        <f t="shared" si="2"/>
        <v/>
      </c>
      <c r="Z42" s="274" t="str">
        <f>IF(Feb!H4="Major Injury",Feb!C4,"")</f>
        <v/>
      </c>
      <c r="AA42" s="274" t="str" cm="1">
        <f t="array" ref="AA42">IF(Z42="","",IF(COUNTIF($Z$5:Z42,Z42)&gt;1,"",ROUND(1+SUMPRODUCT(($Z$5:$Z$448&lt;&gt;"")*($Z$5:$Z$448&lt;Z42)/COUNTIF($Z$5:$Z$448,$Z$5:$Z$448&amp;"")),0)))</f>
        <v/>
      </c>
    </row>
    <row r="43" spans="2:27" x14ac:dyDescent="0.25">
      <c r="B43" s="160" t="str">
        <f>IFERROR(INDEX($V$5:$V$448,MATCH(ROWS($B$5:B43),$W$5:$W$448,0)),"")</f>
        <v/>
      </c>
      <c r="C43" s="265" t="str">
        <f>IF($B43="","",COUNTIF(Jan[Resident Name],$B43))</f>
        <v/>
      </c>
      <c r="D43" s="265" t="str">
        <f>IF($B43="","",COUNTIF(Feb[Resident Name],$B43))</f>
        <v/>
      </c>
      <c r="E43" s="265" t="str">
        <f>IF($B43="","",COUNTIF(Mar[Resident Name],$B43))</f>
        <v/>
      </c>
      <c r="F43" s="265" t="str">
        <f>IF($B43="","",COUNTIF(Apr[Resident Name],$B43))</f>
        <v/>
      </c>
      <c r="G43" s="265" t="str">
        <f>IF($B43="","",COUNTIF(May[Resident Name],$B43))</f>
        <v/>
      </c>
      <c r="H43" s="265" t="str">
        <f>IF($B43="","",COUNTIF(June[Resident Name],$B43))</f>
        <v/>
      </c>
      <c r="I43" s="265" t="str">
        <f>IF($B43="","",COUNTIF(July[Resident Name],$B43))</f>
        <v/>
      </c>
      <c r="J43" s="265" t="str">
        <f>IF($B43="","",COUNTIF(Aug[Resident Name],$B43))</f>
        <v/>
      </c>
      <c r="K43" s="265" t="str">
        <f>IF($B43="","",COUNTIF(Sept[Resident Name],$B43))</f>
        <v/>
      </c>
      <c r="L43" s="265" t="str">
        <f>IF($B43="","",COUNTIF(Oct[Resident Name],$B43))</f>
        <v/>
      </c>
      <c r="M43" s="265" t="str">
        <f>IF($B43="","",COUNTIF(Nov[Resident Name],$B43))</f>
        <v/>
      </c>
      <c r="N43" s="265" t="str">
        <f>IF($B43="","",COUNTIF(Dec[Resident Name],$B43))</f>
        <v/>
      </c>
      <c r="O43" s="265" t="str">
        <f t="shared" si="1"/>
        <v/>
      </c>
      <c r="P43" s="11"/>
      <c r="R43" s="160" t="str">
        <f>IFERROR(INDEX($B$5:$B$172,MATCH(ROWS($R$5:R43),$X$5:$X$172,0)),"")</f>
        <v/>
      </c>
      <c r="S43" s="76" t="str">
        <f>IF($R43="","",INDEX($O$5:$O$172,MATCH(ROWS($R$5:R43),$X$5:$X$172,0)))</f>
        <v/>
      </c>
      <c r="U43" s="160" t="str">
        <f>IFERROR(INDEX($Z$5:$Z$448,MATCH(ROWS($U$5:U43),$AA$5:$AA$448,0)),"")</f>
        <v/>
      </c>
      <c r="V43" s="274" t="str">
        <f>IF(Feb!C5="","",Feb!C5)</f>
        <v/>
      </c>
      <c r="W43" s="274" t="str" cm="1">
        <f t="array" ref="W43">IF(V43="","",IF(COUNTIF($V$5:V43,V43)&gt;1,"",ROUND(1+SUMPRODUCT(($V$5:$V$448&lt;&gt;"")*($V$5:$V$448&lt;V43)/COUNTIF($V$5:$V$448,$V$5:$V$448&amp;"")),0)))</f>
        <v/>
      </c>
      <c r="X43" s="274" t="str">
        <f t="shared" si="2"/>
        <v/>
      </c>
      <c r="Z43" s="274" t="str">
        <f>IF(Feb!H5="Major Injury",Feb!C5,"")</f>
        <v/>
      </c>
      <c r="AA43" s="274" t="str" cm="1">
        <f t="array" ref="AA43">IF(Z43="","",IF(COUNTIF($Z$5:Z43,Z43)&gt;1,"",ROUND(1+SUMPRODUCT(($Z$5:$Z$448&lt;&gt;"")*($Z$5:$Z$448&lt;Z43)/COUNTIF($Z$5:$Z$448,$Z$5:$Z$448&amp;"")),0)))</f>
        <v/>
      </c>
    </row>
    <row r="44" spans="2:27" x14ac:dyDescent="0.25">
      <c r="B44" s="160" t="str">
        <f>IFERROR(INDEX($V$5:$V$448,MATCH(ROWS($B$5:B44),$W$5:$W$448,0)),"")</f>
        <v/>
      </c>
      <c r="C44" s="265" t="str">
        <f>IF($B44="","",COUNTIF(Jan[Resident Name],$B44))</f>
        <v/>
      </c>
      <c r="D44" s="265" t="str">
        <f>IF($B44="","",COUNTIF(Feb[Resident Name],$B44))</f>
        <v/>
      </c>
      <c r="E44" s="265" t="str">
        <f>IF($B44="","",COUNTIF(Mar[Resident Name],$B44))</f>
        <v/>
      </c>
      <c r="F44" s="265" t="str">
        <f>IF($B44="","",COUNTIF(Apr[Resident Name],$B44))</f>
        <v/>
      </c>
      <c r="G44" s="265" t="str">
        <f>IF($B44="","",COUNTIF(May[Resident Name],$B44))</f>
        <v/>
      </c>
      <c r="H44" s="265" t="str">
        <f>IF($B44="","",COUNTIF(June[Resident Name],$B44))</f>
        <v/>
      </c>
      <c r="I44" s="265" t="str">
        <f>IF($B44="","",COUNTIF(July[Resident Name],$B44))</f>
        <v/>
      </c>
      <c r="J44" s="265" t="str">
        <f>IF($B44="","",COUNTIF(Aug[Resident Name],$B44))</f>
        <v/>
      </c>
      <c r="K44" s="265" t="str">
        <f>IF($B44="","",COUNTIF(Sept[Resident Name],$B44))</f>
        <v/>
      </c>
      <c r="L44" s="265" t="str">
        <f>IF($B44="","",COUNTIF(Oct[Resident Name],$B44))</f>
        <v/>
      </c>
      <c r="M44" s="265" t="str">
        <f>IF($B44="","",COUNTIF(Nov[Resident Name],$B44))</f>
        <v/>
      </c>
      <c r="N44" s="265" t="str">
        <f>IF($B44="","",COUNTIF(Dec[Resident Name],$B44))</f>
        <v/>
      </c>
      <c r="O44" s="265" t="str">
        <f t="shared" si="1"/>
        <v/>
      </c>
      <c r="P44" s="11"/>
      <c r="R44" s="160" t="str">
        <f>IFERROR(INDEX($B$5:$B$172,MATCH(ROWS($R$5:R44),$X$5:$X$172,0)),"")</f>
        <v/>
      </c>
      <c r="S44" s="76" t="str">
        <f>IF($R44="","",INDEX($O$5:$O$172,MATCH(ROWS($R$5:R44),$X$5:$X$172,0)))</f>
        <v/>
      </c>
      <c r="U44" s="160" t="str">
        <f>IFERROR(INDEX($Z$5:$Z$448,MATCH(ROWS($U$5:U44),$AA$5:$AA$448,0)),"")</f>
        <v/>
      </c>
      <c r="V44" s="274" t="str">
        <f>IF(Feb!C6="","",Feb!C6)</f>
        <v/>
      </c>
      <c r="W44" s="274" t="str" cm="1">
        <f t="array" ref="W44">IF(V44="","",IF(COUNTIF($V$5:V44,V44)&gt;1,"",ROUND(1+SUMPRODUCT(($V$5:$V$448&lt;&gt;"")*($V$5:$V$448&lt;V44)/COUNTIF($V$5:$V$448,$V$5:$V$448&amp;"")),0)))</f>
        <v/>
      </c>
      <c r="X44" s="274" t="str">
        <f t="shared" si="2"/>
        <v/>
      </c>
      <c r="Z44" s="274" t="str">
        <f>IF(Feb!H6="Major Injury",Feb!C6,"")</f>
        <v/>
      </c>
      <c r="AA44" s="274" t="str" cm="1">
        <f t="array" ref="AA44">IF(Z44="","",IF(COUNTIF($Z$5:Z44,Z44)&gt;1,"",ROUND(1+SUMPRODUCT(($Z$5:$Z$448&lt;&gt;"")*($Z$5:$Z$448&lt;Z44)/COUNTIF($Z$5:$Z$448,$Z$5:$Z$448&amp;"")),0)))</f>
        <v/>
      </c>
    </row>
    <row r="45" spans="2:27" x14ac:dyDescent="0.25">
      <c r="B45" s="160" t="str">
        <f>IFERROR(INDEX($V$5:$V$448,MATCH(ROWS($B$5:B45),$W$5:$W$448,0)),"")</f>
        <v/>
      </c>
      <c r="C45" s="265" t="str">
        <f>IF($B45="","",COUNTIF(Jan[Resident Name],$B45))</f>
        <v/>
      </c>
      <c r="D45" s="265" t="str">
        <f>IF($B45="","",COUNTIF(Feb[Resident Name],$B45))</f>
        <v/>
      </c>
      <c r="E45" s="265" t="str">
        <f>IF($B45="","",COUNTIF(Mar[Resident Name],$B45))</f>
        <v/>
      </c>
      <c r="F45" s="265" t="str">
        <f>IF($B45="","",COUNTIF(Apr[Resident Name],$B45))</f>
        <v/>
      </c>
      <c r="G45" s="265" t="str">
        <f>IF($B45="","",COUNTIF(May[Resident Name],$B45))</f>
        <v/>
      </c>
      <c r="H45" s="265" t="str">
        <f>IF($B45="","",COUNTIF(June[Resident Name],$B45))</f>
        <v/>
      </c>
      <c r="I45" s="265" t="str">
        <f>IF($B45="","",COUNTIF(July[Resident Name],$B45))</f>
        <v/>
      </c>
      <c r="J45" s="265" t="str">
        <f>IF($B45="","",COUNTIF(Aug[Resident Name],$B45))</f>
        <v/>
      </c>
      <c r="K45" s="265" t="str">
        <f>IF($B45="","",COUNTIF(Sept[Resident Name],$B45))</f>
        <v/>
      </c>
      <c r="L45" s="265" t="str">
        <f>IF($B45="","",COUNTIF(Oct[Resident Name],$B45))</f>
        <v/>
      </c>
      <c r="M45" s="265" t="str">
        <f>IF($B45="","",COUNTIF(Nov[Resident Name],$B45))</f>
        <v/>
      </c>
      <c r="N45" s="265" t="str">
        <f>IF($B45="","",COUNTIF(Dec[Resident Name],$B45))</f>
        <v/>
      </c>
      <c r="O45" s="265" t="str">
        <f t="shared" si="1"/>
        <v/>
      </c>
      <c r="P45" s="11"/>
      <c r="R45" s="160" t="str">
        <f>IFERROR(INDEX($B$5:$B$172,MATCH(ROWS($R$5:R45),$X$5:$X$172,0)),"")</f>
        <v/>
      </c>
      <c r="S45" s="76" t="str">
        <f>IF($R45="","",INDEX($O$5:$O$172,MATCH(ROWS($R$5:R45),$X$5:$X$172,0)))</f>
        <v/>
      </c>
      <c r="U45" s="160" t="str">
        <f>IFERROR(INDEX($Z$5:$Z$448,MATCH(ROWS($U$5:U45),$AA$5:$AA$448,0)),"")</f>
        <v/>
      </c>
      <c r="V45" s="274" t="str">
        <f>IF(Feb!C7="","",Feb!C7)</f>
        <v/>
      </c>
      <c r="W45" s="274" t="str" cm="1">
        <f t="array" ref="W45">IF(V45="","",IF(COUNTIF($V$5:V45,V45)&gt;1,"",ROUND(1+SUMPRODUCT(($V$5:$V$448&lt;&gt;"")*($V$5:$V$448&lt;V45)/COUNTIF($V$5:$V$448,$V$5:$V$448&amp;"")),0)))</f>
        <v/>
      </c>
      <c r="X45" s="274" t="str">
        <f t="shared" si="2"/>
        <v/>
      </c>
      <c r="Z45" s="274" t="str">
        <f>IF(Feb!H7="Major Injury",Feb!C7,"")</f>
        <v/>
      </c>
      <c r="AA45" s="274" t="str" cm="1">
        <f t="array" ref="AA45">IF(Z45="","",IF(COUNTIF($Z$5:Z45,Z45)&gt;1,"",ROUND(1+SUMPRODUCT(($Z$5:$Z$448&lt;&gt;"")*($Z$5:$Z$448&lt;Z45)/COUNTIF($Z$5:$Z$448,$Z$5:$Z$448&amp;"")),0)))</f>
        <v/>
      </c>
    </row>
    <row r="46" spans="2:27" x14ac:dyDescent="0.25">
      <c r="B46" s="160" t="str">
        <f>IFERROR(INDEX($V$5:$V$448,MATCH(ROWS($B$5:B46),$W$5:$W$448,0)),"")</f>
        <v/>
      </c>
      <c r="C46" s="265" t="str">
        <f>IF($B46="","",COUNTIF(Jan[Resident Name],$B46))</f>
        <v/>
      </c>
      <c r="D46" s="265" t="str">
        <f>IF($B46="","",COUNTIF(Feb[Resident Name],$B46))</f>
        <v/>
      </c>
      <c r="E46" s="265" t="str">
        <f>IF($B46="","",COUNTIF(Mar[Resident Name],$B46))</f>
        <v/>
      </c>
      <c r="F46" s="265" t="str">
        <f>IF($B46="","",COUNTIF(Apr[Resident Name],$B46))</f>
        <v/>
      </c>
      <c r="G46" s="265" t="str">
        <f>IF($B46="","",COUNTIF(May[Resident Name],$B46))</f>
        <v/>
      </c>
      <c r="H46" s="265" t="str">
        <f>IF($B46="","",COUNTIF(June[Resident Name],$B46))</f>
        <v/>
      </c>
      <c r="I46" s="265" t="str">
        <f>IF($B46="","",COUNTIF(July[Resident Name],$B46))</f>
        <v/>
      </c>
      <c r="J46" s="265" t="str">
        <f>IF($B46="","",COUNTIF(Aug[Resident Name],$B46))</f>
        <v/>
      </c>
      <c r="K46" s="265" t="str">
        <f>IF($B46="","",COUNTIF(Sept[Resident Name],$B46))</f>
        <v/>
      </c>
      <c r="L46" s="265" t="str">
        <f>IF($B46="","",COUNTIF(Oct[Resident Name],$B46))</f>
        <v/>
      </c>
      <c r="M46" s="265" t="str">
        <f>IF($B46="","",COUNTIF(Nov[Resident Name],$B46))</f>
        <v/>
      </c>
      <c r="N46" s="265" t="str">
        <f>IF($B46="","",COUNTIF(Dec[Resident Name],$B46))</f>
        <v/>
      </c>
      <c r="O46" s="265" t="str">
        <f t="shared" si="1"/>
        <v/>
      </c>
      <c r="P46" s="11"/>
      <c r="R46" s="160" t="str">
        <f>IFERROR(INDEX($B$5:$B$172,MATCH(ROWS($R$5:R46),$X$5:$X$172,0)),"")</f>
        <v/>
      </c>
      <c r="S46" s="76" t="str">
        <f>IF($R46="","",INDEX($O$5:$O$172,MATCH(ROWS($R$5:R46),$X$5:$X$172,0)))</f>
        <v/>
      </c>
      <c r="U46" s="160" t="str">
        <f>IFERROR(INDEX($Z$5:$Z$448,MATCH(ROWS($U$5:U46),$AA$5:$AA$448,0)),"")</f>
        <v/>
      </c>
      <c r="V46" s="274" t="str">
        <f>IF(Feb!C8="","",Feb!C8)</f>
        <v/>
      </c>
      <c r="W46" s="274" t="str" cm="1">
        <f t="array" ref="W46">IF(V46="","",IF(COUNTIF($V$5:V46,V46)&gt;1,"",ROUND(1+SUMPRODUCT(($V$5:$V$448&lt;&gt;"")*($V$5:$V$448&lt;V46)/COUNTIF($V$5:$V$448,$V$5:$V$448&amp;"")),0)))</f>
        <v/>
      </c>
      <c r="X46" s="274" t="str">
        <f t="shared" si="2"/>
        <v/>
      </c>
      <c r="Z46" s="274" t="str">
        <f>IF(Feb!H8="Major Injury",Feb!C8,"")</f>
        <v/>
      </c>
      <c r="AA46" s="274" t="str" cm="1">
        <f t="array" ref="AA46">IF(Z46="","",IF(COUNTIF($Z$5:Z46,Z46)&gt;1,"",ROUND(1+SUMPRODUCT(($Z$5:$Z$448&lt;&gt;"")*($Z$5:$Z$448&lt;Z46)/COUNTIF($Z$5:$Z$448,$Z$5:$Z$448&amp;"")),0)))</f>
        <v/>
      </c>
    </row>
    <row r="47" spans="2:27" x14ac:dyDescent="0.25">
      <c r="B47" s="160" t="str">
        <f>IFERROR(INDEX($V$5:$V$448,MATCH(ROWS($B$5:B47),$W$5:$W$448,0)),"")</f>
        <v/>
      </c>
      <c r="C47" s="265" t="str">
        <f>IF($B47="","",COUNTIF(Jan[Resident Name],$B47))</f>
        <v/>
      </c>
      <c r="D47" s="265" t="str">
        <f>IF($B47="","",COUNTIF(Feb[Resident Name],$B47))</f>
        <v/>
      </c>
      <c r="E47" s="265" t="str">
        <f>IF($B47="","",COUNTIF(Mar[Resident Name],$B47))</f>
        <v/>
      </c>
      <c r="F47" s="265" t="str">
        <f>IF($B47="","",COUNTIF(Apr[Resident Name],$B47))</f>
        <v/>
      </c>
      <c r="G47" s="265" t="str">
        <f>IF($B47="","",COUNTIF(May[Resident Name],$B47))</f>
        <v/>
      </c>
      <c r="H47" s="265" t="str">
        <f>IF($B47="","",COUNTIF(June[Resident Name],$B47))</f>
        <v/>
      </c>
      <c r="I47" s="265" t="str">
        <f>IF($B47="","",COUNTIF(July[Resident Name],$B47))</f>
        <v/>
      </c>
      <c r="J47" s="265" t="str">
        <f>IF($B47="","",COUNTIF(Aug[Resident Name],$B47))</f>
        <v/>
      </c>
      <c r="K47" s="265" t="str">
        <f>IF($B47="","",COUNTIF(Sept[Resident Name],$B47))</f>
        <v/>
      </c>
      <c r="L47" s="265" t="str">
        <f>IF($B47="","",COUNTIF(Oct[Resident Name],$B47))</f>
        <v/>
      </c>
      <c r="M47" s="265" t="str">
        <f>IF($B47="","",COUNTIF(Nov[Resident Name],$B47))</f>
        <v/>
      </c>
      <c r="N47" s="265" t="str">
        <f>IF($B47="","",COUNTIF(Dec[Resident Name],$B47))</f>
        <v/>
      </c>
      <c r="O47" s="265" t="str">
        <f t="shared" si="1"/>
        <v/>
      </c>
      <c r="P47" s="11"/>
      <c r="R47" s="160" t="str">
        <f>IFERROR(INDEX($B$5:$B$172,MATCH(ROWS($R$5:R47),$X$5:$X$172,0)),"")</f>
        <v/>
      </c>
      <c r="S47" s="76" t="str">
        <f>IF($R47="","",INDEX($O$5:$O$172,MATCH(ROWS($R$5:R47),$X$5:$X$172,0)))</f>
        <v/>
      </c>
      <c r="U47" s="160" t="str">
        <f>IFERROR(INDEX($Z$5:$Z$448,MATCH(ROWS($U$5:U47),$AA$5:$AA$448,0)),"")</f>
        <v/>
      </c>
      <c r="V47" s="274" t="str">
        <f>IF(Feb!C9="","",Feb!C9)</f>
        <v/>
      </c>
      <c r="W47" s="274" t="str" cm="1">
        <f t="array" ref="W47">IF(V47="","",IF(COUNTIF($V$5:V47,V47)&gt;1,"",ROUND(1+SUMPRODUCT(($V$5:$V$448&lt;&gt;"")*($V$5:$V$448&lt;V47)/COUNTIF($V$5:$V$448,$V$5:$V$448&amp;"")),0)))</f>
        <v/>
      </c>
      <c r="X47" s="274" t="str">
        <f t="shared" si="2"/>
        <v/>
      </c>
      <c r="Z47" s="274" t="str">
        <f>IF(Feb!H9="Major Injury",Feb!C9,"")</f>
        <v/>
      </c>
      <c r="AA47" s="274" t="str" cm="1">
        <f t="array" ref="AA47">IF(Z47="","",IF(COUNTIF($Z$5:Z47,Z47)&gt;1,"",ROUND(1+SUMPRODUCT(($Z$5:$Z$448&lt;&gt;"")*($Z$5:$Z$448&lt;Z47)/COUNTIF($Z$5:$Z$448,$Z$5:$Z$448&amp;"")),0)))</f>
        <v/>
      </c>
    </row>
    <row r="48" spans="2:27" x14ac:dyDescent="0.25">
      <c r="B48" s="160" t="str">
        <f>IFERROR(INDEX($V$5:$V$448,MATCH(ROWS($B$5:B48),$W$5:$W$448,0)),"")</f>
        <v/>
      </c>
      <c r="C48" s="265" t="str">
        <f>IF($B48="","",COUNTIF(Jan[Resident Name],$B48))</f>
        <v/>
      </c>
      <c r="D48" s="265" t="str">
        <f>IF($B48="","",COUNTIF(Feb[Resident Name],$B48))</f>
        <v/>
      </c>
      <c r="E48" s="265" t="str">
        <f>IF($B48="","",COUNTIF(Mar[Resident Name],$B48))</f>
        <v/>
      </c>
      <c r="F48" s="265" t="str">
        <f>IF($B48="","",COUNTIF(Apr[Resident Name],$B48))</f>
        <v/>
      </c>
      <c r="G48" s="265" t="str">
        <f>IF($B48="","",COUNTIF(May[Resident Name],$B48))</f>
        <v/>
      </c>
      <c r="H48" s="265" t="str">
        <f>IF($B48="","",COUNTIF(June[Resident Name],$B48))</f>
        <v/>
      </c>
      <c r="I48" s="265" t="str">
        <f>IF($B48="","",COUNTIF(July[Resident Name],$B48))</f>
        <v/>
      </c>
      <c r="J48" s="265" t="str">
        <f>IF($B48="","",COUNTIF(Aug[Resident Name],$B48))</f>
        <v/>
      </c>
      <c r="K48" s="265" t="str">
        <f>IF($B48="","",COUNTIF(Sept[Resident Name],$B48))</f>
        <v/>
      </c>
      <c r="L48" s="265" t="str">
        <f>IF($B48="","",COUNTIF(Oct[Resident Name],$B48))</f>
        <v/>
      </c>
      <c r="M48" s="265" t="str">
        <f>IF($B48="","",COUNTIF(Nov[Resident Name],$B48))</f>
        <v/>
      </c>
      <c r="N48" s="265" t="str">
        <f>IF($B48="","",COUNTIF(Dec[Resident Name],$B48))</f>
        <v/>
      </c>
      <c r="O48" s="265" t="str">
        <f t="shared" si="1"/>
        <v/>
      </c>
      <c r="P48" s="11"/>
      <c r="R48" s="160" t="str">
        <f>IFERROR(INDEX($B$5:$B$172,MATCH(ROWS($R$5:R48),$X$5:$X$172,0)),"")</f>
        <v/>
      </c>
      <c r="S48" s="76" t="str">
        <f>IF($R48="","",INDEX($O$5:$O$172,MATCH(ROWS($R$5:R48),$X$5:$X$172,0)))</f>
        <v/>
      </c>
      <c r="U48" s="160" t="str">
        <f>IFERROR(INDEX($Z$5:$Z$448,MATCH(ROWS($U$5:U48),$AA$5:$AA$448,0)),"")</f>
        <v/>
      </c>
      <c r="V48" s="274" t="str">
        <f>IF(Feb!C10="","",Feb!C10)</f>
        <v/>
      </c>
      <c r="W48" s="274" t="str" cm="1">
        <f t="array" ref="W48">IF(V48="","",IF(COUNTIF($V$5:V48,V48)&gt;1,"",ROUND(1+SUMPRODUCT(($V$5:$V$448&lt;&gt;"")*($V$5:$V$448&lt;V48)/COUNTIF($V$5:$V$448,$V$5:$V$448&amp;"")),0)))</f>
        <v/>
      </c>
      <c r="X48" s="274" t="str">
        <f t="shared" si="2"/>
        <v/>
      </c>
      <c r="Z48" s="274" t="str">
        <f>IF(Feb!H10="Major Injury",Feb!C10,"")</f>
        <v/>
      </c>
      <c r="AA48" s="274" t="str" cm="1">
        <f t="array" ref="AA48">IF(Z48="","",IF(COUNTIF($Z$5:Z48,Z48)&gt;1,"",ROUND(1+SUMPRODUCT(($Z$5:$Z$448&lt;&gt;"")*($Z$5:$Z$448&lt;Z48)/COUNTIF($Z$5:$Z$448,$Z$5:$Z$448&amp;"")),0)))</f>
        <v/>
      </c>
    </row>
    <row r="49" spans="2:27" x14ac:dyDescent="0.25">
      <c r="B49" s="160" t="str">
        <f>IFERROR(INDEX($V$5:$V$448,MATCH(ROWS($B$5:B49),$W$5:$W$448,0)),"")</f>
        <v/>
      </c>
      <c r="C49" s="265" t="str">
        <f>IF($B49="","",COUNTIF(Jan[Resident Name],$B49))</f>
        <v/>
      </c>
      <c r="D49" s="265" t="str">
        <f>IF($B49="","",COUNTIF(Feb[Resident Name],$B49))</f>
        <v/>
      </c>
      <c r="E49" s="265" t="str">
        <f>IF($B49="","",COUNTIF(Mar[Resident Name],$B49))</f>
        <v/>
      </c>
      <c r="F49" s="265" t="str">
        <f>IF($B49="","",COUNTIF(Apr[Resident Name],$B49))</f>
        <v/>
      </c>
      <c r="G49" s="265" t="str">
        <f>IF($B49="","",COUNTIF(May[Resident Name],$B49))</f>
        <v/>
      </c>
      <c r="H49" s="265" t="str">
        <f>IF($B49="","",COUNTIF(June[Resident Name],$B49))</f>
        <v/>
      </c>
      <c r="I49" s="265" t="str">
        <f>IF($B49="","",COUNTIF(July[Resident Name],$B49))</f>
        <v/>
      </c>
      <c r="J49" s="265" t="str">
        <f>IF($B49="","",COUNTIF(Aug[Resident Name],$B49))</f>
        <v/>
      </c>
      <c r="K49" s="265" t="str">
        <f>IF($B49="","",COUNTIF(Sept[Resident Name],$B49))</f>
        <v/>
      </c>
      <c r="L49" s="265" t="str">
        <f>IF($B49="","",COUNTIF(Oct[Resident Name],$B49))</f>
        <v/>
      </c>
      <c r="M49" s="265" t="str">
        <f>IF($B49="","",COUNTIF(Nov[Resident Name],$B49))</f>
        <v/>
      </c>
      <c r="N49" s="265" t="str">
        <f>IF($B49="","",COUNTIF(Dec[Resident Name],$B49))</f>
        <v/>
      </c>
      <c r="O49" s="265" t="str">
        <f t="shared" si="1"/>
        <v/>
      </c>
      <c r="P49" s="11"/>
      <c r="R49" s="160" t="str">
        <f>IFERROR(INDEX($B$5:$B$172,MATCH(ROWS($R$5:R49),$X$5:$X$172,0)),"")</f>
        <v/>
      </c>
      <c r="S49" s="76" t="str">
        <f>IF($R49="","",INDEX($O$5:$O$172,MATCH(ROWS($R$5:R49),$X$5:$X$172,0)))</f>
        <v/>
      </c>
      <c r="U49" s="160" t="str">
        <f>IFERROR(INDEX($Z$5:$Z$448,MATCH(ROWS($U$5:U49),$AA$5:$AA$448,0)),"")</f>
        <v/>
      </c>
      <c r="V49" s="274" t="str">
        <f>IF(Feb!C11="","",Feb!C11)</f>
        <v/>
      </c>
      <c r="W49" s="274" t="str" cm="1">
        <f t="array" ref="W49">IF(V49="","",IF(COUNTIF($V$5:V49,V49)&gt;1,"",ROUND(1+SUMPRODUCT(($V$5:$V$448&lt;&gt;"")*($V$5:$V$448&lt;V49)/COUNTIF($V$5:$V$448,$V$5:$V$448&amp;"")),0)))</f>
        <v/>
      </c>
      <c r="X49" s="274" t="str">
        <f t="shared" si="2"/>
        <v/>
      </c>
      <c r="Z49" s="274" t="str">
        <f>IF(Feb!H11="Major Injury",Feb!C11,"")</f>
        <v/>
      </c>
      <c r="AA49" s="274" t="str" cm="1">
        <f t="array" ref="AA49">IF(Z49="","",IF(COUNTIF($Z$5:Z49,Z49)&gt;1,"",ROUND(1+SUMPRODUCT(($Z$5:$Z$448&lt;&gt;"")*($Z$5:$Z$448&lt;Z49)/COUNTIF($Z$5:$Z$448,$Z$5:$Z$448&amp;"")),0)))</f>
        <v/>
      </c>
    </row>
    <row r="50" spans="2:27" x14ac:dyDescent="0.25">
      <c r="B50" s="160" t="str">
        <f>IFERROR(INDEX($V$5:$V$448,MATCH(ROWS($B$5:B50),$W$5:$W$448,0)),"")</f>
        <v/>
      </c>
      <c r="C50" s="265" t="str">
        <f>IF($B50="","",COUNTIF(Jan[Resident Name],$B50))</f>
        <v/>
      </c>
      <c r="D50" s="265" t="str">
        <f>IF($B50="","",COUNTIF(Feb[Resident Name],$B50))</f>
        <v/>
      </c>
      <c r="E50" s="265" t="str">
        <f>IF($B50="","",COUNTIF(Mar[Resident Name],$B50))</f>
        <v/>
      </c>
      <c r="F50" s="265" t="str">
        <f>IF($B50="","",COUNTIF(Apr[Resident Name],$B50))</f>
        <v/>
      </c>
      <c r="G50" s="265" t="str">
        <f>IF($B50="","",COUNTIF(May[Resident Name],$B50))</f>
        <v/>
      </c>
      <c r="H50" s="265" t="str">
        <f>IF($B50="","",COUNTIF(June[Resident Name],$B50))</f>
        <v/>
      </c>
      <c r="I50" s="265" t="str">
        <f>IF($B50="","",COUNTIF(July[Resident Name],$B50))</f>
        <v/>
      </c>
      <c r="J50" s="265" t="str">
        <f>IF($B50="","",COUNTIF(Aug[Resident Name],$B50))</f>
        <v/>
      </c>
      <c r="K50" s="265" t="str">
        <f>IF($B50="","",COUNTIF(Sept[Resident Name],$B50))</f>
        <v/>
      </c>
      <c r="L50" s="265" t="str">
        <f>IF($B50="","",COUNTIF(Oct[Resident Name],$B50))</f>
        <v/>
      </c>
      <c r="M50" s="265" t="str">
        <f>IF($B50="","",COUNTIF(Nov[Resident Name],$B50))</f>
        <v/>
      </c>
      <c r="N50" s="265" t="str">
        <f>IF($B50="","",COUNTIF(Dec[Resident Name],$B50))</f>
        <v/>
      </c>
      <c r="O50" s="265" t="str">
        <f t="shared" si="1"/>
        <v/>
      </c>
      <c r="P50" s="11"/>
      <c r="R50" s="160" t="str">
        <f>IFERROR(INDEX($B$5:$B$172,MATCH(ROWS($R$5:R50),$X$5:$X$172,0)),"")</f>
        <v/>
      </c>
      <c r="S50" s="76" t="str">
        <f>IF($R50="","",INDEX($O$5:$O$172,MATCH(ROWS($R$5:R50),$X$5:$X$172,0)))</f>
        <v/>
      </c>
      <c r="U50" s="160" t="str">
        <f>IFERROR(INDEX($Z$5:$Z$448,MATCH(ROWS($U$5:U50),$AA$5:$AA$448,0)),"")</f>
        <v/>
      </c>
      <c r="V50" s="274" t="str">
        <f>IF(Feb!C12="","",Feb!C12)</f>
        <v/>
      </c>
      <c r="W50" s="274" t="str" cm="1">
        <f t="array" ref="W50">IF(V50="","",IF(COUNTIF($V$5:V50,V50)&gt;1,"",ROUND(1+SUMPRODUCT(($V$5:$V$448&lt;&gt;"")*($V$5:$V$448&lt;V50)/COUNTIF($V$5:$V$448,$V$5:$V$448&amp;"")),0)))</f>
        <v/>
      </c>
      <c r="X50" s="274" t="str">
        <f t="shared" si="2"/>
        <v/>
      </c>
      <c r="Z50" s="274" t="str">
        <f>IF(Feb!H12="Major Injury",Feb!C12,"")</f>
        <v/>
      </c>
      <c r="AA50" s="274" t="str" cm="1">
        <f t="array" ref="AA50">IF(Z50="","",IF(COUNTIF($Z$5:Z50,Z50)&gt;1,"",ROUND(1+SUMPRODUCT(($Z$5:$Z$448&lt;&gt;"")*($Z$5:$Z$448&lt;Z50)/COUNTIF($Z$5:$Z$448,$Z$5:$Z$448&amp;"")),0)))</f>
        <v/>
      </c>
    </row>
    <row r="51" spans="2:27" x14ac:dyDescent="0.25">
      <c r="B51" s="160" t="str">
        <f>IFERROR(INDEX($V$5:$V$448,MATCH(ROWS($B$5:B51),$W$5:$W$448,0)),"")</f>
        <v/>
      </c>
      <c r="C51" s="265" t="str">
        <f>IF($B51="","",COUNTIF(Jan[Resident Name],$B51))</f>
        <v/>
      </c>
      <c r="D51" s="265" t="str">
        <f>IF($B51="","",COUNTIF(Feb[Resident Name],$B51))</f>
        <v/>
      </c>
      <c r="E51" s="265" t="str">
        <f>IF($B51="","",COUNTIF(Mar[Resident Name],$B51))</f>
        <v/>
      </c>
      <c r="F51" s="265" t="str">
        <f>IF($B51="","",COUNTIF(Apr[Resident Name],$B51))</f>
        <v/>
      </c>
      <c r="G51" s="265" t="str">
        <f>IF($B51="","",COUNTIF(May[Resident Name],$B51))</f>
        <v/>
      </c>
      <c r="H51" s="265" t="str">
        <f>IF($B51="","",COUNTIF(June[Resident Name],$B51))</f>
        <v/>
      </c>
      <c r="I51" s="265" t="str">
        <f>IF($B51="","",COUNTIF(July[Resident Name],$B51))</f>
        <v/>
      </c>
      <c r="J51" s="265" t="str">
        <f>IF($B51="","",COUNTIF(Aug[Resident Name],$B51))</f>
        <v/>
      </c>
      <c r="K51" s="265" t="str">
        <f>IF($B51="","",COUNTIF(Sept[Resident Name],$B51))</f>
        <v/>
      </c>
      <c r="L51" s="265" t="str">
        <f>IF($B51="","",COUNTIF(Oct[Resident Name],$B51))</f>
        <v/>
      </c>
      <c r="M51" s="265" t="str">
        <f>IF($B51="","",COUNTIF(Nov[Resident Name],$B51))</f>
        <v/>
      </c>
      <c r="N51" s="265" t="str">
        <f>IF($B51="","",COUNTIF(Dec[Resident Name],$B51))</f>
        <v/>
      </c>
      <c r="O51" s="265" t="str">
        <f t="shared" si="1"/>
        <v/>
      </c>
      <c r="P51" s="11"/>
      <c r="R51" s="160" t="str">
        <f>IFERROR(INDEX($B$5:$B$172,MATCH(ROWS($R$5:R51),$X$5:$X$172,0)),"")</f>
        <v/>
      </c>
      <c r="S51" s="76" t="str">
        <f>IF($R51="","",INDEX($O$5:$O$172,MATCH(ROWS($R$5:R51),$X$5:$X$172,0)))</f>
        <v/>
      </c>
      <c r="U51" s="160" t="str">
        <f>IFERROR(INDEX($Z$5:$Z$448,MATCH(ROWS($U$5:U51),$AA$5:$AA$448,0)),"")</f>
        <v/>
      </c>
      <c r="V51" s="274" t="str">
        <f>IF(Feb!C13="","",Feb!C13)</f>
        <v/>
      </c>
      <c r="W51" s="274" t="str" cm="1">
        <f t="array" ref="W51">IF(V51="","",IF(COUNTIF($V$5:V51,V51)&gt;1,"",ROUND(1+SUMPRODUCT(($V$5:$V$448&lt;&gt;"")*($V$5:$V$448&lt;V51)/COUNTIF($V$5:$V$448,$V$5:$V$448&amp;"")),0)))</f>
        <v/>
      </c>
      <c r="X51" s="274" t="str">
        <f t="shared" si="2"/>
        <v/>
      </c>
      <c r="Z51" s="274" t="str">
        <f>IF(Feb!H13="Major Injury",Feb!C13,"")</f>
        <v/>
      </c>
      <c r="AA51" s="274" t="str" cm="1">
        <f t="array" ref="AA51">IF(Z51="","",IF(COUNTIF($Z$5:Z51,Z51)&gt;1,"",ROUND(1+SUMPRODUCT(($Z$5:$Z$448&lt;&gt;"")*($Z$5:$Z$448&lt;Z51)/COUNTIF($Z$5:$Z$448,$Z$5:$Z$448&amp;"")),0)))</f>
        <v/>
      </c>
    </row>
    <row r="52" spans="2:27" x14ac:dyDescent="0.25">
      <c r="B52" s="160" t="str">
        <f>IFERROR(INDEX($V$5:$V$448,MATCH(ROWS($B$5:B52),$W$5:$W$448,0)),"")</f>
        <v/>
      </c>
      <c r="C52" s="265" t="str">
        <f>IF($B52="","",COUNTIF(Jan[Resident Name],$B52))</f>
        <v/>
      </c>
      <c r="D52" s="265" t="str">
        <f>IF($B52="","",COUNTIF(Feb[Resident Name],$B52))</f>
        <v/>
      </c>
      <c r="E52" s="265" t="str">
        <f>IF($B52="","",COUNTIF(Mar[Resident Name],$B52))</f>
        <v/>
      </c>
      <c r="F52" s="265" t="str">
        <f>IF($B52="","",COUNTIF(Apr[Resident Name],$B52))</f>
        <v/>
      </c>
      <c r="G52" s="265" t="str">
        <f>IF($B52="","",COUNTIF(May[Resident Name],$B52))</f>
        <v/>
      </c>
      <c r="H52" s="265" t="str">
        <f>IF($B52="","",COUNTIF(June[Resident Name],$B52))</f>
        <v/>
      </c>
      <c r="I52" s="265" t="str">
        <f>IF($B52="","",COUNTIF(July[Resident Name],$B52))</f>
        <v/>
      </c>
      <c r="J52" s="265" t="str">
        <f>IF($B52="","",COUNTIF(Aug[Resident Name],$B52))</f>
        <v/>
      </c>
      <c r="K52" s="265" t="str">
        <f>IF($B52="","",COUNTIF(Sept[Resident Name],$B52))</f>
        <v/>
      </c>
      <c r="L52" s="265" t="str">
        <f>IF($B52="","",COUNTIF(Oct[Resident Name],$B52))</f>
        <v/>
      </c>
      <c r="M52" s="265" t="str">
        <f>IF($B52="","",COUNTIF(Nov[Resident Name],$B52))</f>
        <v/>
      </c>
      <c r="N52" s="265" t="str">
        <f>IF($B52="","",COUNTIF(Dec[Resident Name],$B52))</f>
        <v/>
      </c>
      <c r="O52" s="265" t="str">
        <f t="shared" si="1"/>
        <v/>
      </c>
      <c r="P52" s="11"/>
      <c r="R52" s="160" t="str">
        <f>IFERROR(INDEX($B$5:$B$172,MATCH(ROWS($R$5:R52),$X$5:$X$172,0)),"")</f>
        <v/>
      </c>
      <c r="S52" s="76" t="str">
        <f>IF($R52="","",INDEX($O$5:$O$172,MATCH(ROWS($R$5:R52),$X$5:$X$172,0)))</f>
        <v/>
      </c>
      <c r="U52" s="160" t="str">
        <f>IFERROR(INDEX($Z$5:$Z$448,MATCH(ROWS($U$5:U52),$AA$5:$AA$448,0)),"")</f>
        <v/>
      </c>
      <c r="V52" s="274" t="str">
        <f>IF(Feb!C14="","",Feb!C14)</f>
        <v/>
      </c>
      <c r="W52" s="274" t="str" cm="1">
        <f t="array" ref="W52">IF(V52="","",IF(COUNTIF($V$5:V52,V52)&gt;1,"",ROUND(1+SUMPRODUCT(($V$5:$V$448&lt;&gt;"")*($V$5:$V$448&lt;V52)/COUNTIF($V$5:$V$448,$V$5:$V$448&amp;"")),0)))</f>
        <v/>
      </c>
      <c r="X52" s="274" t="str">
        <f t="shared" si="2"/>
        <v/>
      </c>
      <c r="Z52" s="274" t="str">
        <f>IF(Feb!H14="Major Injury",Feb!C14,"")</f>
        <v/>
      </c>
      <c r="AA52" s="274" t="str" cm="1">
        <f t="array" ref="AA52">IF(Z52="","",IF(COUNTIF($Z$5:Z52,Z52)&gt;1,"",ROUND(1+SUMPRODUCT(($Z$5:$Z$448&lt;&gt;"")*($Z$5:$Z$448&lt;Z52)/COUNTIF($Z$5:$Z$448,$Z$5:$Z$448&amp;"")),0)))</f>
        <v/>
      </c>
    </row>
    <row r="53" spans="2:27" x14ac:dyDescent="0.25">
      <c r="B53" s="160" t="str">
        <f>IFERROR(INDEX($V$5:$V$448,MATCH(ROWS($B$5:B53),$W$5:$W$448,0)),"")</f>
        <v/>
      </c>
      <c r="C53" s="265" t="str">
        <f>IF($B53="","",COUNTIF(Jan[Resident Name],$B53))</f>
        <v/>
      </c>
      <c r="D53" s="265" t="str">
        <f>IF($B53="","",COUNTIF(Feb[Resident Name],$B53))</f>
        <v/>
      </c>
      <c r="E53" s="265" t="str">
        <f>IF($B53="","",COUNTIF(Mar[Resident Name],$B53))</f>
        <v/>
      </c>
      <c r="F53" s="265" t="str">
        <f>IF($B53="","",COUNTIF(Apr[Resident Name],$B53))</f>
        <v/>
      </c>
      <c r="G53" s="265" t="str">
        <f>IF($B53="","",COUNTIF(May[Resident Name],$B53))</f>
        <v/>
      </c>
      <c r="H53" s="265" t="str">
        <f>IF($B53="","",COUNTIF(June[Resident Name],$B53))</f>
        <v/>
      </c>
      <c r="I53" s="265" t="str">
        <f>IF($B53="","",COUNTIF(July[Resident Name],$B53))</f>
        <v/>
      </c>
      <c r="J53" s="265" t="str">
        <f>IF($B53="","",COUNTIF(Aug[Resident Name],$B53))</f>
        <v/>
      </c>
      <c r="K53" s="265" t="str">
        <f>IF($B53="","",COUNTIF(Sept[Resident Name],$B53))</f>
        <v/>
      </c>
      <c r="L53" s="265" t="str">
        <f>IF($B53="","",COUNTIF(Oct[Resident Name],$B53))</f>
        <v/>
      </c>
      <c r="M53" s="265" t="str">
        <f>IF($B53="","",COUNTIF(Nov[Resident Name],$B53))</f>
        <v/>
      </c>
      <c r="N53" s="265" t="str">
        <f>IF($B53="","",COUNTIF(Dec[Resident Name],$B53))</f>
        <v/>
      </c>
      <c r="O53" s="265" t="str">
        <f t="shared" si="1"/>
        <v/>
      </c>
      <c r="P53" s="11"/>
      <c r="R53" s="160" t="str">
        <f>IFERROR(INDEX($B$5:$B$172,MATCH(ROWS($R$5:R53),$X$5:$X$172,0)),"")</f>
        <v/>
      </c>
      <c r="S53" s="76" t="str">
        <f>IF($R53="","",INDEX($O$5:$O$172,MATCH(ROWS($R$5:R53),$X$5:$X$172,0)))</f>
        <v/>
      </c>
      <c r="U53" s="160" t="str">
        <f>IFERROR(INDEX($Z$5:$Z$448,MATCH(ROWS($U$5:U53),$AA$5:$AA$448,0)),"")</f>
        <v/>
      </c>
      <c r="V53" s="274" t="str">
        <f>IF(Feb!C15="","",Feb!C15)</f>
        <v/>
      </c>
      <c r="W53" s="274" t="str" cm="1">
        <f t="array" ref="W53">IF(V53="","",IF(COUNTIF($V$5:V53,V53)&gt;1,"",ROUND(1+SUMPRODUCT(($V$5:$V$448&lt;&gt;"")*($V$5:$V$448&lt;V53)/COUNTIF($V$5:$V$448,$V$5:$V$448&amp;"")),0)))</f>
        <v/>
      </c>
      <c r="X53" s="274" t="str">
        <f t="shared" si="2"/>
        <v/>
      </c>
      <c r="Z53" s="274" t="str">
        <f>IF(Feb!H15="Major Injury",Feb!C15,"")</f>
        <v/>
      </c>
      <c r="AA53" s="274" t="str" cm="1">
        <f t="array" ref="AA53">IF(Z53="","",IF(COUNTIF($Z$5:Z53,Z53)&gt;1,"",ROUND(1+SUMPRODUCT(($Z$5:$Z$448&lt;&gt;"")*($Z$5:$Z$448&lt;Z53)/COUNTIF($Z$5:$Z$448,$Z$5:$Z$448&amp;"")),0)))</f>
        <v/>
      </c>
    </row>
    <row r="54" spans="2:27" x14ac:dyDescent="0.25">
      <c r="B54" s="160" t="str">
        <f>IFERROR(INDEX($V$5:$V$448,MATCH(ROWS($B$5:B54),$W$5:$W$448,0)),"")</f>
        <v/>
      </c>
      <c r="C54" s="265" t="str">
        <f>IF($B54="","",COUNTIF(Jan[Resident Name],$B54))</f>
        <v/>
      </c>
      <c r="D54" s="265" t="str">
        <f>IF($B54="","",COUNTIF(Feb[Resident Name],$B54))</f>
        <v/>
      </c>
      <c r="E54" s="265" t="str">
        <f>IF($B54="","",COUNTIF(Mar[Resident Name],$B54))</f>
        <v/>
      </c>
      <c r="F54" s="265" t="str">
        <f>IF($B54="","",COUNTIF(Apr[Resident Name],$B54))</f>
        <v/>
      </c>
      <c r="G54" s="265" t="str">
        <f>IF($B54="","",COUNTIF(May[Resident Name],$B54))</f>
        <v/>
      </c>
      <c r="H54" s="265" t="str">
        <f>IF($B54="","",COUNTIF(June[Resident Name],$B54))</f>
        <v/>
      </c>
      <c r="I54" s="265" t="str">
        <f>IF($B54="","",COUNTIF(July[Resident Name],$B54))</f>
        <v/>
      </c>
      <c r="J54" s="265" t="str">
        <f>IF($B54="","",COUNTIF(Aug[Resident Name],$B54))</f>
        <v/>
      </c>
      <c r="K54" s="265" t="str">
        <f>IF($B54="","",COUNTIF(Sept[Resident Name],$B54))</f>
        <v/>
      </c>
      <c r="L54" s="265" t="str">
        <f>IF($B54="","",COUNTIF(Oct[Resident Name],$B54))</f>
        <v/>
      </c>
      <c r="M54" s="265" t="str">
        <f>IF($B54="","",COUNTIF(Nov[Resident Name],$B54))</f>
        <v/>
      </c>
      <c r="N54" s="265" t="str">
        <f>IF($B54="","",COUNTIF(Dec[Resident Name],$B54))</f>
        <v/>
      </c>
      <c r="O54" s="265" t="str">
        <f t="shared" si="1"/>
        <v/>
      </c>
      <c r="P54" s="11"/>
      <c r="R54" s="160" t="str">
        <f>IFERROR(INDEX($B$5:$B$172,MATCH(ROWS($R$5:R54),$X$5:$X$172,0)),"")</f>
        <v/>
      </c>
      <c r="S54" s="76" t="str">
        <f>IF($R54="","",INDEX($O$5:$O$172,MATCH(ROWS($R$5:R54),$X$5:$X$172,0)))</f>
        <v/>
      </c>
      <c r="U54" s="160" t="str">
        <f>IFERROR(INDEX($Z$5:$Z$448,MATCH(ROWS($U$5:U54),$AA$5:$AA$448,0)),"")</f>
        <v/>
      </c>
      <c r="V54" s="274" t="str">
        <f>IF(Feb!C16="","",Feb!C16)</f>
        <v/>
      </c>
      <c r="W54" s="274" t="str" cm="1">
        <f t="array" ref="W54">IF(V54="","",IF(COUNTIF($V$5:V54,V54)&gt;1,"",ROUND(1+SUMPRODUCT(($V$5:$V$448&lt;&gt;"")*($V$5:$V$448&lt;V54)/COUNTIF($V$5:$V$448,$V$5:$V$448&amp;"")),0)))</f>
        <v/>
      </c>
      <c r="X54" s="274" t="str">
        <f t="shared" si="2"/>
        <v/>
      </c>
      <c r="Z54" s="274" t="str">
        <f>IF(Feb!H16="Major Injury",Feb!C16,"")</f>
        <v/>
      </c>
      <c r="AA54" s="274" t="str" cm="1">
        <f t="array" ref="AA54">IF(Z54="","",IF(COUNTIF($Z$5:Z54,Z54)&gt;1,"",ROUND(1+SUMPRODUCT(($Z$5:$Z$448&lt;&gt;"")*($Z$5:$Z$448&lt;Z54)/COUNTIF($Z$5:$Z$448,$Z$5:$Z$448&amp;"")),0)))</f>
        <v/>
      </c>
    </row>
    <row r="55" spans="2:27" x14ac:dyDescent="0.25">
      <c r="B55" s="160" t="str">
        <f>IFERROR(INDEX($V$5:$V$448,MATCH(ROWS($B$5:B55),$W$5:$W$448,0)),"")</f>
        <v/>
      </c>
      <c r="C55" s="265" t="str">
        <f>IF($B55="","",COUNTIF(Jan[Resident Name],$B55))</f>
        <v/>
      </c>
      <c r="D55" s="265" t="str">
        <f>IF($B55="","",COUNTIF(Feb[Resident Name],$B55))</f>
        <v/>
      </c>
      <c r="E55" s="265" t="str">
        <f>IF($B55="","",COUNTIF(Mar[Resident Name],$B55))</f>
        <v/>
      </c>
      <c r="F55" s="265" t="str">
        <f>IF($B55="","",COUNTIF(Apr[Resident Name],$B55))</f>
        <v/>
      </c>
      <c r="G55" s="265" t="str">
        <f>IF($B55="","",COUNTIF(May[Resident Name],$B55))</f>
        <v/>
      </c>
      <c r="H55" s="265" t="str">
        <f>IF($B55="","",COUNTIF(June[Resident Name],$B55))</f>
        <v/>
      </c>
      <c r="I55" s="265" t="str">
        <f>IF($B55="","",COUNTIF(July[Resident Name],$B55))</f>
        <v/>
      </c>
      <c r="J55" s="265" t="str">
        <f>IF($B55="","",COUNTIF(Aug[Resident Name],$B55))</f>
        <v/>
      </c>
      <c r="K55" s="265" t="str">
        <f>IF($B55="","",COUNTIF(Sept[Resident Name],$B55))</f>
        <v/>
      </c>
      <c r="L55" s="265" t="str">
        <f>IF($B55="","",COUNTIF(Oct[Resident Name],$B55))</f>
        <v/>
      </c>
      <c r="M55" s="265" t="str">
        <f>IF($B55="","",COUNTIF(Nov[Resident Name],$B55))</f>
        <v/>
      </c>
      <c r="N55" s="265" t="str">
        <f>IF($B55="","",COUNTIF(Dec[Resident Name],$B55))</f>
        <v/>
      </c>
      <c r="O55" s="265" t="str">
        <f t="shared" si="1"/>
        <v/>
      </c>
      <c r="P55" s="11"/>
      <c r="R55" s="160" t="str">
        <f>IFERROR(INDEX($B$5:$B$172,MATCH(ROWS($R$5:R55),$X$5:$X$172,0)),"")</f>
        <v/>
      </c>
      <c r="S55" s="76" t="str">
        <f>IF($R55="","",INDEX($O$5:$O$172,MATCH(ROWS($R$5:R55),$X$5:$X$172,0)))</f>
        <v/>
      </c>
      <c r="U55" s="160" t="str">
        <f>IFERROR(INDEX($Z$5:$Z$448,MATCH(ROWS($U$5:U55),$AA$5:$AA$448,0)),"")</f>
        <v/>
      </c>
      <c r="V55" s="274" t="str">
        <f>IF(Feb!C17="","",Feb!C17)</f>
        <v/>
      </c>
      <c r="W55" s="274" t="str" cm="1">
        <f t="array" ref="W55">IF(V55="","",IF(COUNTIF($V$5:V55,V55)&gt;1,"",ROUND(1+SUMPRODUCT(($V$5:$V$448&lt;&gt;"")*($V$5:$V$448&lt;V55)/COUNTIF($V$5:$V$448,$V$5:$V$448&amp;"")),0)))</f>
        <v/>
      </c>
      <c r="X55" s="274" t="str">
        <f t="shared" si="2"/>
        <v/>
      </c>
      <c r="Z55" s="274" t="str">
        <f>IF(Feb!H17="Major Injury",Feb!C17,"")</f>
        <v/>
      </c>
      <c r="AA55" s="274" t="str" cm="1">
        <f t="array" ref="AA55">IF(Z55="","",IF(COUNTIF($Z$5:Z55,Z55)&gt;1,"",ROUND(1+SUMPRODUCT(($Z$5:$Z$448&lt;&gt;"")*($Z$5:$Z$448&lt;Z55)/COUNTIF($Z$5:$Z$448,$Z$5:$Z$448&amp;"")),0)))</f>
        <v/>
      </c>
    </row>
    <row r="56" spans="2:27" x14ac:dyDescent="0.25">
      <c r="B56" s="160" t="str">
        <f>IFERROR(INDEX($V$5:$V$448,MATCH(ROWS($B$5:B56),$W$5:$W$448,0)),"")</f>
        <v/>
      </c>
      <c r="C56" s="265" t="str">
        <f>IF($B56="","",COUNTIF(Jan[Resident Name],$B56))</f>
        <v/>
      </c>
      <c r="D56" s="265" t="str">
        <f>IF($B56="","",COUNTIF(Feb[Resident Name],$B56))</f>
        <v/>
      </c>
      <c r="E56" s="265" t="str">
        <f>IF($B56="","",COUNTIF(Mar[Resident Name],$B56))</f>
        <v/>
      </c>
      <c r="F56" s="265" t="str">
        <f>IF($B56="","",COUNTIF(Apr[Resident Name],$B56))</f>
        <v/>
      </c>
      <c r="G56" s="265" t="str">
        <f>IF($B56="","",COUNTIF(May[Resident Name],$B56))</f>
        <v/>
      </c>
      <c r="H56" s="265" t="str">
        <f>IF($B56="","",COUNTIF(June[Resident Name],$B56))</f>
        <v/>
      </c>
      <c r="I56" s="265" t="str">
        <f>IF($B56="","",COUNTIF(July[Resident Name],$B56))</f>
        <v/>
      </c>
      <c r="J56" s="265" t="str">
        <f>IF($B56="","",COUNTIF(Aug[Resident Name],$B56))</f>
        <v/>
      </c>
      <c r="K56" s="265" t="str">
        <f>IF($B56="","",COUNTIF(Sept[Resident Name],$B56))</f>
        <v/>
      </c>
      <c r="L56" s="265" t="str">
        <f>IF($B56="","",COUNTIF(Oct[Resident Name],$B56))</f>
        <v/>
      </c>
      <c r="M56" s="265" t="str">
        <f>IF($B56="","",COUNTIF(Nov[Resident Name],$B56))</f>
        <v/>
      </c>
      <c r="N56" s="265" t="str">
        <f>IF($B56="","",COUNTIF(Dec[Resident Name],$B56))</f>
        <v/>
      </c>
      <c r="O56" s="265" t="str">
        <f t="shared" si="1"/>
        <v/>
      </c>
      <c r="P56" s="11"/>
      <c r="R56" s="160" t="str">
        <f>IFERROR(INDEX($B$5:$B$172,MATCH(ROWS($R$5:R56),$X$5:$X$172,0)),"")</f>
        <v/>
      </c>
      <c r="S56" s="76" t="str">
        <f>IF($R56="","",INDEX($O$5:$O$172,MATCH(ROWS($R$5:R56),$X$5:$X$172,0)))</f>
        <v/>
      </c>
      <c r="U56" s="160" t="str">
        <f>IFERROR(INDEX($Z$5:$Z$448,MATCH(ROWS($U$5:U56),$AA$5:$AA$448,0)),"")</f>
        <v/>
      </c>
      <c r="V56" s="274" t="str">
        <f>IF(Feb!C18="","",Feb!C18)</f>
        <v/>
      </c>
      <c r="W56" s="274" t="str" cm="1">
        <f t="array" ref="W56">IF(V56="","",IF(COUNTIF($V$5:V56,V56)&gt;1,"",ROUND(1+SUMPRODUCT(($V$5:$V$448&lt;&gt;"")*($V$5:$V$448&lt;V56)/COUNTIF($V$5:$V$448,$V$5:$V$448&amp;"")),0)))</f>
        <v/>
      </c>
      <c r="X56" s="274" t="str">
        <f t="shared" si="2"/>
        <v/>
      </c>
      <c r="Z56" s="274" t="str">
        <f>IF(Feb!H18="Major Injury",Feb!C18,"")</f>
        <v/>
      </c>
      <c r="AA56" s="274" t="str" cm="1">
        <f t="array" ref="AA56">IF(Z56="","",IF(COUNTIF($Z$5:Z56,Z56)&gt;1,"",ROUND(1+SUMPRODUCT(($Z$5:$Z$448&lt;&gt;"")*($Z$5:$Z$448&lt;Z56)/COUNTIF($Z$5:$Z$448,$Z$5:$Z$448&amp;"")),0)))</f>
        <v/>
      </c>
    </row>
    <row r="57" spans="2:27" x14ac:dyDescent="0.25">
      <c r="B57" s="160" t="str">
        <f>IFERROR(INDEX($V$5:$V$448,MATCH(ROWS($B$5:B57),$W$5:$W$448,0)),"")</f>
        <v/>
      </c>
      <c r="C57" s="265" t="str">
        <f>IF($B57="","",COUNTIF(Jan[Resident Name],$B57))</f>
        <v/>
      </c>
      <c r="D57" s="265" t="str">
        <f>IF($B57="","",COUNTIF(Feb[Resident Name],$B57))</f>
        <v/>
      </c>
      <c r="E57" s="265" t="str">
        <f>IF($B57="","",COUNTIF(Mar[Resident Name],$B57))</f>
        <v/>
      </c>
      <c r="F57" s="265" t="str">
        <f>IF($B57="","",COUNTIF(Apr[Resident Name],$B57))</f>
        <v/>
      </c>
      <c r="G57" s="265" t="str">
        <f>IF($B57="","",COUNTIF(May[Resident Name],$B57))</f>
        <v/>
      </c>
      <c r="H57" s="265" t="str">
        <f>IF($B57="","",COUNTIF(June[Resident Name],$B57))</f>
        <v/>
      </c>
      <c r="I57" s="265" t="str">
        <f>IF($B57="","",COUNTIF(July[Resident Name],$B57))</f>
        <v/>
      </c>
      <c r="J57" s="265" t="str">
        <f>IF($B57="","",COUNTIF(Aug[Resident Name],$B57))</f>
        <v/>
      </c>
      <c r="K57" s="265" t="str">
        <f>IF($B57="","",COUNTIF(Sept[Resident Name],$B57))</f>
        <v/>
      </c>
      <c r="L57" s="265" t="str">
        <f>IF($B57="","",COUNTIF(Oct[Resident Name],$B57))</f>
        <v/>
      </c>
      <c r="M57" s="265" t="str">
        <f>IF($B57="","",COUNTIF(Nov[Resident Name],$B57))</f>
        <v/>
      </c>
      <c r="N57" s="265" t="str">
        <f>IF($B57="","",COUNTIF(Dec[Resident Name],$B57))</f>
        <v/>
      </c>
      <c r="O57" s="265" t="str">
        <f t="shared" si="1"/>
        <v/>
      </c>
      <c r="P57" s="11"/>
      <c r="R57" s="160" t="str">
        <f>IFERROR(INDEX($B$5:$B$172,MATCH(ROWS($R$5:R57),$X$5:$X$172,0)),"")</f>
        <v/>
      </c>
      <c r="S57" s="76" t="str">
        <f>IF($R57="","",INDEX($O$5:$O$172,MATCH(ROWS($R$5:R57),$X$5:$X$172,0)))</f>
        <v/>
      </c>
      <c r="U57" s="160" t="str">
        <f>IFERROR(INDEX($Z$5:$Z$448,MATCH(ROWS($U$5:U57),$AA$5:$AA$448,0)),"")</f>
        <v/>
      </c>
      <c r="V57" s="274" t="str">
        <f>IF(Feb!C19="","",Feb!C19)</f>
        <v/>
      </c>
      <c r="W57" s="274" t="str" cm="1">
        <f t="array" ref="W57">IF(V57="","",IF(COUNTIF($V$5:V57,V57)&gt;1,"",ROUND(1+SUMPRODUCT(($V$5:$V$448&lt;&gt;"")*($V$5:$V$448&lt;V57)/COUNTIF($V$5:$V$448,$V$5:$V$448&amp;"")),0)))</f>
        <v/>
      </c>
      <c r="X57" s="274" t="str">
        <f t="shared" si="2"/>
        <v/>
      </c>
      <c r="Z57" s="274" t="str">
        <f>IF(Feb!H19="Major Injury",Feb!C19,"")</f>
        <v/>
      </c>
      <c r="AA57" s="274" t="str" cm="1">
        <f t="array" ref="AA57">IF(Z57="","",IF(COUNTIF($Z$5:Z57,Z57)&gt;1,"",ROUND(1+SUMPRODUCT(($Z$5:$Z$448&lt;&gt;"")*($Z$5:$Z$448&lt;Z57)/COUNTIF($Z$5:$Z$448,$Z$5:$Z$448&amp;"")),0)))</f>
        <v/>
      </c>
    </row>
    <row r="58" spans="2:27" x14ac:dyDescent="0.25">
      <c r="B58" s="160" t="str">
        <f>IFERROR(INDEX($V$5:$V$448,MATCH(ROWS($B$5:B58),$W$5:$W$448,0)),"")</f>
        <v/>
      </c>
      <c r="C58" s="265" t="str">
        <f>IF($B58="","",COUNTIF(Jan[Resident Name],$B58))</f>
        <v/>
      </c>
      <c r="D58" s="265" t="str">
        <f>IF($B58="","",COUNTIF(Feb[Resident Name],$B58))</f>
        <v/>
      </c>
      <c r="E58" s="265" t="str">
        <f>IF($B58="","",COUNTIF(Mar[Resident Name],$B58))</f>
        <v/>
      </c>
      <c r="F58" s="265" t="str">
        <f>IF($B58="","",COUNTIF(Apr[Resident Name],$B58))</f>
        <v/>
      </c>
      <c r="G58" s="265" t="str">
        <f>IF($B58="","",COUNTIF(May[Resident Name],$B58))</f>
        <v/>
      </c>
      <c r="H58" s="265" t="str">
        <f>IF($B58="","",COUNTIF(June[Resident Name],$B58))</f>
        <v/>
      </c>
      <c r="I58" s="265" t="str">
        <f>IF($B58="","",COUNTIF(July[Resident Name],$B58))</f>
        <v/>
      </c>
      <c r="J58" s="265" t="str">
        <f>IF($B58="","",COUNTIF(Aug[Resident Name],$B58))</f>
        <v/>
      </c>
      <c r="K58" s="265" t="str">
        <f>IF($B58="","",COUNTIF(Sept[Resident Name],$B58))</f>
        <v/>
      </c>
      <c r="L58" s="265" t="str">
        <f>IF($B58="","",COUNTIF(Oct[Resident Name],$B58))</f>
        <v/>
      </c>
      <c r="M58" s="265" t="str">
        <f>IF($B58="","",COUNTIF(Nov[Resident Name],$B58))</f>
        <v/>
      </c>
      <c r="N58" s="265" t="str">
        <f>IF($B58="","",COUNTIF(Dec[Resident Name],$B58))</f>
        <v/>
      </c>
      <c r="O58" s="265" t="str">
        <f t="shared" si="1"/>
        <v/>
      </c>
      <c r="P58" s="11"/>
      <c r="R58" s="160" t="str">
        <f>IFERROR(INDEX($B$5:$B$172,MATCH(ROWS($R$5:R58),$X$5:$X$172,0)),"")</f>
        <v/>
      </c>
      <c r="S58" s="76" t="str">
        <f>IF($R58="","",INDEX($O$5:$O$172,MATCH(ROWS($R$5:R58),$X$5:$X$172,0)))</f>
        <v/>
      </c>
      <c r="U58" s="160" t="str">
        <f>IFERROR(INDEX($Z$5:$Z$448,MATCH(ROWS($U$5:U58),$AA$5:$AA$448,0)),"")</f>
        <v/>
      </c>
      <c r="V58" s="274" t="str">
        <f>IF(Feb!C20="","",Feb!C20)</f>
        <v/>
      </c>
      <c r="W58" s="274" t="str" cm="1">
        <f t="array" ref="W58">IF(V58="","",IF(COUNTIF($V$5:V58,V58)&gt;1,"",ROUND(1+SUMPRODUCT(($V$5:$V$448&lt;&gt;"")*($V$5:$V$448&lt;V58)/COUNTIF($V$5:$V$448,$V$5:$V$448&amp;"")),0)))</f>
        <v/>
      </c>
      <c r="X58" s="274" t="str">
        <f t="shared" si="2"/>
        <v/>
      </c>
      <c r="Z58" s="274" t="str">
        <f>IF(Feb!H20="Major Injury",Feb!C20,"")</f>
        <v/>
      </c>
      <c r="AA58" s="274" t="str" cm="1">
        <f t="array" ref="AA58">IF(Z58="","",IF(COUNTIF($Z$5:Z58,Z58)&gt;1,"",ROUND(1+SUMPRODUCT(($Z$5:$Z$448&lt;&gt;"")*($Z$5:$Z$448&lt;Z58)/COUNTIF($Z$5:$Z$448,$Z$5:$Z$448&amp;"")),0)))</f>
        <v/>
      </c>
    </row>
    <row r="59" spans="2:27" x14ac:dyDescent="0.25">
      <c r="B59" s="160" t="str">
        <f>IFERROR(INDEX($V$5:$V$448,MATCH(ROWS($B$5:B59),$W$5:$W$448,0)),"")</f>
        <v/>
      </c>
      <c r="C59" s="265" t="str">
        <f>IF($B59="","",COUNTIF(Jan[Resident Name],$B59))</f>
        <v/>
      </c>
      <c r="D59" s="265" t="str">
        <f>IF($B59="","",COUNTIF(Feb[Resident Name],$B59))</f>
        <v/>
      </c>
      <c r="E59" s="265" t="str">
        <f>IF($B59="","",COUNTIF(Mar[Resident Name],$B59))</f>
        <v/>
      </c>
      <c r="F59" s="265" t="str">
        <f>IF($B59="","",COUNTIF(Apr[Resident Name],$B59))</f>
        <v/>
      </c>
      <c r="G59" s="265" t="str">
        <f>IF($B59="","",COUNTIF(May[Resident Name],$B59))</f>
        <v/>
      </c>
      <c r="H59" s="265" t="str">
        <f>IF($B59="","",COUNTIF(June[Resident Name],$B59))</f>
        <v/>
      </c>
      <c r="I59" s="265" t="str">
        <f>IF($B59="","",COUNTIF(July[Resident Name],$B59))</f>
        <v/>
      </c>
      <c r="J59" s="265" t="str">
        <f>IF($B59="","",COUNTIF(Aug[Resident Name],$B59))</f>
        <v/>
      </c>
      <c r="K59" s="265" t="str">
        <f>IF($B59="","",COUNTIF(Sept[Resident Name],$B59))</f>
        <v/>
      </c>
      <c r="L59" s="265" t="str">
        <f>IF($B59="","",COUNTIF(Oct[Resident Name],$B59))</f>
        <v/>
      </c>
      <c r="M59" s="265" t="str">
        <f>IF($B59="","",COUNTIF(Nov[Resident Name],$B59))</f>
        <v/>
      </c>
      <c r="N59" s="265" t="str">
        <f>IF($B59="","",COUNTIF(Dec[Resident Name],$B59))</f>
        <v/>
      </c>
      <c r="O59" s="265" t="str">
        <f t="shared" si="1"/>
        <v/>
      </c>
      <c r="P59" s="11"/>
      <c r="R59" s="160" t="str">
        <f>IFERROR(INDEX($B$5:$B$172,MATCH(ROWS($R$5:R59),$X$5:$X$172,0)),"")</f>
        <v/>
      </c>
      <c r="S59" s="76" t="str">
        <f>IF($R59="","",INDEX($O$5:$O$172,MATCH(ROWS($R$5:R59),$X$5:$X$172,0)))</f>
        <v/>
      </c>
      <c r="U59" s="160" t="str">
        <f>IFERROR(INDEX($Z$5:$Z$448,MATCH(ROWS($U$5:U59),$AA$5:$AA$448,0)),"")</f>
        <v/>
      </c>
      <c r="V59" s="274" t="str">
        <f>IF(Feb!C21="","",Feb!C21)</f>
        <v/>
      </c>
      <c r="W59" s="274" t="str" cm="1">
        <f t="array" ref="W59">IF(V59="","",IF(COUNTIF($V$5:V59,V59)&gt;1,"",ROUND(1+SUMPRODUCT(($V$5:$V$448&lt;&gt;"")*($V$5:$V$448&lt;V59)/COUNTIF($V$5:$V$448,$V$5:$V$448&amp;"")),0)))</f>
        <v/>
      </c>
      <c r="X59" s="274" t="str">
        <f t="shared" si="2"/>
        <v/>
      </c>
      <c r="Z59" s="274" t="str">
        <f>IF(Feb!H21="Major Injury",Feb!C21,"")</f>
        <v/>
      </c>
      <c r="AA59" s="274" t="str" cm="1">
        <f t="array" ref="AA59">IF(Z59="","",IF(COUNTIF($Z$5:Z59,Z59)&gt;1,"",ROUND(1+SUMPRODUCT(($Z$5:$Z$448&lt;&gt;"")*($Z$5:$Z$448&lt;Z59)/COUNTIF($Z$5:$Z$448,$Z$5:$Z$448&amp;"")),0)))</f>
        <v/>
      </c>
    </row>
    <row r="60" spans="2:27" x14ac:dyDescent="0.25">
      <c r="B60" s="160" t="str">
        <f>IFERROR(INDEX($V$5:$V$448,MATCH(ROWS($B$5:B60),$W$5:$W$448,0)),"")</f>
        <v/>
      </c>
      <c r="C60" s="265" t="str">
        <f>IF($B60="","",COUNTIF(Jan[Resident Name],$B60))</f>
        <v/>
      </c>
      <c r="D60" s="265" t="str">
        <f>IF($B60="","",COUNTIF(Feb[Resident Name],$B60))</f>
        <v/>
      </c>
      <c r="E60" s="265" t="str">
        <f>IF($B60="","",COUNTIF(Mar[Resident Name],$B60))</f>
        <v/>
      </c>
      <c r="F60" s="265" t="str">
        <f>IF($B60="","",COUNTIF(Apr[Resident Name],$B60))</f>
        <v/>
      </c>
      <c r="G60" s="265" t="str">
        <f>IF($B60="","",COUNTIF(May[Resident Name],$B60))</f>
        <v/>
      </c>
      <c r="H60" s="265" t="str">
        <f>IF($B60="","",COUNTIF(June[Resident Name],$B60))</f>
        <v/>
      </c>
      <c r="I60" s="265" t="str">
        <f>IF($B60="","",COUNTIF(July[Resident Name],$B60))</f>
        <v/>
      </c>
      <c r="J60" s="265" t="str">
        <f>IF($B60="","",COUNTIF(Aug[Resident Name],$B60))</f>
        <v/>
      </c>
      <c r="K60" s="265" t="str">
        <f>IF($B60="","",COUNTIF(Sept[Resident Name],$B60))</f>
        <v/>
      </c>
      <c r="L60" s="265" t="str">
        <f>IF($B60="","",COUNTIF(Oct[Resident Name],$B60))</f>
        <v/>
      </c>
      <c r="M60" s="265" t="str">
        <f>IF($B60="","",COUNTIF(Nov[Resident Name],$B60))</f>
        <v/>
      </c>
      <c r="N60" s="265" t="str">
        <f>IF($B60="","",COUNTIF(Dec[Resident Name],$B60))</f>
        <v/>
      </c>
      <c r="O60" s="265" t="str">
        <f t="shared" si="1"/>
        <v/>
      </c>
      <c r="P60" s="11"/>
      <c r="R60" s="160" t="str">
        <f>IFERROR(INDEX($B$5:$B$172,MATCH(ROWS($R$5:R60),$X$5:$X$172,0)),"")</f>
        <v/>
      </c>
      <c r="S60" s="76" t="str">
        <f>IF($R60="","",INDEX($O$5:$O$172,MATCH(ROWS($R$5:R60),$X$5:$X$172,0)))</f>
        <v/>
      </c>
      <c r="U60" s="160" t="str">
        <f>IFERROR(INDEX($Z$5:$Z$448,MATCH(ROWS($U$5:U60),$AA$5:$AA$448,0)),"")</f>
        <v/>
      </c>
      <c r="V60" s="274" t="str">
        <f>IF(Feb!C22="","",Feb!C22)</f>
        <v/>
      </c>
      <c r="W60" s="274" t="str" cm="1">
        <f t="array" ref="W60">IF(V60="","",IF(COUNTIF($V$5:V60,V60)&gt;1,"",ROUND(1+SUMPRODUCT(($V$5:$V$448&lt;&gt;"")*($V$5:$V$448&lt;V60)/COUNTIF($V$5:$V$448,$V$5:$V$448&amp;"")),0)))</f>
        <v/>
      </c>
      <c r="X60" s="274" t="str">
        <f t="shared" si="2"/>
        <v/>
      </c>
      <c r="Z60" s="274" t="str">
        <f>IF(Feb!H22="Major Injury",Feb!C22,"")</f>
        <v/>
      </c>
      <c r="AA60" s="274" t="str" cm="1">
        <f t="array" ref="AA60">IF(Z60="","",IF(COUNTIF($Z$5:Z60,Z60)&gt;1,"",ROUND(1+SUMPRODUCT(($Z$5:$Z$448&lt;&gt;"")*($Z$5:$Z$448&lt;Z60)/COUNTIF($Z$5:$Z$448,$Z$5:$Z$448&amp;"")),0)))</f>
        <v/>
      </c>
    </row>
    <row r="61" spans="2:27" x14ac:dyDescent="0.25">
      <c r="B61" s="160" t="str">
        <f>IFERROR(INDEX($V$5:$V$448,MATCH(ROWS($B$5:B61),$W$5:$W$448,0)),"")</f>
        <v/>
      </c>
      <c r="C61" s="265" t="str">
        <f>IF($B61="","",COUNTIF(Jan[Resident Name],$B61))</f>
        <v/>
      </c>
      <c r="D61" s="265" t="str">
        <f>IF($B61="","",COUNTIF(Feb[Resident Name],$B61))</f>
        <v/>
      </c>
      <c r="E61" s="265" t="str">
        <f>IF($B61="","",COUNTIF(Mar[Resident Name],$B61))</f>
        <v/>
      </c>
      <c r="F61" s="265" t="str">
        <f>IF($B61="","",COUNTIF(Apr[Resident Name],$B61))</f>
        <v/>
      </c>
      <c r="G61" s="265" t="str">
        <f>IF($B61="","",COUNTIF(May[Resident Name],$B61))</f>
        <v/>
      </c>
      <c r="H61" s="265" t="str">
        <f>IF($B61="","",COUNTIF(June[Resident Name],$B61))</f>
        <v/>
      </c>
      <c r="I61" s="265" t="str">
        <f>IF($B61="","",COUNTIF(July[Resident Name],$B61))</f>
        <v/>
      </c>
      <c r="J61" s="265" t="str">
        <f>IF($B61="","",COUNTIF(Aug[Resident Name],$B61))</f>
        <v/>
      </c>
      <c r="K61" s="265" t="str">
        <f>IF($B61="","",COUNTIF(Sept[Resident Name],$B61))</f>
        <v/>
      </c>
      <c r="L61" s="265" t="str">
        <f>IF($B61="","",COUNTIF(Oct[Resident Name],$B61))</f>
        <v/>
      </c>
      <c r="M61" s="265" t="str">
        <f>IF($B61="","",COUNTIF(Nov[Resident Name],$B61))</f>
        <v/>
      </c>
      <c r="N61" s="265" t="str">
        <f>IF($B61="","",COUNTIF(Dec[Resident Name],$B61))</f>
        <v/>
      </c>
      <c r="O61" s="265" t="str">
        <f t="shared" si="1"/>
        <v/>
      </c>
      <c r="P61" s="11"/>
      <c r="R61" s="160" t="str">
        <f>IFERROR(INDEX($B$5:$B$172,MATCH(ROWS($R$5:R61),$X$5:$X$172,0)),"")</f>
        <v/>
      </c>
      <c r="S61" s="76" t="str">
        <f>IF($R61="","",INDEX($O$5:$O$172,MATCH(ROWS($R$5:R61),$X$5:$X$172,0)))</f>
        <v/>
      </c>
      <c r="U61" s="160" t="str">
        <f>IFERROR(INDEX($Z$5:$Z$448,MATCH(ROWS($U$5:U61),$AA$5:$AA$448,0)),"")</f>
        <v/>
      </c>
      <c r="V61" s="274" t="str">
        <f>IF(Feb!C23="","",Feb!C23)</f>
        <v/>
      </c>
      <c r="W61" s="274" t="str" cm="1">
        <f t="array" ref="W61">IF(V61="","",IF(COUNTIF($V$5:V61,V61)&gt;1,"",ROUND(1+SUMPRODUCT(($V$5:$V$448&lt;&gt;"")*($V$5:$V$448&lt;V61)/COUNTIF($V$5:$V$448,$V$5:$V$448&amp;"")),0)))</f>
        <v/>
      </c>
      <c r="X61" s="274" t="str">
        <f t="shared" si="2"/>
        <v/>
      </c>
      <c r="Z61" s="274" t="str">
        <f>IF(Feb!H23="Major Injury",Feb!C23,"")</f>
        <v/>
      </c>
      <c r="AA61" s="274" t="str" cm="1">
        <f t="array" ref="AA61">IF(Z61="","",IF(COUNTIF($Z$5:Z61,Z61)&gt;1,"",ROUND(1+SUMPRODUCT(($Z$5:$Z$448&lt;&gt;"")*($Z$5:$Z$448&lt;Z61)/COUNTIF($Z$5:$Z$448,$Z$5:$Z$448&amp;"")),0)))</f>
        <v/>
      </c>
    </row>
    <row r="62" spans="2:27" x14ac:dyDescent="0.25">
      <c r="B62" s="160" t="str">
        <f>IFERROR(INDEX($V$5:$V$448,MATCH(ROWS($B$5:B62),$W$5:$W$448,0)),"")</f>
        <v/>
      </c>
      <c r="C62" s="265" t="str">
        <f>IF($B62="","",COUNTIF(Jan[Resident Name],$B62))</f>
        <v/>
      </c>
      <c r="D62" s="265" t="str">
        <f>IF($B62="","",COUNTIF(Feb[Resident Name],$B62))</f>
        <v/>
      </c>
      <c r="E62" s="265" t="str">
        <f>IF($B62="","",COUNTIF(Mar[Resident Name],$B62))</f>
        <v/>
      </c>
      <c r="F62" s="265" t="str">
        <f>IF($B62="","",COUNTIF(Apr[Resident Name],$B62))</f>
        <v/>
      </c>
      <c r="G62" s="265" t="str">
        <f>IF($B62="","",COUNTIF(May[Resident Name],$B62))</f>
        <v/>
      </c>
      <c r="H62" s="265" t="str">
        <f>IF($B62="","",COUNTIF(June[Resident Name],$B62))</f>
        <v/>
      </c>
      <c r="I62" s="265" t="str">
        <f>IF($B62="","",COUNTIF(July[Resident Name],$B62))</f>
        <v/>
      </c>
      <c r="J62" s="265" t="str">
        <f>IF($B62="","",COUNTIF(Aug[Resident Name],$B62))</f>
        <v/>
      </c>
      <c r="K62" s="265" t="str">
        <f>IF($B62="","",COUNTIF(Sept[Resident Name],$B62))</f>
        <v/>
      </c>
      <c r="L62" s="265" t="str">
        <f>IF($B62="","",COUNTIF(Oct[Resident Name],$B62))</f>
        <v/>
      </c>
      <c r="M62" s="265" t="str">
        <f>IF($B62="","",COUNTIF(Nov[Resident Name],$B62))</f>
        <v/>
      </c>
      <c r="N62" s="265" t="str">
        <f>IF($B62="","",COUNTIF(Dec[Resident Name],$B62))</f>
        <v/>
      </c>
      <c r="O62" s="265" t="str">
        <f t="shared" si="1"/>
        <v/>
      </c>
      <c r="P62" s="11"/>
      <c r="R62" s="160" t="str">
        <f>IFERROR(INDEX($B$5:$B$172,MATCH(ROWS($R$5:R62),$X$5:$X$172,0)),"")</f>
        <v/>
      </c>
      <c r="S62" s="76" t="str">
        <f>IF($R62="","",INDEX($O$5:$O$172,MATCH(ROWS($R$5:R62),$X$5:$X$172,0)))</f>
        <v/>
      </c>
      <c r="U62" s="160" t="str">
        <f>IFERROR(INDEX($Z$5:$Z$448,MATCH(ROWS($U$5:U62),$AA$5:$AA$448,0)),"")</f>
        <v/>
      </c>
      <c r="V62" s="274" t="str">
        <f>IF(Feb!C24="","",Feb!C24)</f>
        <v/>
      </c>
      <c r="W62" s="274" t="str" cm="1">
        <f t="array" ref="W62">IF(V62="","",IF(COUNTIF($V$5:V62,V62)&gt;1,"",ROUND(1+SUMPRODUCT(($V$5:$V$448&lt;&gt;"")*($V$5:$V$448&lt;V62)/COUNTIF($V$5:$V$448,$V$5:$V$448&amp;"")),0)))</f>
        <v/>
      </c>
      <c r="X62" s="274" t="str">
        <f t="shared" si="2"/>
        <v/>
      </c>
      <c r="Z62" s="274" t="str">
        <f>IF(Feb!H24="Major Injury",Feb!C24,"")</f>
        <v/>
      </c>
      <c r="AA62" s="274" t="str" cm="1">
        <f t="array" ref="AA62">IF(Z62="","",IF(COUNTIF($Z$5:Z62,Z62)&gt;1,"",ROUND(1+SUMPRODUCT(($Z$5:$Z$448&lt;&gt;"")*($Z$5:$Z$448&lt;Z62)/COUNTIF($Z$5:$Z$448,$Z$5:$Z$448&amp;"")),0)))</f>
        <v/>
      </c>
    </row>
    <row r="63" spans="2:27" x14ac:dyDescent="0.25">
      <c r="B63" s="160" t="str">
        <f>IFERROR(INDEX($V$5:$V$448,MATCH(ROWS($B$5:B63),$W$5:$W$448,0)),"")</f>
        <v/>
      </c>
      <c r="C63" s="265" t="str">
        <f>IF($B63="","",COUNTIF(Jan[Resident Name],$B63))</f>
        <v/>
      </c>
      <c r="D63" s="265" t="str">
        <f>IF($B63="","",COUNTIF(Feb[Resident Name],$B63))</f>
        <v/>
      </c>
      <c r="E63" s="265" t="str">
        <f>IF($B63="","",COUNTIF(Mar[Resident Name],$B63))</f>
        <v/>
      </c>
      <c r="F63" s="265" t="str">
        <f>IF($B63="","",COUNTIF(Apr[Resident Name],$B63))</f>
        <v/>
      </c>
      <c r="G63" s="265" t="str">
        <f>IF($B63="","",COUNTIF(May[Resident Name],$B63))</f>
        <v/>
      </c>
      <c r="H63" s="265" t="str">
        <f>IF($B63="","",COUNTIF(June[Resident Name],$B63))</f>
        <v/>
      </c>
      <c r="I63" s="265" t="str">
        <f>IF($B63="","",COUNTIF(July[Resident Name],$B63))</f>
        <v/>
      </c>
      <c r="J63" s="265" t="str">
        <f>IF($B63="","",COUNTIF(Aug[Resident Name],$B63))</f>
        <v/>
      </c>
      <c r="K63" s="265" t="str">
        <f>IF($B63="","",COUNTIF(Sept[Resident Name],$B63))</f>
        <v/>
      </c>
      <c r="L63" s="265" t="str">
        <f>IF($B63="","",COUNTIF(Oct[Resident Name],$B63))</f>
        <v/>
      </c>
      <c r="M63" s="265" t="str">
        <f>IF($B63="","",COUNTIF(Nov[Resident Name],$B63))</f>
        <v/>
      </c>
      <c r="N63" s="265" t="str">
        <f>IF($B63="","",COUNTIF(Dec[Resident Name],$B63))</f>
        <v/>
      </c>
      <c r="O63" s="265" t="str">
        <f t="shared" si="1"/>
        <v/>
      </c>
      <c r="P63" s="11"/>
      <c r="R63" s="160" t="str">
        <f>IFERROR(INDEX($B$5:$B$172,MATCH(ROWS($R$5:R63),$X$5:$X$172,0)),"")</f>
        <v/>
      </c>
      <c r="S63" s="76" t="str">
        <f>IF($R63="","",INDEX($O$5:$O$172,MATCH(ROWS($R$5:R63),$X$5:$X$172,0)))</f>
        <v/>
      </c>
      <c r="U63" s="160" t="str">
        <f>IFERROR(INDEX($Z$5:$Z$448,MATCH(ROWS($U$5:U63),$AA$5:$AA$448,0)),"")</f>
        <v/>
      </c>
      <c r="V63" s="274" t="str">
        <f>IF(Feb!C25="","",Feb!C25)</f>
        <v/>
      </c>
      <c r="W63" s="274" t="str" cm="1">
        <f t="array" ref="W63">IF(V63="","",IF(COUNTIF($V$5:V63,V63)&gt;1,"",ROUND(1+SUMPRODUCT(($V$5:$V$448&lt;&gt;"")*($V$5:$V$448&lt;V63)/COUNTIF($V$5:$V$448,$V$5:$V$448&amp;"")),0)))</f>
        <v/>
      </c>
      <c r="X63" s="274" t="str">
        <f t="shared" si="2"/>
        <v/>
      </c>
      <c r="Z63" s="274" t="str">
        <f>IF(Feb!H25="Major Injury",Feb!C25,"")</f>
        <v/>
      </c>
      <c r="AA63" s="274" t="str" cm="1">
        <f t="array" ref="AA63">IF(Z63="","",IF(COUNTIF($Z$5:Z63,Z63)&gt;1,"",ROUND(1+SUMPRODUCT(($Z$5:$Z$448&lt;&gt;"")*($Z$5:$Z$448&lt;Z63)/COUNTIF($Z$5:$Z$448,$Z$5:$Z$448&amp;"")),0)))</f>
        <v/>
      </c>
    </row>
    <row r="64" spans="2:27" x14ac:dyDescent="0.25">
      <c r="B64" s="160" t="str">
        <f>IFERROR(INDEX($V$5:$V$448,MATCH(ROWS($B$5:B64),$W$5:$W$448,0)),"")</f>
        <v/>
      </c>
      <c r="C64" s="265" t="str">
        <f>IF($B64="","",COUNTIF(Jan[Resident Name],$B64))</f>
        <v/>
      </c>
      <c r="D64" s="265" t="str">
        <f>IF($B64="","",COUNTIF(Feb[Resident Name],$B64))</f>
        <v/>
      </c>
      <c r="E64" s="265" t="str">
        <f>IF($B64="","",COUNTIF(Mar[Resident Name],$B64))</f>
        <v/>
      </c>
      <c r="F64" s="265" t="str">
        <f>IF($B64="","",COUNTIF(Apr[Resident Name],$B64))</f>
        <v/>
      </c>
      <c r="G64" s="265" t="str">
        <f>IF($B64="","",COUNTIF(May[Resident Name],$B64))</f>
        <v/>
      </c>
      <c r="H64" s="265" t="str">
        <f>IF($B64="","",COUNTIF(June[Resident Name],$B64))</f>
        <v/>
      </c>
      <c r="I64" s="265" t="str">
        <f>IF($B64="","",COUNTIF(July[Resident Name],$B64))</f>
        <v/>
      </c>
      <c r="J64" s="265" t="str">
        <f>IF($B64="","",COUNTIF(Aug[Resident Name],$B64))</f>
        <v/>
      </c>
      <c r="K64" s="265" t="str">
        <f>IF($B64="","",COUNTIF(Sept[Resident Name],$B64))</f>
        <v/>
      </c>
      <c r="L64" s="265" t="str">
        <f>IF($B64="","",COUNTIF(Oct[Resident Name],$B64))</f>
        <v/>
      </c>
      <c r="M64" s="265" t="str">
        <f>IF($B64="","",COUNTIF(Nov[Resident Name],$B64))</f>
        <v/>
      </c>
      <c r="N64" s="265" t="str">
        <f>IF($B64="","",COUNTIF(Dec[Resident Name],$B64))</f>
        <v/>
      </c>
      <c r="O64" s="265" t="str">
        <f t="shared" si="1"/>
        <v/>
      </c>
      <c r="P64" s="11"/>
      <c r="R64" s="160" t="str">
        <f>IFERROR(INDEX($B$5:$B$172,MATCH(ROWS($R$5:R64),$X$5:$X$172,0)),"")</f>
        <v/>
      </c>
      <c r="S64" s="76" t="str">
        <f>IF($R64="","",INDEX($O$5:$O$172,MATCH(ROWS($R$5:R64),$X$5:$X$172,0)))</f>
        <v/>
      </c>
      <c r="U64" s="160" t="str">
        <f>IFERROR(INDEX($Z$5:$Z$448,MATCH(ROWS($U$5:U64),$AA$5:$AA$448,0)),"")</f>
        <v/>
      </c>
      <c r="V64" s="274" t="str">
        <f>IF(Feb!C26="","",Feb!C26)</f>
        <v/>
      </c>
      <c r="W64" s="274" t="str" cm="1">
        <f t="array" ref="W64">IF(V64="","",IF(COUNTIF($V$5:V64,V64)&gt;1,"",ROUND(1+SUMPRODUCT(($V$5:$V$448&lt;&gt;"")*($V$5:$V$448&lt;V64)/COUNTIF($V$5:$V$448,$V$5:$V$448&amp;"")),0)))</f>
        <v/>
      </c>
      <c r="X64" s="274" t="str">
        <f t="shared" si="2"/>
        <v/>
      </c>
      <c r="Z64" s="274" t="str">
        <f>IF(Feb!H26="Major Injury",Feb!C26,"")</f>
        <v/>
      </c>
      <c r="AA64" s="274" t="str" cm="1">
        <f t="array" ref="AA64">IF(Z64="","",IF(COUNTIF($Z$5:Z64,Z64)&gt;1,"",ROUND(1+SUMPRODUCT(($Z$5:$Z$448&lt;&gt;"")*($Z$5:$Z$448&lt;Z64)/COUNTIF($Z$5:$Z$448,$Z$5:$Z$448&amp;"")),0)))</f>
        <v/>
      </c>
    </row>
    <row r="65" spans="2:27" x14ac:dyDescent="0.25">
      <c r="B65" s="160" t="str">
        <f>IFERROR(INDEX($V$5:$V$448,MATCH(ROWS($B$5:B65),$W$5:$W$448,0)),"")</f>
        <v/>
      </c>
      <c r="C65" s="265" t="str">
        <f>IF($B65="","",COUNTIF(Jan[Resident Name],$B65))</f>
        <v/>
      </c>
      <c r="D65" s="265" t="str">
        <f>IF($B65="","",COUNTIF(Feb[Resident Name],$B65))</f>
        <v/>
      </c>
      <c r="E65" s="265" t="str">
        <f>IF($B65="","",COUNTIF(Mar[Resident Name],$B65))</f>
        <v/>
      </c>
      <c r="F65" s="265" t="str">
        <f>IF($B65="","",COUNTIF(Apr[Resident Name],$B65))</f>
        <v/>
      </c>
      <c r="G65" s="265" t="str">
        <f>IF($B65="","",COUNTIF(May[Resident Name],$B65))</f>
        <v/>
      </c>
      <c r="H65" s="265" t="str">
        <f>IF($B65="","",COUNTIF(June[Resident Name],$B65))</f>
        <v/>
      </c>
      <c r="I65" s="265" t="str">
        <f>IF($B65="","",COUNTIF(July[Resident Name],$B65))</f>
        <v/>
      </c>
      <c r="J65" s="265" t="str">
        <f>IF($B65="","",COUNTIF(Aug[Resident Name],$B65))</f>
        <v/>
      </c>
      <c r="K65" s="265" t="str">
        <f>IF($B65="","",COUNTIF(Sept[Resident Name],$B65))</f>
        <v/>
      </c>
      <c r="L65" s="265" t="str">
        <f>IF($B65="","",COUNTIF(Oct[Resident Name],$B65))</f>
        <v/>
      </c>
      <c r="M65" s="265" t="str">
        <f>IF($B65="","",COUNTIF(Nov[Resident Name],$B65))</f>
        <v/>
      </c>
      <c r="N65" s="265" t="str">
        <f>IF($B65="","",COUNTIF(Dec[Resident Name],$B65))</f>
        <v/>
      </c>
      <c r="O65" s="265" t="str">
        <f t="shared" si="1"/>
        <v/>
      </c>
      <c r="P65" s="11"/>
      <c r="R65" s="160" t="str">
        <f>IFERROR(INDEX($B$5:$B$172,MATCH(ROWS($R$5:R65),$X$5:$X$172,0)),"")</f>
        <v/>
      </c>
      <c r="S65" s="76" t="str">
        <f>IF($R65="","",INDEX($O$5:$O$172,MATCH(ROWS($R$5:R65),$X$5:$X$172,0)))</f>
        <v/>
      </c>
      <c r="U65" s="160" t="str">
        <f>IFERROR(INDEX($Z$5:$Z$448,MATCH(ROWS($U$5:U65),$AA$5:$AA$448,0)),"")</f>
        <v/>
      </c>
      <c r="V65" s="274" t="str">
        <f>IF(Feb!C27="","",Feb!C27)</f>
        <v/>
      </c>
      <c r="W65" s="274" t="str" cm="1">
        <f t="array" ref="W65">IF(V65="","",IF(COUNTIF($V$5:V65,V65)&gt;1,"",ROUND(1+SUMPRODUCT(($V$5:$V$448&lt;&gt;"")*($V$5:$V$448&lt;V65)/COUNTIF($V$5:$V$448,$V$5:$V$448&amp;"")),0)))</f>
        <v/>
      </c>
      <c r="X65" s="274" t="str">
        <f t="shared" si="2"/>
        <v/>
      </c>
      <c r="Z65" s="274" t="str">
        <f>IF(Feb!H27="Major Injury",Feb!C27,"")</f>
        <v/>
      </c>
      <c r="AA65" s="274" t="str" cm="1">
        <f t="array" ref="AA65">IF(Z65="","",IF(COUNTIF($Z$5:Z65,Z65)&gt;1,"",ROUND(1+SUMPRODUCT(($Z$5:$Z$448&lt;&gt;"")*($Z$5:$Z$448&lt;Z65)/COUNTIF($Z$5:$Z$448,$Z$5:$Z$448&amp;"")),0)))</f>
        <v/>
      </c>
    </row>
    <row r="66" spans="2:27" x14ac:dyDescent="0.25">
      <c r="B66" s="160" t="str">
        <f>IFERROR(INDEX($V$5:$V$448,MATCH(ROWS($B$5:B66),$W$5:$W$448,0)),"")</f>
        <v/>
      </c>
      <c r="C66" s="265" t="str">
        <f>IF($B66="","",COUNTIF(Jan[Resident Name],$B66))</f>
        <v/>
      </c>
      <c r="D66" s="265" t="str">
        <f>IF($B66="","",COUNTIF(Feb[Resident Name],$B66))</f>
        <v/>
      </c>
      <c r="E66" s="265" t="str">
        <f>IF($B66="","",COUNTIF(Mar[Resident Name],$B66))</f>
        <v/>
      </c>
      <c r="F66" s="265" t="str">
        <f>IF($B66="","",COUNTIF(Apr[Resident Name],$B66))</f>
        <v/>
      </c>
      <c r="G66" s="265" t="str">
        <f>IF($B66="","",COUNTIF(May[Resident Name],$B66))</f>
        <v/>
      </c>
      <c r="H66" s="265" t="str">
        <f>IF($B66="","",COUNTIF(June[Resident Name],$B66))</f>
        <v/>
      </c>
      <c r="I66" s="265" t="str">
        <f>IF($B66="","",COUNTIF(July[Resident Name],$B66))</f>
        <v/>
      </c>
      <c r="J66" s="265" t="str">
        <f>IF($B66="","",COUNTIF(Aug[Resident Name],$B66))</f>
        <v/>
      </c>
      <c r="K66" s="265" t="str">
        <f>IF($B66="","",COUNTIF(Sept[Resident Name],$B66))</f>
        <v/>
      </c>
      <c r="L66" s="265" t="str">
        <f>IF($B66="","",COUNTIF(Oct[Resident Name],$B66))</f>
        <v/>
      </c>
      <c r="M66" s="265" t="str">
        <f>IF($B66="","",COUNTIF(Nov[Resident Name],$B66))</f>
        <v/>
      </c>
      <c r="N66" s="265" t="str">
        <f>IF($B66="","",COUNTIF(Dec[Resident Name],$B66))</f>
        <v/>
      </c>
      <c r="O66" s="265" t="str">
        <f t="shared" si="1"/>
        <v/>
      </c>
      <c r="P66" s="11"/>
      <c r="R66" s="160" t="str">
        <f>IFERROR(INDEX($B$5:$B$172,MATCH(ROWS($R$5:R66),$X$5:$X$172,0)),"")</f>
        <v/>
      </c>
      <c r="S66" s="76" t="str">
        <f>IF($R66="","",INDEX($O$5:$O$172,MATCH(ROWS($R$5:R66),$X$5:$X$172,0)))</f>
        <v/>
      </c>
      <c r="U66" s="160" t="str">
        <f>IFERROR(INDEX($Z$5:$Z$448,MATCH(ROWS($U$5:U66),$AA$5:$AA$448,0)),"")</f>
        <v/>
      </c>
      <c r="V66" s="274" t="str">
        <f>IF(Feb!C28="","",Feb!C28)</f>
        <v/>
      </c>
      <c r="W66" s="274" t="str" cm="1">
        <f t="array" ref="W66">IF(V66="","",IF(COUNTIF($V$5:V66,V66)&gt;1,"",ROUND(1+SUMPRODUCT(($V$5:$V$448&lt;&gt;"")*($V$5:$V$448&lt;V66)/COUNTIF($V$5:$V$448,$V$5:$V$448&amp;"")),0)))</f>
        <v/>
      </c>
      <c r="X66" s="274" t="str">
        <f t="shared" si="2"/>
        <v/>
      </c>
      <c r="Z66" s="274" t="str">
        <f>IF(Feb!H28="Major Injury",Feb!C28,"")</f>
        <v/>
      </c>
      <c r="AA66" s="274" t="str" cm="1">
        <f t="array" ref="AA66">IF(Z66="","",IF(COUNTIF($Z$5:Z66,Z66)&gt;1,"",ROUND(1+SUMPRODUCT(($Z$5:$Z$448&lt;&gt;"")*($Z$5:$Z$448&lt;Z66)/COUNTIF($Z$5:$Z$448,$Z$5:$Z$448&amp;"")),0)))</f>
        <v/>
      </c>
    </row>
    <row r="67" spans="2:27" x14ac:dyDescent="0.25">
      <c r="B67" s="160" t="str">
        <f>IFERROR(INDEX($V$5:$V$448,MATCH(ROWS($B$5:B67),$W$5:$W$448,0)),"")</f>
        <v/>
      </c>
      <c r="C67" s="265" t="str">
        <f>IF($B67="","",COUNTIF(Jan[Resident Name],$B67))</f>
        <v/>
      </c>
      <c r="D67" s="265" t="str">
        <f>IF($B67="","",COUNTIF(Feb[Resident Name],$B67))</f>
        <v/>
      </c>
      <c r="E67" s="265" t="str">
        <f>IF($B67="","",COUNTIF(Mar[Resident Name],$B67))</f>
        <v/>
      </c>
      <c r="F67" s="265" t="str">
        <f>IF($B67="","",COUNTIF(Apr[Resident Name],$B67))</f>
        <v/>
      </c>
      <c r="G67" s="265" t="str">
        <f>IF($B67="","",COUNTIF(May[Resident Name],$B67))</f>
        <v/>
      </c>
      <c r="H67" s="265" t="str">
        <f>IF($B67="","",COUNTIF(June[Resident Name],$B67))</f>
        <v/>
      </c>
      <c r="I67" s="265" t="str">
        <f>IF($B67="","",COUNTIF(July[Resident Name],$B67))</f>
        <v/>
      </c>
      <c r="J67" s="265" t="str">
        <f>IF($B67="","",COUNTIF(Aug[Resident Name],$B67))</f>
        <v/>
      </c>
      <c r="K67" s="265" t="str">
        <f>IF($B67="","",COUNTIF(Sept[Resident Name],$B67))</f>
        <v/>
      </c>
      <c r="L67" s="265" t="str">
        <f>IF($B67="","",COUNTIF(Oct[Resident Name],$B67))</f>
        <v/>
      </c>
      <c r="M67" s="265" t="str">
        <f>IF($B67="","",COUNTIF(Nov[Resident Name],$B67))</f>
        <v/>
      </c>
      <c r="N67" s="265" t="str">
        <f>IF($B67="","",COUNTIF(Dec[Resident Name],$B67))</f>
        <v/>
      </c>
      <c r="O67" s="265" t="str">
        <f t="shared" si="1"/>
        <v/>
      </c>
      <c r="P67" s="11"/>
      <c r="R67" s="160" t="str">
        <f>IFERROR(INDEX($B$5:$B$172,MATCH(ROWS($R$5:R67),$X$5:$X$172,0)),"")</f>
        <v/>
      </c>
      <c r="S67" s="76" t="str">
        <f>IF($R67="","",INDEX($O$5:$O$172,MATCH(ROWS($R$5:R67),$X$5:$X$172,0)))</f>
        <v/>
      </c>
      <c r="U67" s="160" t="str">
        <f>IFERROR(INDEX($Z$5:$Z$448,MATCH(ROWS($U$5:U67),$AA$5:$AA$448,0)),"")</f>
        <v/>
      </c>
      <c r="V67" s="274" t="str">
        <f>IF(Feb!C29="","",Feb!C29)</f>
        <v/>
      </c>
      <c r="W67" s="274" t="str" cm="1">
        <f t="array" ref="W67">IF(V67="","",IF(COUNTIF($V$5:V67,V67)&gt;1,"",ROUND(1+SUMPRODUCT(($V$5:$V$448&lt;&gt;"")*($V$5:$V$448&lt;V67)/COUNTIF($V$5:$V$448,$V$5:$V$448&amp;"")),0)))</f>
        <v/>
      </c>
      <c r="X67" s="274" t="str">
        <f t="shared" si="2"/>
        <v/>
      </c>
      <c r="Z67" s="274" t="str">
        <f>IF(Feb!H29="Major Injury",Feb!C29,"")</f>
        <v/>
      </c>
      <c r="AA67" s="274" t="str" cm="1">
        <f t="array" ref="AA67">IF(Z67="","",IF(COUNTIF($Z$5:Z67,Z67)&gt;1,"",ROUND(1+SUMPRODUCT(($Z$5:$Z$448&lt;&gt;"")*($Z$5:$Z$448&lt;Z67)/COUNTIF($Z$5:$Z$448,$Z$5:$Z$448&amp;"")),0)))</f>
        <v/>
      </c>
    </row>
    <row r="68" spans="2:27" x14ac:dyDescent="0.25">
      <c r="B68" s="160" t="str">
        <f>IFERROR(INDEX($V$5:$V$448,MATCH(ROWS($B$5:B68),$W$5:$W$448,0)),"")</f>
        <v/>
      </c>
      <c r="C68" s="265" t="str">
        <f>IF($B68="","",COUNTIF(Jan[Resident Name],$B68))</f>
        <v/>
      </c>
      <c r="D68" s="265" t="str">
        <f>IF($B68="","",COUNTIF(Feb[Resident Name],$B68))</f>
        <v/>
      </c>
      <c r="E68" s="265" t="str">
        <f>IF($B68="","",COUNTIF(Mar[Resident Name],$B68))</f>
        <v/>
      </c>
      <c r="F68" s="265" t="str">
        <f>IF($B68="","",COUNTIF(Apr[Resident Name],$B68))</f>
        <v/>
      </c>
      <c r="G68" s="265" t="str">
        <f>IF($B68="","",COUNTIF(May[Resident Name],$B68))</f>
        <v/>
      </c>
      <c r="H68" s="265" t="str">
        <f>IF($B68="","",COUNTIF(June[Resident Name],$B68))</f>
        <v/>
      </c>
      <c r="I68" s="265" t="str">
        <f>IF($B68="","",COUNTIF(July[Resident Name],$B68))</f>
        <v/>
      </c>
      <c r="J68" s="265" t="str">
        <f>IF($B68="","",COUNTIF(Aug[Resident Name],$B68))</f>
        <v/>
      </c>
      <c r="K68" s="265" t="str">
        <f>IF($B68="","",COUNTIF(Sept[Resident Name],$B68))</f>
        <v/>
      </c>
      <c r="L68" s="265" t="str">
        <f>IF($B68="","",COUNTIF(Oct[Resident Name],$B68))</f>
        <v/>
      </c>
      <c r="M68" s="265" t="str">
        <f>IF($B68="","",COUNTIF(Nov[Resident Name],$B68))</f>
        <v/>
      </c>
      <c r="N68" s="265" t="str">
        <f>IF($B68="","",COUNTIF(Dec[Resident Name],$B68))</f>
        <v/>
      </c>
      <c r="O68" s="265" t="str">
        <f t="shared" si="1"/>
        <v/>
      </c>
      <c r="P68" s="11"/>
      <c r="R68" s="160" t="str">
        <f>IFERROR(INDEX($B$5:$B$172,MATCH(ROWS($R$5:R68),$X$5:$X$172,0)),"")</f>
        <v/>
      </c>
      <c r="S68" s="76" t="str">
        <f>IF($R68="","",INDEX($O$5:$O$172,MATCH(ROWS($R$5:R68),$X$5:$X$172,0)))</f>
        <v/>
      </c>
      <c r="U68" s="160" t="str">
        <f>IFERROR(INDEX($Z$5:$Z$448,MATCH(ROWS($U$5:U68),$AA$5:$AA$448,0)),"")</f>
        <v/>
      </c>
      <c r="V68" s="274" t="str">
        <f>IF(Feb!C30="","",Feb!C30)</f>
        <v/>
      </c>
      <c r="W68" s="274" t="str" cm="1">
        <f t="array" ref="W68">IF(V68="","",IF(COUNTIF($V$5:V68,V68)&gt;1,"",ROUND(1+SUMPRODUCT(($V$5:$V$448&lt;&gt;"")*($V$5:$V$448&lt;V68)/COUNTIF($V$5:$V$448,$V$5:$V$448&amp;"")),0)))</f>
        <v/>
      </c>
      <c r="X68" s="274" t="str">
        <f t="shared" si="2"/>
        <v/>
      </c>
      <c r="Z68" s="274" t="str">
        <f>IF(Feb!H30="Major Injury",Feb!C30,"")</f>
        <v/>
      </c>
      <c r="AA68" s="274" t="str" cm="1">
        <f t="array" ref="AA68">IF(Z68="","",IF(COUNTIF($Z$5:Z68,Z68)&gt;1,"",ROUND(1+SUMPRODUCT(($Z$5:$Z$448&lt;&gt;"")*($Z$5:$Z$448&lt;Z68)/COUNTIF($Z$5:$Z$448,$Z$5:$Z$448&amp;"")),0)))</f>
        <v/>
      </c>
    </row>
    <row r="69" spans="2:27" x14ac:dyDescent="0.25">
      <c r="B69" s="160" t="str">
        <f>IFERROR(INDEX($V$5:$V$448,MATCH(ROWS($B$5:B69),$W$5:$W$448,0)),"")</f>
        <v/>
      </c>
      <c r="C69" s="265" t="str">
        <f>IF($B69="","",COUNTIF(Jan[Resident Name],$B69))</f>
        <v/>
      </c>
      <c r="D69" s="265" t="str">
        <f>IF($B69="","",COUNTIF(Feb[Resident Name],$B69))</f>
        <v/>
      </c>
      <c r="E69" s="265" t="str">
        <f>IF($B69="","",COUNTIF(Mar[Resident Name],$B69))</f>
        <v/>
      </c>
      <c r="F69" s="265" t="str">
        <f>IF($B69="","",COUNTIF(Apr[Resident Name],$B69))</f>
        <v/>
      </c>
      <c r="G69" s="265" t="str">
        <f>IF($B69="","",COUNTIF(May[Resident Name],$B69))</f>
        <v/>
      </c>
      <c r="H69" s="265" t="str">
        <f>IF($B69="","",COUNTIF(June[Resident Name],$B69))</f>
        <v/>
      </c>
      <c r="I69" s="265" t="str">
        <f>IF($B69="","",COUNTIF(July[Resident Name],$B69))</f>
        <v/>
      </c>
      <c r="J69" s="265" t="str">
        <f>IF($B69="","",COUNTIF(Aug[Resident Name],$B69))</f>
        <v/>
      </c>
      <c r="K69" s="265" t="str">
        <f>IF($B69="","",COUNTIF(Sept[Resident Name],$B69))</f>
        <v/>
      </c>
      <c r="L69" s="265" t="str">
        <f>IF($B69="","",COUNTIF(Oct[Resident Name],$B69))</f>
        <v/>
      </c>
      <c r="M69" s="265" t="str">
        <f>IF($B69="","",COUNTIF(Nov[Resident Name],$B69))</f>
        <v/>
      </c>
      <c r="N69" s="265" t="str">
        <f>IF($B69="","",COUNTIF(Dec[Resident Name],$B69))</f>
        <v/>
      </c>
      <c r="O69" s="265" t="str">
        <f t="shared" si="1"/>
        <v/>
      </c>
      <c r="P69" s="11"/>
      <c r="R69" s="160" t="str">
        <f>IFERROR(INDEX($B$5:$B$172,MATCH(ROWS($R$5:R69),$X$5:$X$172,0)),"")</f>
        <v/>
      </c>
      <c r="S69" s="76" t="str">
        <f>IF($R69="","",INDEX($O$5:$O$172,MATCH(ROWS($R$5:R69),$X$5:$X$172,0)))</f>
        <v/>
      </c>
      <c r="U69" s="160" t="str">
        <f>IFERROR(INDEX($Z$5:$Z$448,MATCH(ROWS($U$5:U69),$AA$5:$AA$448,0)),"")</f>
        <v/>
      </c>
      <c r="V69" s="274" t="str">
        <f>IF(Feb!C31="","",Feb!C31)</f>
        <v/>
      </c>
      <c r="W69" s="274" t="str" cm="1">
        <f t="array" ref="W69">IF(V69="","",IF(COUNTIF($V$5:V69,V69)&gt;1,"",ROUND(1+SUMPRODUCT(($V$5:$V$448&lt;&gt;"")*($V$5:$V$448&lt;V69)/COUNTIF($V$5:$V$448,$V$5:$V$448&amp;"")),0)))</f>
        <v/>
      </c>
      <c r="X69" s="274" t="str">
        <f t="shared" si="2"/>
        <v/>
      </c>
      <c r="Z69" s="274" t="str">
        <f>IF(Feb!H31="Major Injury",Feb!C31,"")</f>
        <v/>
      </c>
      <c r="AA69" s="274" t="str" cm="1">
        <f t="array" ref="AA69">IF(Z69="","",IF(COUNTIF($Z$5:Z69,Z69)&gt;1,"",ROUND(1+SUMPRODUCT(($Z$5:$Z$448&lt;&gt;"")*($Z$5:$Z$448&lt;Z69)/COUNTIF($Z$5:$Z$448,$Z$5:$Z$448&amp;"")),0)))</f>
        <v/>
      </c>
    </row>
    <row r="70" spans="2:27" x14ac:dyDescent="0.25">
      <c r="B70" s="160" t="str">
        <f>IFERROR(INDEX($V$5:$V$448,MATCH(ROWS($B$5:B70),$W$5:$W$448,0)),"")</f>
        <v/>
      </c>
      <c r="C70" s="265" t="str">
        <f>IF($B70="","",COUNTIF(Jan[Resident Name],$B70))</f>
        <v/>
      </c>
      <c r="D70" s="265" t="str">
        <f>IF($B70="","",COUNTIF(Feb[Resident Name],$B70))</f>
        <v/>
      </c>
      <c r="E70" s="265" t="str">
        <f>IF($B70="","",COUNTIF(Mar[Resident Name],$B70))</f>
        <v/>
      </c>
      <c r="F70" s="265" t="str">
        <f>IF($B70="","",COUNTIF(Apr[Resident Name],$B70))</f>
        <v/>
      </c>
      <c r="G70" s="265" t="str">
        <f>IF($B70="","",COUNTIF(May[Resident Name],$B70))</f>
        <v/>
      </c>
      <c r="H70" s="265" t="str">
        <f>IF($B70="","",COUNTIF(June[Resident Name],$B70))</f>
        <v/>
      </c>
      <c r="I70" s="265" t="str">
        <f>IF($B70="","",COUNTIF(July[Resident Name],$B70))</f>
        <v/>
      </c>
      <c r="J70" s="265" t="str">
        <f>IF($B70="","",COUNTIF(Aug[Resident Name],$B70))</f>
        <v/>
      </c>
      <c r="K70" s="265" t="str">
        <f>IF($B70="","",COUNTIF(Sept[Resident Name],$B70))</f>
        <v/>
      </c>
      <c r="L70" s="265" t="str">
        <f>IF($B70="","",COUNTIF(Oct[Resident Name],$B70))</f>
        <v/>
      </c>
      <c r="M70" s="265" t="str">
        <f>IF($B70="","",COUNTIF(Nov[Resident Name],$B70))</f>
        <v/>
      </c>
      <c r="N70" s="265" t="str">
        <f>IF($B70="","",COUNTIF(Dec[Resident Name],$B70))</f>
        <v/>
      </c>
      <c r="O70" s="265" t="str">
        <f t="shared" ref="O70:O133" si="3">IF($B70="","",SUM(C70:N70))</f>
        <v/>
      </c>
      <c r="P70" s="11"/>
      <c r="R70" s="160" t="str">
        <f>IFERROR(INDEX($B$5:$B$172,MATCH(ROWS($R$5:R70),$X$5:$X$172,0)),"")</f>
        <v/>
      </c>
      <c r="S70" s="76" t="str">
        <f>IF($R70="","",INDEX($O$5:$O$172,MATCH(ROWS($R$5:R70),$X$5:$X$172,0)))</f>
        <v/>
      </c>
      <c r="U70" s="160" t="str">
        <f>IFERROR(INDEX($Z$5:$Z$448,MATCH(ROWS($U$5:U70),$AA$5:$AA$448,0)),"")</f>
        <v/>
      </c>
      <c r="V70" s="274" t="str">
        <f>IF(Feb!C32="","",Feb!C32)</f>
        <v/>
      </c>
      <c r="W70" s="274" t="str" cm="1">
        <f t="array" ref="W70">IF(V70="","",IF(COUNTIF($V$5:V70,V70)&gt;1,"",ROUND(1+SUMPRODUCT(($V$5:$V$448&lt;&gt;"")*($V$5:$V$448&lt;V70)/COUNTIF($V$5:$V$448,$V$5:$V$448&amp;"")),0)))</f>
        <v/>
      </c>
      <c r="X70" s="274" t="str">
        <f t="shared" ref="X70:X133" si="4">IF($B70="","",1+COUNTIF($O$5:$O$172,"&gt;"&amp;$O70)+COUNTIFS($O$5:$O$172,$O70,$B$5:$B$172,"&lt;"&amp;$B70))</f>
        <v/>
      </c>
      <c r="Z70" s="274" t="str">
        <f>IF(Feb!H32="Major Injury",Feb!C32,"")</f>
        <v/>
      </c>
      <c r="AA70" s="274" t="str" cm="1">
        <f t="array" ref="AA70">IF(Z70="","",IF(COUNTIF($Z$5:Z70,Z70)&gt;1,"",ROUND(1+SUMPRODUCT(($Z$5:$Z$448&lt;&gt;"")*($Z$5:$Z$448&lt;Z70)/COUNTIF($Z$5:$Z$448,$Z$5:$Z$448&amp;"")),0)))</f>
        <v/>
      </c>
    </row>
    <row r="71" spans="2:27" x14ac:dyDescent="0.25">
      <c r="B71" s="160" t="str">
        <f>IFERROR(INDEX($V$5:$V$448,MATCH(ROWS($B$5:B71),$W$5:$W$448,0)),"")</f>
        <v/>
      </c>
      <c r="C71" s="265" t="str">
        <f>IF($B71="","",COUNTIF(Jan[Resident Name],$B71))</f>
        <v/>
      </c>
      <c r="D71" s="265" t="str">
        <f>IF($B71="","",COUNTIF(Feb[Resident Name],$B71))</f>
        <v/>
      </c>
      <c r="E71" s="265" t="str">
        <f>IF($B71="","",COUNTIF(Mar[Resident Name],$B71))</f>
        <v/>
      </c>
      <c r="F71" s="265" t="str">
        <f>IF($B71="","",COUNTIF(Apr[Resident Name],$B71))</f>
        <v/>
      </c>
      <c r="G71" s="265" t="str">
        <f>IF($B71="","",COUNTIF(May[Resident Name],$B71))</f>
        <v/>
      </c>
      <c r="H71" s="265" t="str">
        <f>IF($B71="","",COUNTIF(June[Resident Name],$B71))</f>
        <v/>
      </c>
      <c r="I71" s="265" t="str">
        <f>IF($B71="","",COUNTIF(July[Resident Name],$B71))</f>
        <v/>
      </c>
      <c r="J71" s="265" t="str">
        <f>IF($B71="","",COUNTIF(Aug[Resident Name],$B71))</f>
        <v/>
      </c>
      <c r="K71" s="265" t="str">
        <f>IF($B71="","",COUNTIF(Sept[Resident Name],$B71))</f>
        <v/>
      </c>
      <c r="L71" s="265" t="str">
        <f>IF($B71="","",COUNTIF(Oct[Resident Name],$B71))</f>
        <v/>
      </c>
      <c r="M71" s="265" t="str">
        <f>IF($B71="","",COUNTIF(Nov[Resident Name],$B71))</f>
        <v/>
      </c>
      <c r="N71" s="265" t="str">
        <f>IF($B71="","",COUNTIF(Dec[Resident Name],$B71))</f>
        <v/>
      </c>
      <c r="O71" s="265" t="str">
        <f t="shared" si="3"/>
        <v/>
      </c>
      <c r="P71" s="11"/>
      <c r="R71" s="160" t="str">
        <f>IFERROR(INDEX($B$5:$B$172,MATCH(ROWS($R$5:R71),$X$5:$X$172,0)),"")</f>
        <v/>
      </c>
      <c r="S71" s="76" t="str">
        <f>IF($R71="","",INDEX($O$5:$O$172,MATCH(ROWS($R$5:R71),$X$5:$X$172,0)))</f>
        <v/>
      </c>
      <c r="U71" s="160" t="str">
        <f>IFERROR(INDEX($Z$5:$Z$448,MATCH(ROWS($U$5:U71),$AA$5:$AA$448,0)),"")</f>
        <v/>
      </c>
      <c r="V71" s="274" t="str">
        <f>IF(Feb!C33="","",Feb!C33)</f>
        <v/>
      </c>
      <c r="W71" s="274" t="str" cm="1">
        <f t="array" ref="W71">IF(V71="","",IF(COUNTIF($V$5:V71,V71)&gt;1,"",ROUND(1+SUMPRODUCT(($V$5:$V$448&lt;&gt;"")*($V$5:$V$448&lt;V71)/COUNTIF($V$5:$V$448,$V$5:$V$448&amp;"")),0)))</f>
        <v/>
      </c>
      <c r="X71" s="274" t="str">
        <f t="shared" si="4"/>
        <v/>
      </c>
      <c r="Z71" s="274" t="str">
        <f>IF(Feb!H33="Major Injury",Feb!C33,"")</f>
        <v/>
      </c>
      <c r="AA71" s="274" t="str" cm="1">
        <f t="array" ref="AA71">IF(Z71="","",IF(COUNTIF($Z$5:Z71,Z71)&gt;1,"",ROUND(1+SUMPRODUCT(($Z$5:$Z$448&lt;&gt;"")*($Z$5:$Z$448&lt;Z71)/COUNTIF($Z$5:$Z$448,$Z$5:$Z$448&amp;"")),0)))</f>
        <v/>
      </c>
    </row>
    <row r="72" spans="2:27" x14ac:dyDescent="0.25">
      <c r="B72" s="160" t="str">
        <f>IFERROR(INDEX($V$5:$V$448,MATCH(ROWS($B$5:B72),$W$5:$W$448,0)),"")</f>
        <v/>
      </c>
      <c r="C72" s="265" t="str">
        <f>IF($B72="","",COUNTIF(Jan[Resident Name],$B72))</f>
        <v/>
      </c>
      <c r="D72" s="265" t="str">
        <f>IF($B72="","",COUNTIF(Feb[Resident Name],$B72))</f>
        <v/>
      </c>
      <c r="E72" s="265" t="str">
        <f>IF($B72="","",COUNTIF(Mar[Resident Name],$B72))</f>
        <v/>
      </c>
      <c r="F72" s="265" t="str">
        <f>IF($B72="","",COUNTIF(Apr[Resident Name],$B72))</f>
        <v/>
      </c>
      <c r="G72" s="265" t="str">
        <f>IF($B72="","",COUNTIF(May[Resident Name],$B72))</f>
        <v/>
      </c>
      <c r="H72" s="265" t="str">
        <f>IF($B72="","",COUNTIF(June[Resident Name],$B72))</f>
        <v/>
      </c>
      <c r="I72" s="265" t="str">
        <f>IF($B72="","",COUNTIF(July[Resident Name],$B72))</f>
        <v/>
      </c>
      <c r="J72" s="265" t="str">
        <f>IF($B72="","",COUNTIF(Aug[Resident Name],$B72))</f>
        <v/>
      </c>
      <c r="K72" s="265" t="str">
        <f>IF($B72="","",COUNTIF(Sept[Resident Name],$B72))</f>
        <v/>
      </c>
      <c r="L72" s="265" t="str">
        <f>IF($B72="","",COUNTIF(Oct[Resident Name],$B72))</f>
        <v/>
      </c>
      <c r="M72" s="265" t="str">
        <f>IF($B72="","",COUNTIF(Nov[Resident Name],$B72))</f>
        <v/>
      </c>
      <c r="N72" s="265" t="str">
        <f>IF($B72="","",COUNTIF(Dec[Resident Name],$B72))</f>
        <v/>
      </c>
      <c r="O72" s="265" t="str">
        <f t="shared" si="3"/>
        <v/>
      </c>
      <c r="P72" s="11"/>
      <c r="R72" s="160" t="str">
        <f>IFERROR(INDEX($B$5:$B$172,MATCH(ROWS($R$5:R72),$X$5:$X$172,0)),"")</f>
        <v/>
      </c>
      <c r="S72" s="76" t="str">
        <f>IF($R72="","",INDEX($O$5:$O$172,MATCH(ROWS($R$5:R72),$X$5:$X$172,0)))</f>
        <v/>
      </c>
      <c r="U72" s="160" t="str">
        <f>IFERROR(INDEX($Z$5:$Z$448,MATCH(ROWS($U$5:U72),$AA$5:$AA$448,0)),"")</f>
        <v/>
      </c>
      <c r="V72" s="274" t="str">
        <f>IF(Feb!C34="","",Feb!C34)</f>
        <v/>
      </c>
      <c r="W72" s="274" t="str" cm="1">
        <f t="array" ref="W72">IF(V72="","",IF(COUNTIF($V$5:V72,V72)&gt;1,"",ROUND(1+SUMPRODUCT(($V$5:$V$448&lt;&gt;"")*($V$5:$V$448&lt;V72)/COUNTIF($V$5:$V$448,$V$5:$V$448&amp;"")),0)))</f>
        <v/>
      </c>
      <c r="X72" s="274" t="str">
        <f t="shared" si="4"/>
        <v/>
      </c>
      <c r="Z72" s="274" t="str">
        <f>IF(Feb!H34="Major Injury",Feb!C34,"")</f>
        <v/>
      </c>
      <c r="AA72" s="274" t="str" cm="1">
        <f t="array" ref="AA72">IF(Z72="","",IF(COUNTIF($Z$5:Z72,Z72)&gt;1,"",ROUND(1+SUMPRODUCT(($Z$5:$Z$448&lt;&gt;"")*($Z$5:$Z$448&lt;Z72)/COUNTIF($Z$5:$Z$448,$Z$5:$Z$448&amp;"")),0)))</f>
        <v/>
      </c>
    </row>
    <row r="73" spans="2:27" x14ac:dyDescent="0.25">
      <c r="B73" s="160" t="str">
        <f>IFERROR(INDEX($V$5:$V$448,MATCH(ROWS($B$5:B73),$W$5:$W$448,0)),"")</f>
        <v/>
      </c>
      <c r="C73" s="265" t="str">
        <f>IF($B73="","",COUNTIF(Jan[Resident Name],$B73))</f>
        <v/>
      </c>
      <c r="D73" s="265" t="str">
        <f>IF($B73="","",COUNTIF(Feb[Resident Name],$B73))</f>
        <v/>
      </c>
      <c r="E73" s="265" t="str">
        <f>IF($B73="","",COUNTIF(Mar[Resident Name],$B73))</f>
        <v/>
      </c>
      <c r="F73" s="265" t="str">
        <f>IF($B73="","",COUNTIF(Apr[Resident Name],$B73))</f>
        <v/>
      </c>
      <c r="G73" s="265" t="str">
        <f>IF($B73="","",COUNTIF(May[Resident Name],$B73))</f>
        <v/>
      </c>
      <c r="H73" s="265" t="str">
        <f>IF($B73="","",COUNTIF(June[Resident Name],$B73))</f>
        <v/>
      </c>
      <c r="I73" s="265" t="str">
        <f>IF($B73="","",COUNTIF(July[Resident Name],$B73))</f>
        <v/>
      </c>
      <c r="J73" s="265" t="str">
        <f>IF($B73="","",COUNTIF(Aug[Resident Name],$B73))</f>
        <v/>
      </c>
      <c r="K73" s="265" t="str">
        <f>IF($B73="","",COUNTIF(Sept[Resident Name],$B73))</f>
        <v/>
      </c>
      <c r="L73" s="265" t="str">
        <f>IF($B73="","",COUNTIF(Oct[Resident Name],$B73))</f>
        <v/>
      </c>
      <c r="M73" s="265" t="str">
        <f>IF($B73="","",COUNTIF(Nov[Resident Name],$B73))</f>
        <v/>
      </c>
      <c r="N73" s="265" t="str">
        <f>IF($B73="","",COUNTIF(Dec[Resident Name],$B73))</f>
        <v/>
      </c>
      <c r="O73" s="265" t="str">
        <f t="shared" si="3"/>
        <v/>
      </c>
      <c r="P73" s="11"/>
      <c r="R73" s="160" t="str">
        <f>IFERROR(INDEX($B$5:$B$172,MATCH(ROWS($R$5:R73),$X$5:$X$172,0)),"")</f>
        <v/>
      </c>
      <c r="S73" s="76" t="str">
        <f>IF($R73="","",INDEX($O$5:$O$172,MATCH(ROWS($R$5:R73),$X$5:$X$172,0)))</f>
        <v/>
      </c>
      <c r="U73" s="160" t="str">
        <f>IFERROR(INDEX($Z$5:$Z$448,MATCH(ROWS($U$5:U73),$AA$5:$AA$448,0)),"")</f>
        <v/>
      </c>
      <c r="V73" s="274" t="str">
        <f>IF(Feb!C35="","",Feb!C35)</f>
        <v/>
      </c>
      <c r="W73" s="274" t="str" cm="1">
        <f t="array" ref="W73">IF(V73="","",IF(COUNTIF($V$5:V73,V73)&gt;1,"",ROUND(1+SUMPRODUCT(($V$5:$V$448&lt;&gt;"")*($V$5:$V$448&lt;V73)/COUNTIF($V$5:$V$448,$V$5:$V$448&amp;"")),0)))</f>
        <v/>
      </c>
      <c r="X73" s="274" t="str">
        <f t="shared" si="4"/>
        <v/>
      </c>
      <c r="Z73" s="274" t="str">
        <f>IF(Feb!H35="Major Injury",Feb!C35,"")</f>
        <v/>
      </c>
      <c r="AA73" s="274" t="str" cm="1">
        <f t="array" ref="AA73">IF(Z73="","",IF(COUNTIF($Z$5:Z73,Z73)&gt;1,"",ROUND(1+SUMPRODUCT(($Z$5:$Z$448&lt;&gt;"")*($Z$5:$Z$448&lt;Z73)/COUNTIF($Z$5:$Z$448,$Z$5:$Z$448&amp;"")),0)))</f>
        <v/>
      </c>
    </row>
    <row r="74" spans="2:27" x14ac:dyDescent="0.25">
      <c r="B74" s="160" t="str">
        <f>IFERROR(INDEX($V$5:$V$448,MATCH(ROWS($B$5:B74),$W$5:$W$448,0)),"")</f>
        <v/>
      </c>
      <c r="C74" s="265" t="str">
        <f>IF($B74="","",COUNTIF(Jan[Resident Name],$B74))</f>
        <v/>
      </c>
      <c r="D74" s="265" t="str">
        <f>IF($B74="","",COUNTIF(Feb[Resident Name],$B74))</f>
        <v/>
      </c>
      <c r="E74" s="265" t="str">
        <f>IF($B74="","",COUNTIF(Mar[Resident Name],$B74))</f>
        <v/>
      </c>
      <c r="F74" s="265" t="str">
        <f>IF($B74="","",COUNTIF(Apr[Resident Name],$B74))</f>
        <v/>
      </c>
      <c r="G74" s="265" t="str">
        <f>IF($B74="","",COUNTIF(May[Resident Name],$B74))</f>
        <v/>
      </c>
      <c r="H74" s="265" t="str">
        <f>IF($B74="","",COUNTIF(June[Resident Name],$B74))</f>
        <v/>
      </c>
      <c r="I74" s="265" t="str">
        <f>IF($B74="","",COUNTIF(July[Resident Name],$B74))</f>
        <v/>
      </c>
      <c r="J74" s="265" t="str">
        <f>IF($B74="","",COUNTIF(Aug[Resident Name],$B74))</f>
        <v/>
      </c>
      <c r="K74" s="265" t="str">
        <f>IF($B74="","",COUNTIF(Sept[Resident Name],$B74))</f>
        <v/>
      </c>
      <c r="L74" s="265" t="str">
        <f>IF($B74="","",COUNTIF(Oct[Resident Name],$B74))</f>
        <v/>
      </c>
      <c r="M74" s="265" t="str">
        <f>IF($B74="","",COUNTIF(Nov[Resident Name],$B74))</f>
        <v/>
      </c>
      <c r="N74" s="265" t="str">
        <f>IF($B74="","",COUNTIF(Dec[Resident Name],$B74))</f>
        <v/>
      </c>
      <c r="O74" s="265" t="str">
        <f t="shared" si="3"/>
        <v/>
      </c>
      <c r="P74" s="11"/>
      <c r="R74" s="160" t="str">
        <f>IFERROR(INDEX($B$5:$B$172,MATCH(ROWS($R$5:R74),$X$5:$X$172,0)),"")</f>
        <v/>
      </c>
      <c r="S74" s="76" t="str">
        <f>IF($R74="","",INDEX($O$5:$O$172,MATCH(ROWS($R$5:R74),$X$5:$X$172,0)))</f>
        <v/>
      </c>
      <c r="U74" s="160" t="str">
        <f>IFERROR(INDEX($Z$5:$Z$448,MATCH(ROWS($U$5:U74),$AA$5:$AA$448,0)),"")</f>
        <v/>
      </c>
      <c r="V74" s="274" t="str">
        <f>IF(Feb!C36="","",Feb!C36)</f>
        <v/>
      </c>
      <c r="W74" s="274" t="str" cm="1">
        <f t="array" ref="W74">IF(V74="","",IF(COUNTIF($V$5:V74,V74)&gt;1,"",ROUND(1+SUMPRODUCT(($V$5:$V$448&lt;&gt;"")*($V$5:$V$448&lt;V74)/COUNTIF($V$5:$V$448,$V$5:$V$448&amp;"")),0)))</f>
        <v/>
      </c>
      <c r="X74" s="274" t="str">
        <f t="shared" si="4"/>
        <v/>
      </c>
      <c r="Z74" s="274" t="str">
        <f>IF(Feb!H36="Major Injury",Feb!C36,"")</f>
        <v/>
      </c>
      <c r="AA74" s="274" t="str" cm="1">
        <f t="array" ref="AA74">IF(Z74="","",IF(COUNTIF($Z$5:Z74,Z74)&gt;1,"",ROUND(1+SUMPRODUCT(($Z$5:$Z$448&lt;&gt;"")*($Z$5:$Z$448&lt;Z74)/COUNTIF($Z$5:$Z$448,$Z$5:$Z$448&amp;"")),0)))</f>
        <v/>
      </c>
    </row>
    <row r="75" spans="2:27" x14ac:dyDescent="0.25">
      <c r="B75" s="160" t="str">
        <f>IFERROR(INDEX($V$5:$V$448,MATCH(ROWS($B$5:B75),$W$5:$W$448,0)),"")</f>
        <v/>
      </c>
      <c r="C75" s="265" t="str">
        <f>IF($B75="","",COUNTIF(Jan[Resident Name],$B75))</f>
        <v/>
      </c>
      <c r="D75" s="265" t="str">
        <f>IF($B75="","",COUNTIF(Feb[Resident Name],$B75))</f>
        <v/>
      </c>
      <c r="E75" s="265" t="str">
        <f>IF($B75="","",COUNTIF(Mar[Resident Name],$B75))</f>
        <v/>
      </c>
      <c r="F75" s="265" t="str">
        <f>IF($B75="","",COUNTIF(Apr[Resident Name],$B75))</f>
        <v/>
      </c>
      <c r="G75" s="265" t="str">
        <f>IF($B75="","",COUNTIF(May[Resident Name],$B75))</f>
        <v/>
      </c>
      <c r="H75" s="265" t="str">
        <f>IF($B75="","",COUNTIF(June[Resident Name],$B75))</f>
        <v/>
      </c>
      <c r="I75" s="265" t="str">
        <f>IF($B75="","",COUNTIF(July[Resident Name],$B75))</f>
        <v/>
      </c>
      <c r="J75" s="265" t="str">
        <f>IF($B75="","",COUNTIF(Aug[Resident Name],$B75))</f>
        <v/>
      </c>
      <c r="K75" s="265" t="str">
        <f>IF($B75="","",COUNTIF(Sept[Resident Name],$B75))</f>
        <v/>
      </c>
      <c r="L75" s="265" t="str">
        <f>IF($B75="","",COUNTIF(Oct[Resident Name],$B75))</f>
        <v/>
      </c>
      <c r="M75" s="265" t="str">
        <f>IF($B75="","",COUNTIF(Nov[Resident Name],$B75))</f>
        <v/>
      </c>
      <c r="N75" s="265" t="str">
        <f>IF($B75="","",COUNTIF(Dec[Resident Name],$B75))</f>
        <v/>
      </c>
      <c r="O75" s="265" t="str">
        <f t="shared" si="3"/>
        <v/>
      </c>
      <c r="P75" s="11"/>
      <c r="R75" s="160" t="str">
        <f>IFERROR(INDEX($B$5:$B$172,MATCH(ROWS($R$5:R75),$X$5:$X$172,0)),"")</f>
        <v/>
      </c>
      <c r="S75" s="76" t="str">
        <f>IF($R75="","",INDEX($O$5:$O$172,MATCH(ROWS($R$5:R75),$X$5:$X$172,0)))</f>
        <v/>
      </c>
      <c r="U75" s="160" t="str">
        <f>IFERROR(INDEX($Z$5:$Z$448,MATCH(ROWS($U$5:U75),$AA$5:$AA$448,0)),"")</f>
        <v/>
      </c>
      <c r="V75" s="274" t="str">
        <f>IF(Feb!C37="","",Feb!C37)</f>
        <v/>
      </c>
      <c r="W75" s="274" t="str" cm="1">
        <f t="array" ref="W75">IF(V75="","",IF(COUNTIF($V$5:V75,V75)&gt;1,"",ROUND(1+SUMPRODUCT(($V$5:$V$448&lt;&gt;"")*($V$5:$V$448&lt;V75)/COUNTIF($V$5:$V$448,$V$5:$V$448&amp;"")),0)))</f>
        <v/>
      </c>
      <c r="X75" s="274" t="str">
        <f t="shared" si="4"/>
        <v/>
      </c>
      <c r="Z75" s="274" t="str">
        <f>IF(Feb!H37="Major Injury",Feb!C37,"")</f>
        <v/>
      </c>
      <c r="AA75" s="274" t="str" cm="1">
        <f t="array" ref="AA75">IF(Z75="","",IF(COUNTIF($Z$5:Z75,Z75)&gt;1,"",ROUND(1+SUMPRODUCT(($Z$5:$Z$448&lt;&gt;"")*($Z$5:$Z$448&lt;Z75)/COUNTIF($Z$5:$Z$448,$Z$5:$Z$448&amp;"")),0)))</f>
        <v/>
      </c>
    </row>
    <row r="76" spans="2:27" x14ac:dyDescent="0.25">
      <c r="B76" s="160" t="str">
        <f>IFERROR(INDEX($V$5:$V$448,MATCH(ROWS($B$5:B76),$W$5:$W$448,0)),"")</f>
        <v/>
      </c>
      <c r="C76" s="265" t="str">
        <f>IF($B76="","",COUNTIF(Jan[Resident Name],$B76))</f>
        <v/>
      </c>
      <c r="D76" s="265" t="str">
        <f>IF($B76="","",COUNTIF(Feb[Resident Name],$B76))</f>
        <v/>
      </c>
      <c r="E76" s="265" t="str">
        <f>IF($B76="","",COUNTIF(Mar[Resident Name],$B76))</f>
        <v/>
      </c>
      <c r="F76" s="265" t="str">
        <f>IF($B76="","",COUNTIF(Apr[Resident Name],$B76))</f>
        <v/>
      </c>
      <c r="G76" s="265" t="str">
        <f>IF($B76="","",COUNTIF(May[Resident Name],$B76))</f>
        <v/>
      </c>
      <c r="H76" s="265" t="str">
        <f>IF($B76="","",COUNTIF(June[Resident Name],$B76))</f>
        <v/>
      </c>
      <c r="I76" s="265" t="str">
        <f>IF($B76="","",COUNTIF(July[Resident Name],$B76))</f>
        <v/>
      </c>
      <c r="J76" s="265" t="str">
        <f>IF($B76="","",COUNTIF(Aug[Resident Name],$B76))</f>
        <v/>
      </c>
      <c r="K76" s="265" t="str">
        <f>IF($B76="","",COUNTIF(Sept[Resident Name],$B76))</f>
        <v/>
      </c>
      <c r="L76" s="265" t="str">
        <f>IF($B76="","",COUNTIF(Oct[Resident Name],$B76))</f>
        <v/>
      </c>
      <c r="M76" s="265" t="str">
        <f>IF($B76="","",COUNTIF(Nov[Resident Name],$B76))</f>
        <v/>
      </c>
      <c r="N76" s="265" t="str">
        <f>IF($B76="","",COUNTIF(Dec[Resident Name],$B76))</f>
        <v/>
      </c>
      <c r="O76" s="265" t="str">
        <f t="shared" si="3"/>
        <v/>
      </c>
      <c r="P76" s="11"/>
      <c r="R76" s="160" t="str">
        <f>IFERROR(INDEX($B$5:$B$172,MATCH(ROWS($R$5:R76),$X$5:$X$172,0)),"")</f>
        <v/>
      </c>
      <c r="S76" s="76" t="str">
        <f>IF($R76="","",INDEX($O$5:$O$172,MATCH(ROWS($R$5:R76),$X$5:$X$172,0)))</f>
        <v/>
      </c>
      <c r="U76" s="160" t="str">
        <f>IFERROR(INDEX($Z$5:$Z$448,MATCH(ROWS($U$5:U76),$AA$5:$AA$448,0)),"")</f>
        <v/>
      </c>
      <c r="V76" s="274" t="str">
        <f>IF(Feb!C38="","",Feb!C38)</f>
        <v/>
      </c>
      <c r="W76" s="274" t="str" cm="1">
        <f t="array" ref="W76">IF(V76="","",IF(COUNTIF($V$5:V76,V76)&gt;1,"",ROUND(1+SUMPRODUCT(($V$5:$V$448&lt;&gt;"")*($V$5:$V$448&lt;V76)/COUNTIF($V$5:$V$448,$V$5:$V$448&amp;"")),0)))</f>
        <v/>
      </c>
      <c r="X76" s="274" t="str">
        <f t="shared" si="4"/>
        <v/>
      </c>
      <c r="Z76" s="274" t="str">
        <f>IF(Feb!H38="Major Injury",Feb!C38,"")</f>
        <v/>
      </c>
      <c r="AA76" s="274" t="str" cm="1">
        <f t="array" ref="AA76">IF(Z76="","",IF(COUNTIF($Z$5:Z76,Z76)&gt;1,"",ROUND(1+SUMPRODUCT(($Z$5:$Z$448&lt;&gt;"")*($Z$5:$Z$448&lt;Z76)/COUNTIF($Z$5:$Z$448,$Z$5:$Z$448&amp;"")),0)))</f>
        <v/>
      </c>
    </row>
    <row r="77" spans="2:27" x14ac:dyDescent="0.25">
      <c r="B77" s="160" t="str">
        <f>IFERROR(INDEX($V$5:$V$448,MATCH(ROWS($B$5:B77),$W$5:$W$448,0)),"")</f>
        <v/>
      </c>
      <c r="C77" s="265" t="str">
        <f>IF($B77="","",COUNTIF(Jan[Resident Name],$B77))</f>
        <v/>
      </c>
      <c r="D77" s="265" t="str">
        <f>IF($B77="","",COUNTIF(Feb[Resident Name],$B77))</f>
        <v/>
      </c>
      <c r="E77" s="265" t="str">
        <f>IF($B77="","",COUNTIF(Mar[Resident Name],$B77))</f>
        <v/>
      </c>
      <c r="F77" s="265" t="str">
        <f>IF($B77="","",COUNTIF(Apr[Resident Name],$B77))</f>
        <v/>
      </c>
      <c r="G77" s="265" t="str">
        <f>IF($B77="","",COUNTIF(May[Resident Name],$B77))</f>
        <v/>
      </c>
      <c r="H77" s="265" t="str">
        <f>IF($B77="","",COUNTIF(June[Resident Name],$B77))</f>
        <v/>
      </c>
      <c r="I77" s="265" t="str">
        <f>IF($B77="","",COUNTIF(July[Resident Name],$B77))</f>
        <v/>
      </c>
      <c r="J77" s="265" t="str">
        <f>IF($B77="","",COUNTIF(Aug[Resident Name],$B77))</f>
        <v/>
      </c>
      <c r="K77" s="265" t="str">
        <f>IF($B77="","",COUNTIF(Sept[Resident Name],$B77))</f>
        <v/>
      </c>
      <c r="L77" s="265" t="str">
        <f>IF($B77="","",COUNTIF(Oct[Resident Name],$B77))</f>
        <v/>
      </c>
      <c r="M77" s="265" t="str">
        <f>IF($B77="","",COUNTIF(Nov[Resident Name],$B77))</f>
        <v/>
      </c>
      <c r="N77" s="265" t="str">
        <f>IF($B77="","",COUNTIF(Dec[Resident Name],$B77))</f>
        <v/>
      </c>
      <c r="O77" s="265" t="str">
        <f t="shared" si="3"/>
        <v/>
      </c>
      <c r="P77" s="11"/>
      <c r="R77" s="160" t="str">
        <f>IFERROR(INDEX($B$5:$B$172,MATCH(ROWS($R$5:R77),$X$5:$X$172,0)),"")</f>
        <v/>
      </c>
      <c r="S77" s="76" t="str">
        <f>IF($R77="","",INDEX($O$5:$O$172,MATCH(ROWS($R$5:R77),$X$5:$X$172,0)))</f>
        <v/>
      </c>
      <c r="U77" s="160" t="str">
        <f>IFERROR(INDEX($Z$5:$Z$448,MATCH(ROWS($U$5:U77),$AA$5:$AA$448,0)),"")</f>
        <v/>
      </c>
      <c r="V77" s="274" t="str">
        <f>IF(Feb!C39="","",Feb!C39)</f>
        <v/>
      </c>
      <c r="W77" s="274" t="str" cm="1">
        <f t="array" ref="W77">IF(V77="","",IF(COUNTIF($V$5:V77,V77)&gt;1,"",ROUND(1+SUMPRODUCT(($V$5:$V$448&lt;&gt;"")*($V$5:$V$448&lt;V77)/COUNTIF($V$5:$V$448,$V$5:$V$448&amp;"")),0)))</f>
        <v/>
      </c>
      <c r="X77" s="274" t="str">
        <f t="shared" si="4"/>
        <v/>
      </c>
      <c r="Z77" s="274" t="str">
        <f>IF(Feb!H39="Major Injury",Feb!C39,"")</f>
        <v/>
      </c>
      <c r="AA77" s="274" t="str" cm="1">
        <f t="array" ref="AA77">IF(Z77="","",IF(COUNTIF($Z$5:Z77,Z77)&gt;1,"",ROUND(1+SUMPRODUCT(($Z$5:$Z$448&lt;&gt;"")*($Z$5:$Z$448&lt;Z77)/COUNTIF($Z$5:$Z$448,$Z$5:$Z$448&amp;"")),0)))</f>
        <v/>
      </c>
    </row>
    <row r="78" spans="2:27" x14ac:dyDescent="0.25">
      <c r="B78" s="160" t="str">
        <f>IFERROR(INDEX($V$5:$V$448,MATCH(ROWS($B$5:B78),$W$5:$W$448,0)),"")</f>
        <v/>
      </c>
      <c r="C78" s="265" t="str">
        <f>IF($B78="","",COUNTIF(Jan[Resident Name],$B78))</f>
        <v/>
      </c>
      <c r="D78" s="265" t="str">
        <f>IF($B78="","",COUNTIF(Feb[Resident Name],$B78))</f>
        <v/>
      </c>
      <c r="E78" s="265" t="str">
        <f>IF($B78="","",COUNTIF(Mar[Resident Name],$B78))</f>
        <v/>
      </c>
      <c r="F78" s="265" t="str">
        <f>IF($B78="","",COUNTIF(Apr[Resident Name],$B78))</f>
        <v/>
      </c>
      <c r="G78" s="265" t="str">
        <f>IF($B78="","",COUNTIF(May[Resident Name],$B78))</f>
        <v/>
      </c>
      <c r="H78" s="265" t="str">
        <f>IF($B78="","",COUNTIF(June[Resident Name],$B78))</f>
        <v/>
      </c>
      <c r="I78" s="265" t="str">
        <f>IF($B78="","",COUNTIF(July[Resident Name],$B78))</f>
        <v/>
      </c>
      <c r="J78" s="265" t="str">
        <f>IF($B78="","",COUNTIF(Aug[Resident Name],$B78))</f>
        <v/>
      </c>
      <c r="K78" s="265" t="str">
        <f>IF($B78="","",COUNTIF(Sept[Resident Name],$B78))</f>
        <v/>
      </c>
      <c r="L78" s="265" t="str">
        <f>IF($B78="","",COUNTIF(Oct[Resident Name],$B78))</f>
        <v/>
      </c>
      <c r="M78" s="265" t="str">
        <f>IF($B78="","",COUNTIF(Nov[Resident Name],$B78))</f>
        <v/>
      </c>
      <c r="N78" s="265" t="str">
        <f>IF($B78="","",COUNTIF(Dec[Resident Name],$B78))</f>
        <v/>
      </c>
      <c r="O78" s="265" t="str">
        <f t="shared" si="3"/>
        <v/>
      </c>
      <c r="P78" s="11"/>
      <c r="R78" s="160" t="str">
        <f>IFERROR(INDEX($B$5:$B$172,MATCH(ROWS($R$5:R78),$X$5:$X$172,0)),"")</f>
        <v/>
      </c>
      <c r="S78" s="76" t="str">
        <f>IF($R78="","",INDEX($O$5:$O$172,MATCH(ROWS($R$5:R78),$X$5:$X$172,0)))</f>
        <v/>
      </c>
      <c r="U78" s="160" t="str">
        <f>IFERROR(INDEX($Z$5:$Z$448,MATCH(ROWS($U$5:U78),$AA$5:$AA$448,0)),"")</f>
        <v/>
      </c>
      <c r="V78" s="274" t="str">
        <f>IF(Feb!C40="","",Feb!C40)</f>
        <v/>
      </c>
      <c r="W78" s="274" t="str" cm="1">
        <f t="array" ref="W78">IF(V78="","",IF(COUNTIF($V$5:V78,V78)&gt;1,"",ROUND(1+SUMPRODUCT(($V$5:$V$448&lt;&gt;"")*($V$5:$V$448&lt;V78)/COUNTIF($V$5:$V$448,$V$5:$V$448&amp;"")),0)))</f>
        <v/>
      </c>
      <c r="X78" s="274" t="str">
        <f t="shared" si="4"/>
        <v/>
      </c>
      <c r="Z78" s="274" t="str">
        <f>IF(Feb!H40="Major Injury",Feb!C40,"")</f>
        <v/>
      </c>
      <c r="AA78" s="274" t="str" cm="1">
        <f t="array" ref="AA78">IF(Z78="","",IF(COUNTIF($Z$5:Z78,Z78)&gt;1,"",ROUND(1+SUMPRODUCT(($Z$5:$Z$448&lt;&gt;"")*($Z$5:$Z$448&lt;Z78)/COUNTIF($Z$5:$Z$448,$Z$5:$Z$448&amp;"")),0)))</f>
        <v/>
      </c>
    </row>
    <row r="79" spans="2:27" x14ac:dyDescent="0.25">
      <c r="B79" s="160" t="str">
        <f>IFERROR(INDEX($V$5:$V$448,MATCH(ROWS($B$5:B79),$W$5:$W$448,0)),"")</f>
        <v/>
      </c>
      <c r="C79" s="265" t="str">
        <f>IF($B79="","",COUNTIF(Jan[Resident Name],$B79))</f>
        <v/>
      </c>
      <c r="D79" s="265" t="str">
        <f>IF($B79="","",COUNTIF(Feb[Resident Name],$B79))</f>
        <v/>
      </c>
      <c r="E79" s="265" t="str">
        <f>IF($B79="","",COUNTIF(Mar[Resident Name],$B79))</f>
        <v/>
      </c>
      <c r="F79" s="265" t="str">
        <f>IF($B79="","",COUNTIF(Apr[Resident Name],$B79))</f>
        <v/>
      </c>
      <c r="G79" s="265" t="str">
        <f>IF($B79="","",COUNTIF(May[Resident Name],$B79))</f>
        <v/>
      </c>
      <c r="H79" s="265" t="str">
        <f>IF($B79="","",COUNTIF(June[Resident Name],$B79))</f>
        <v/>
      </c>
      <c r="I79" s="265" t="str">
        <f>IF($B79="","",COUNTIF(July[Resident Name],$B79))</f>
        <v/>
      </c>
      <c r="J79" s="265" t="str">
        <f>IF($B79="","",COUNTIF(Aug[Resident Name],$B79))</f>
        <v/>
      </c>
      <c r="K79" s="265" t="str">
        <f>IF($B79="","",COUNTIF(Sept[Resident Name],$B79))</f>
        <v/>
      </c>
      <c r="L79" s="265" t="str">
        <f>IF($B79="","",COUNTIF(Oct[Resident Name],$B79))</f>
        <v/>
      </c>
      <c r="M79" s="265" t="str">
        <f>IF($B79="","",COUNTIF(Nov[Resident Name],$B79))</f>
        <v/>
      </c>
      <c r="N79" s="265" t="str">
        <f>IF($B79="","",COUNTIF(Dec[Resident Name],$B79))</f>
        <v/>
      </c>
      <c r="O79" s="265" t="str">
        <f t="shared" si="3"/>
        <v/>
      </c>
      <c r="P79" s="11"/>
      <c r="R79" s="160" t="str">
        <f>IFERROR(INDEX($B$5:$B$172,MATCH(ROWS($R$5:R79),$X$5:$X$172,0)),"")</f>
        <v/>
      </c>
      <c r="S79" s="76" t="str">
        <f>IF($R79="","",INDEX($O$5:$O$172,MATCH(ROWS($R$5:R79),$X$5:$X$172,0)))</f>
        <v/>
      </c>
      <c r="U79" s="160" t="str">
        <f>IFERROR(INDEX($Z$5:$Z$448,MATCH(ROWS($U$5:U79),$AA$5:$AA$448,0)),"")</f>
        <v/>
      </c>
      <c r="V79" s="274" t="str">
        <f>IF(Mar!C4="","",Mar!C4)</f>
        <v/>
      </c>
      <c r="W79" s="274" t="str" cm="1">
        <f t="array" ref="W79">IF(V79="","",IF(COUNTIF($V$5:V79,V79)&gt;1,"",ROUND(1+SUMPRODUCT(($V$5:$V$448&lt;&gt;"")*($V$5:$V$448&lt;V79)/COUNTIF($V$5:$V$448,$V$5:$V$448&amp;"")),0)))</f>
        <v/>
      </c>
      <c r="X79" s="274" t="str">
        <f t="shared" si="4"/>
        <v/>
      </c>
      <c r="Z79" s="274" t="str">
        <f>IF(Mar!H4="Major Injury",Mar!C4,"")</f>
        <v/>
      </c>
      <c r="AA79" s="274" t="str" cm="1">
        <f t="array" ref="AA79">IF(Z79="","",IF(COUNTIF($Z$5:Z79,Z79)&gt;1,"",ROUND(1+SUMPRODUCT(($Z$5:$Z$448&lt;&gt;"")*($Z$5:$Z$448&lt;Z79)/COUNTIF($Z$5:$Z$448,$Z$5:$Z$448&amp;"")),0)))</f>
        <v/>
      </c>
    </row>
    <row r="80" spans="2:27" x14ac:dyDescent="0.25">
      <c r="B80" s="160" t="str">
        <f>IFERROR(INDEX($V$5:$V$448,MATCH(ROWS($B$5:B80),$W$5:$W$448,0)),"")</f>
        <v/>
      </c>
      <c r="C80" s="265" t="str">
        <f>IF($B80="","",COUNTIF(Jan[Resident Name],$B80))</f>
        <v/>
      </c>
      <c r="D80" s="265" t="str">
        <f>IF($B80="","",COUNTIF(Feb[Resident Name],$B80))</f>
        <v/>
      </c>
      <c r="E80" s="265" t="str">
        <f>IF($B80="","",COUNTIF(Mar[Resident Name],$B80))</f>
        <v/>
      </c>
      <c r="F80" s="265" t="str">
        <f>IF($B80="","",COUNTIF(Apr[Resident Name],$B80))</f>
        <v/>
      </c>
      <c r="G80" s="265" t="str">
        <f>IF($B80="","",COUNTIF(May[Resident Name],$B80))</f>
        <v/>
      </c>
      <c r="H80" s="265" t="str">
        <f>IF($B80="","",COUNTIF(June[Resident Name],$B80))</f>
        <v/>
      </c>
      <c r="I80" s="265" t="str">
        <f>IF($B80="","",COUNTIF(July[Resident Name],$B80))</f>
        <v/>
      </c>
      <c r="J80" s="265" t="str">
        <f>IF($B80="","",COUNTIF(Aug[Resident Name],$B80))</f>
        <v/>
      </c>
      <c r="K80" s="265" t="str">
        <f>IF($B80="","",COUNTIF(Sept[Resident Name],$B80))</f>
        <v/>
      </c>
      <c r="L80" s="265" t="str">
        <f>IF($B80="","",COUNTIF(Oct[Resident Name],$B80))</f>
        <v/>
      </c>
      <c r="M80" s="265" t="str">
        <f>IF($B80="","",COUNTIF(Nov[Resident Name],$B80))</f>
        <v/>
      </c>
      <c r="N80" s="265" t="str">
        <f>IF($B80="","",COUNTIF(Dec[Resident Name],$B80))</f>
        <v/>
      </c>
      <c r="O80" s="265" t="str">
        <f t="shared" si="3"/>
        <v/>
      </c>
      <c r="P80" s="11"/>
      <c r="R80" s="160" t="str">
        <f>IFERROR(INDEX($B$5:$B$172,MATCH(ROWS($R$5:R80),$X$5:$X$172,0)),"")</f>
        <v/>
      </c>
      <c r="S80" s="76" t="str">
        <f>IF($R80="","",INDEX($O$5:$O$172,MATCH(ROWS($R$5:R80),$X$5:$X$172,0)))</f>
        <v/>
      </c>
      <c r="U80" s="160" t="str">
        <f>IFERROR(INDEX($Z$5:$Z$448,MATCH(ROWS($U$5:U80),$AA$5:$AA$448,0)),"")</f>
        <v/>
      </c>
      <c r="V80" s="274" t="str">
        <f>IF(Mar!C5="","",Mar!C5)</f>
        <v/>
      </c>
      <c r="W80" s="274" t="str" cm="1">
        <f t="array" ref="W80">IF(V80="","",IF(COUNTIF($V$5:V80,V80)&gt;1,"",ROUND(1+SUMPRODUCT(($V$5:$V$448&lt;&gt;"")*($V$5:$V$448&lt;V80)/COUNTIF($V$5:$V$448,$V$5:$V$448&amp;"")),0)))</f>
        <v/>
      </c>
      <c r="X80" s="274" t="str">
        <f t="shared" si="4"/>
        <v/>
      </c>
      <c r="Z80" s="274" t="str">
        <f>IF(Mar!H5="Major Injury",Mar!C5,"")</f>
        <v/>
      </c>
      <c r="AA80" s="274" t="str" cm="1">
        <f t="array" ref="AA80">IF(Z80="","",IF(COUNTIF($Z$5:Z80,Z80)&gt;1,"",ROUND(1+SUMPRODUCT(($Z$5:$Z$448&lt;&gt;"")*($Z$5:$Z$448&lt;Z80)/COUNTIF($Z$5:$Z$448,$Z$5:$Z$448&amp;"")),0)))</f>
        <v/>
      </c>
    </row>
    <row r="81" spans="2:27" x14ac:dyDescent="0.25">
      <c r="B81" s="160" t="str">
        <f>IFERROR(INDEX($V$5:$V$448,MATCH(ROWS($B$5:B81),$W$5:$W$448,0)),"")</f>
        <v/>
      </c>
      <c r="C81" s="265" t="str">
        <f>IF($B81="","",COUNTIF(Jan[Resident Name],$B81))</f>
        <v/>
      </c>
      <c r="D81" s="265" t="str">
        <f>IF($B81="","",COUNTIF(Feb[Resident Name],$B81))</f>
        <v/>
      </c>
      <c r="E81" s="265" t="str">
        <f>IF($B81="","",COUNTIF(Mar[Resident Name],$B81))</f>
        <v/>
      </c>
      <c r="F81" s="265" t="str">
        <f>IF($B81="","",COUNTIF(Apr[Resident Name],$B81))</f>
        <v/>
      </c>
      <c r="G81" s="265" t="str">
        <f>IF($B81="","",COUNTIF(May[Resident Name],$B81))</f>
        <v/>
      </c>
      <c r="H81" s="265" t="str">
        <f>IF($B81="","",COUNTIF(June[Resident Name],$B81))</f>
        <v/>
      </c>
      <c r="I81" s="265" t="str">
        <f>IF($B81="","",COUNTIF(July[Resident Name],$B81))</f>
        <v/>
      </c>
      <c r="J81" s="265" t="str">
        <f>IF($B81="","",COUNTIF(Aug[Resident Name],$B81))</f>
        <v/>
      </c>
      <c r="K81" s="265" t="str">
        <f>IF($B81="","",COUNTIF(Sept[Resident Name],$B81))</f>
        <v/>
      </c>
      <c r="L81" s="265" t="str">
        <f>IF($B81="","",COUNTIF(Oct[Resident Name],$B81))</f>
        <v/>
      </c>
      <c r="M81" s="265" t="str">
        <f>IF($B81="","",COUNTIF(Nov[Resident Name],$B81))</f>
        <v/>
      </c>
      <c r="N81" s="265" t="str">
        <f>IF($B81="","",COUNTIF(Dec[Resident Name],$B81))</f>
        <v/>
      </c>
      <c r="O81" s="265" t="str">
        <f t="shared" si="3"/>
        <v/>
      </c>
      <c r="P81" s="11"/>
      <c r="R81" s="160" t="str">
        <f>IFERROR(INDEX($B$5:$B$172,MATCH(ROWS($R$5:R81),$X$5:$X$172,0)),"")</f>
        <v/>
      </c>
      <c r="S81" s="76" t="str">
        <f>IF($R81="","",INDEX($O$5:$O$172,MATCH(ROWS($R$5:R81),$X$5:$X$172,0)))</f>
        <v/>
      </c>
      <c r="U81" s="160" t="str">
        <f>IFERROR(INDEX($Z$5:$Z$448,MATCH(ROWS($U$5:U81),$AA$5:$AA$448,0)),"")</f>
        <v/>
      </c>
      <c r="V81" s="274" t="str">
        <f>IF(Mar!C6="","",Mar!C6)</f>
        <v/>
      </c>
      <c r="W81" s="274" t="str" cm="1">
        <f t="array" ref="W81">IF(V81="","",IF(COUNTIF($V$5:V81,V81)&gt;1,"",ROUND(1+SUMPRODUCT(($V$5:$V$448&lt;&gt;"")*($V$5:$V$448&lt;V81)/COUNTIF($V$5:$V$448,$V$5:$V$448&amp;"")),0)))</f>
        <v/>
      </c>
      <c r="X81" s="274" t="str">
        <f t="shared" si="4"/>
        <v/>
      </c>
      <c r="Z81" s="274" t="str">
        <f>IF(Mar!H6="Major Injury",Mar!C6,"")</f>
        <v/>
      </c>
      <c r="AA81" s="274" t="str" cm="1">
        <f t="array" ref="AA81">IF(Z81="","",IF(COUNTIF($Z$5:Z81,Z81)&gt;1,"",ROUND(1+SUMPRODUCT(($Z$5:$Z$448&lt;&gt;"")*($Z$5:$Z$448&lt;Z81)/COUNTIF($Z$5:$Z$448,$Z$5:$Z$448&amp;"")),0)))</f>
        <v/>
      </c>
    </row>
    <row r="82" spans="2:27" x14ac:dyDescent="0.25">
      <c r="B82" s="160" t="str">
        <f>IFERROR(INDEX($V$5:$V$448,MATCH(ROWS($B$5:B82),$W$5:$W$448,0)),"")</f>
        <v/>
      </c>
      <c r="C82" s="265" t="str">
        <f>IF($B82="","",COUNTIF(Jan[Resident Name],$B82))</f>
        <v/>
      </c>
      <c r="D82" s="265" t="str">
        <f>IF($B82="","",COUNTIF(Feb[Resident Name],$B82))</f>
        <v/>
      </c>
      <c r="E82" s="265" t="str">
        <f>IF($B82="","",COUNTIF(Mar[Resident Name],$B82))</f>
        <v/>
      </c>
      <c r="F82" s="265" t="str">
        <f>IF($B82="","",COUNTIF(Apr[Resident Name],$B82))</f>
        <v/>
      </c>
      <c r="G82" s="265" t="str">
        <f>IF($B82="","",COUNTIF(May[Resident Name],$B82))</f>
        <v/>
      </c>
      <c r="H82" s="265" t="str">
        <f>IF($B82="","",COUNTIF(June[Resident Name],$B82))</f>
        <v/>
      </c>
      <c r="I82" s="265" t="str">
        <f>IF($B82="","",COUNTIF(July[Resident Name],$B82))</f>
        <v/>
      </c>
      <c r="J82" s="265" t="str">
        <f>IF($B82="","",COUNTIF(Aug[Resident Name],$B82))</f>
        <v/>
      </c>
      <c r="K82" s="265" t="str">
        <f>IF($B82="","",COUNTIF(Sept[Resident Name],$B82))</f>
        <v/>
      </c>
      <c r="L82" s="265" t="str">
        <f>IF($B82="","",COUNTIF(Oct[Resident Name],$B82))</f>
        <v/>
      </c>
      <c r="M82" s="265" t="str">
        <f>IF($B82="","",COUNTIF(Nov[Resident Name],$B82))</f>
        <v/>
      </c>
      <c r="N82" s="265" t="str">
        <f>IF($B82="","",COUNTIF(Dec[Resident Name],$B82))</f>
        <v/>
      </c>
      <c r="O82" s="265" t="str">
        <f t="shared" si="3"/>
        <v/>
      </c>
      <c r="P82" s="11"/>
      <c r="R82" s="160" t="str">
        <f>IFERROR(INDEX($B$5:$B$172,MATCH(ROWS($R$5:R82),$X$5:$X$172,0)),"")</f>
        <v/>
      </c>
      <c r="S82" s="76" t="str">
        <f>IF($R82="","",INDEX($O$5:$O$172,MATCH(ROWS($R$5:R82),$X$5:$X$172,0)))</f>
        <v/>
      </c>
      <c r="U82" s="160" t="str">
        <f>IFERROR(INDEX($Z$5:$Z$448,MATCH(ROWS($U$5:U82),$AA$5:$AA$448,0)),"")</f>
        <v/>
      </c>
      <c r="V82" s="274" t="str">
        <f>IF(Mar!C7="","",Mar!C7)</f>
        <v/>
      </c>
      <c r="W82" s="274" t="str" cm="1">
        <f t="array" ref="W82">IF(V82="","",IF(COUNTIF($V$5:V82,V82)&gt;1,"",ROUND(1+SUMPRODUCT(($V$5:$V$448&lt;&gt;"")*($V$5:$V$448&lt;V82)/COUNTIF($V$5:$V$448,$V$5:$V$448&amp;"")),0)))</f>
        <v/>
      </c>
      <c r="X82" s="274" t="str">
        <f t="shared" si="4"/>
        <v/>
      </c>
      <c r="Z82" s="274" t="str">
        <f>IF(Mar!H7="Major Injury",Mar!C7,"")</f>
        <v/>
      </c>
      <c r="AA82" s="274" t="str" cm="1">
        <f t="array" ref="AA82">IF(Z82="","",IF(COUNTIF($Z$5:Z82,Z82)&gt;1,"",ROUND(1+SUMPRODUCT(($Z$5:$Z$448&lt;&gt;"")*($Z$5:$Z$448&lt;Z82)/COUNTIF($Z$5:$Z$448,$Z$5:$Z$448&amp;"")),0)))</f>
        <v/>
      </c>
    </row>
    <row r="83" spans="2:27" x14ac:dyDescent="0.25">
      <c r="B83" s="160" t="str">
        <f>IFERROR(INDEX($V$5:$V$448,MATCH(ROWS($B$5:B83),$W$5:$W$448,0)),"")</f>
        <v/>
      </c>
      <c r="C83" s="265" t="str">
        <f>IF($B83="","",COUNTIF(Jan[Resident Name],$B83))</f>
        <v/>
      </c>
      <c r="D83" s="265" t="str">
        <f>IF($B83="","",COUNTIF(Feb[Resident Name],$B83))</f>
        <v/>
      </c>
      <c r="E83" s="265" t="str">
        <f>IF($B83="","",COUNTIF(Mar[Resident Name],$B83))</f>
        <v/>
      </c>
      <c r="F83" s="265" t="str">
        <f>IF($B83="","",COUNTIF(Apr[Resident Name],$B83))</f>
        <v/>
      </c>
      <c r="G83" s="265" t="str">
        <f>IF($B83="","",COUNTIF(May[Resident Name],$B83))</f>
        <v/>
      </c>
      <c r="H83" s="265" t="str">
        <f>IF($B83="","",COUNTIF(June[Resident Name],$B83))</f>
        <v/>
      </c>
      <c r="I83" s="265" t="str">
        <f>IF($B83="","",COUNTIF(July[Resident Name],$B83))</f>
        <v/>
      </c>
      <c r="J83" s="265" t="str">
        <f>IF($B83="","",COUNTIF(Aug[Resident Name],$B83))</f>
        <v/>
      </c>
      <c r="K83" s="265" t="str">
        <f>IF($B83="","",COUNTIF(Sept[Resident Name],$B83))</f>
        <v/>
      </c>
      <c r="L83" s="265" t="str">
        <f>IF($B83="","",COUNTIF(Oct[Resident Name],$B83))</f>
        <v/>
      </c>
      <c r="M83" s="265" t="str">
        <f>IF($B83="","",COUNTIF(Nov[Resident Name],$B83))</f>
        <v/>
      </c>
      <c r="N83" s="265" t="str">
        <f>IF($B83="","",COUNTIF(Dec[Resident Name],$B83))</f>
        <v/>
      </c>
      <c r="O83" s="265" t="str">
        <f t="shared" si="3"/>
        <v/>
      </c>
      <c r="P83" s="11"/>
      <c r="R83" s="160" t="str">
        <f>IFERROR(INDEX($B$5:$B$172,MATCH(ROWS($R$5:R83),$X$5:$X$172,0)),"")</f>
        <v/>
      </c>
      <c r="S83" s="76" t="str">
        <f>IF($R83="","",INDEX($O$5:$O$172,MATCH(ROWS($R$5:R83),$X$5:$X$172,0)))</f>
        <v/>
      </c>
      <c r="U83" s="160" t="str">
        <f>IFERROR(INDEX($Z$5:$Z$448,MATCH(ROWS($U$5:U83),$AA$5:$AA$448,0)),"")</f>
        <v/>
      </c>
      <c r="V83" s="274" t="str">
        <f>IF(Mar!C8="","",Mar!C8)</f>
        <v/>
      </c>
      <c r="W83" s="274" t="str" cm="1">
        <f t="array" ref="W83">IF(V83="","",IF(COUNTIF($V$5:V83,V83)&gt;1,"",ROUND(1+SUMPRODUCT(($V$5:$V$448&lt;&gt;"")*($V$5:$V$448&lt;V83)/COUNTIF($V$5:$V$448,$V$5:$V$448&amp;"")),0)))</f>
        <v/>
      </c>
      <c r="X83" s="274" t="str">
        <f t="shared" si="4"/>
        <v/>
      </c>
      <c r="Z83" s="274" t="str">
        <f>IF(Mar!H8="Major Injury",Mar!C8,"")</f>
        <v/>
      </c>
      <c r="AA83" s="274" t="str" cm="1">
        <f t="array" ref="AA83">IF(Z83="","",IF(COUNTIF($Z$5:Z83,Z83)&gt;1,"",ROUND(1+SUMPRODUCT(($Z$5:$Z$448&lt;&gt;"")*($Z$5:$Z$448&lt;Z83)/COUNTIF($Z$5:$Z$448,$Z$5:$Z$448&amp;"")),0)))</f>
        <v/>
      </c>
    </row>
    <row r="84" spans="2:27" x14ac:dyDescent="0.25">
      <c r="B84" s="160" t="str">
        <f>IFERROR(INDEX($V$5:$V$448,MATCH(ROWS($B$5:B84),$W$5:$W$448,0)),"")</f>
        <v/>
      </c>
      <c r="C84" s="265" t="str">
        <f>IF($B84="","",COUNTIF(Jan[Resident Name],$B84))</f>
        <v/>
      </c>
      <c r="D84" s="265" t="str">
        <f>IF($B84="","",COUNTIF(Feb[Resident Name],$B84))</f>
        <v/>
      </c>
      <c r="E84" s="265" t="str">
        <f>IF($B84="","",COUNTIF(Mar[Resident Name],$B84))</f>
        <v/>
      </c>
      <c r="F84" s="265" t="str">
        <f>IF($B84="","",COUNTIF(Apr[Resident Name],$B84))</f>
        <v/>
      </c>
      <c r="G84" s="265" t="str">
        <f>IF($B84="","",COUNTIF(May[Resident Name],$B84))</f>
        <v/>
      </c>
      <c r="H84" s="265" t="str">
        <f>IF($B84="","",COUNTIF(June[Resident Name],$B84))</f>
        <v/>
      </c>
      <c r="I84" s="265" t="str">
        <f>IF($B84="","",COUNTIF(July[Resident Name],$B84))</f>
        <v/>
      </c>
      <c r="J84" s="265" t="str">
        <f>IF($B84="","",COUNTIF(Aug[Resident Name],$B84))</f>
        <v/>
      </c>
      <c r="K84" s="265" t="str">
        <f>IF($B84="","",COUNTIF(Sept[Resident Name],$B84))</f>
        <v/>
      </c>
      <c r="L84" s="265" t="str">
        <f>IF($B84="","",COUNTIF(Oct[Resident Name],$B84))</f>
        <v/>
      </c>
      <c r="M84" s="265" t="str">
        <f>IF($B84="","",COUNTIF(Nov[Resident Name],$B84))</f>
        <v/>
      </c>
      <c r="N84" s="265" t="str">
        <f>IF($B84="","",COUNTIF(Dec[Resident Name],$B84))</f>
        <v/>
      </c>
      <c r="O84" s="265" t="str">
        <f t="shared" si="3"/>
        <v/>
      </c>
      <c r="P84" s="11"/>
      <c r="R84" s="160" t="str">
        <f>IFERROR(INDEX($B$5:$B$172,MATCH(ROWS($R$5:R84),$X$5:$X$172,0)),"")</f>
        <v/>
      </c>
      <c r="S84" s="76" t="str">
        <f>IF($R84="","",INDEX($O$5:$O$172,MATCH(ROWS($R$5:R84),$X$5:$X$172,0)))</f>
        <v/>
      </c>
      <c r="U84" s="160" t="str">
        <f>IFERROR(INDEX($Z$5:$Z$448,MATCH(ROWS($U$5:U84),$AA$5:$AA$448,0)),"")</f>
        <v/>
      </c>
      <c r="V84" s="274" t="str">
        <f>IF(Mar!C9="","",Mar!C9)</f>
        <v/>
      </c>
      <c r="W84" s="274" t="str" cm="1">
        <f t="array" ref="W84">IF(V84="","",IF(COUNTIF($V$5:V84,V84)&gt;1,"",ROUND(1+SUMPRODUCT(($V$5:$V$448&lt;&gt;"")*($V$5:$V$448&lt;V84)/COUNTIF($V$5:$V$448,$V$5:$V$448&amp;"")),0)))</f>
        <v/>
      </c>
      <c r="X84" s="274" t="str">
        <f t="shared" si="4"/>
        <v/>
      </c>
      <c r="Z84" s="274" t="str">
        <f>IF(Mar!H9="Major Injury",Mar!C9,"")</f>
        <v/>
      </c>
      <c r="AA84" s="274" t="str" cm="1">
        <f t="array" ref="AA84">IF(Z84="","",IF(COUNTIF($Z$5:Z84,Z84)&gt;1,"",ROUND(1+SUMPRODUCT(($Z$5:$Z$448&lt;&gt;"")*($Z$5:$Z$448&lt;Z84)/COUNTIF($Z$5:$Z$448,$Z$5:$Z$448&amp;"")),0)))</f>
        <v/>
      </c>
    </row>
    <row r="85" spans="2:27" x14ac:dyDescent="0.25">
      <c r="B85" s="160" t="str">
        <f>IFERROR(INDEX($V$5:$V$448,MATCH(ROWS($B$5:B85),$W$5:$W$448,0)),"")</f>
        <v/>
      </c>
      <c r="C85" s="265" t="str">
        <f>IF($B85="","",COUNTIF(Jan[Resident Name],$B85))</f>
        <v/>
      </c>
      <c r="D85" s="265" t="str">
        <f>IF($B85="","",COUNTIF(Feb[Resident Name],$B85))</f>
        <v/>
      </c>
      <c r="E85" s="265" t="str">
        <f>IF($B85="","",COUNTIF(Mar[Resident Name],$B85))</f>
        <v/>
      </c>
      <c r="F85" s="265" t="str">
        <f>IF($B85="","",COUNTIF(Apr[Resident Name],$B85))</f>
        <v/>
      </c>
      <c r="G85" s="265" t="str">
        <f>IF($B85="","",COUNTIF(May[Resident Name],$B85))</f>
        <v/>
      </c>
      <c r="H85" s="265" t="str">
        <f>IF($B85="","",COUNTIF(June[Resident Name],$B85))</f>
        <v/>
      </c>
      <c r="I85" s="265" t="str">
        <f>IF($B85="","",COUNTIF(July[Resident Name],$B85))</f>
        <v/>
      </c>
      <c r="J85" s="265" t="str">
        <f>IF($B85="","",COUNTIF(Aug[Resident Name],$B85))</f>
        <v/>
      </c>
      <c r="K85" s="265" t="str">
        <f>IF($B85="","",COUNTIF(Sept[Resident Name],$B85))</f>
        <v/>
      </c>
      <c r="L85" s="265" t="str">
        <f>IF($B85="","",COUNTIF(Oct[Resident Name],$B85))</f>
        <v/>
      </c>
      <c r="M85" s="265" t="str">
        <f>IF($B85="","",COUNTIF(Nov[Resident Name],$B85))</f>
        <v/>
      </c>
      <c r="N85" s="265" t="str">
        <f>IF($B85="","",COUNTIF(Dec[Resident Name],$B85))</f>
        <v/>
      </c>
      <c r="O85" s="265" t="str">
        <f t="shared" si="3"/>
        <v/>
      </c>
      <c r="P85" s="11"/>
      <c r="R85" s="160" t="str">
        <f>IFERROR(INDEX($B$5:$B$172,MATCH(ROWS($R$5:R85),$X$5:$X$172,0)),"")</f>
        <v/>
      </c>
      <c r="S85" s="76" t="str">
        <f>IF($R85="","",INDEX($O$5:$O$172,MATCH(ROWS($R$5:R85),$X$5:$X$172,0)))</f>
        <v/>
      </c>
      <c r="U85" s="160" t="str">
        <f>IFERROR(INDEX($Z$5:$Z$448,MATCH(ROWS($U$5:U85),$AA$5:$AA$448,0)),"")</f>
        <v/>
      </c>
      <c r="V85" s="274" t="str">
        <f>IF(Mar!C10="","",Mar!C10)</f>
        <v/>
      </c>
      <c r="W85" s="274" t="str" cm="1">
        <f t="array" ref="W85">IF(V85="","",IF(COUNTIF($V$5:V85,V85)&gt;1,"",ROUND(1+SUMPRODUCT(($V$5:$V$448&lt;&gt;"")*($V$5:$V$448&lt;V85)/COUNTIF($V$5:$V$448,$V$5:$V$448&amp;"")),0)))</f>
        <v/>
      </c>
      <c r="X85" s="274" t="str">
        <f t="shared" si="4"/>
        <v/>
      </c>
      <c r="Z85" s="274" t="str">
        <f>IF(Mar!H10="Major Injury",Mar!C10,"")</f>
        <v/>
      </c>
      <c r="AA85" s="274" t="str" cm="1">
        <f t="array" ref="AA85">IF(Z85="","",IF(COUNTIF($Z$5:Z85,Z85)&gt;1,"",ROUND(1+SUMPRODUCT(($Z$5:$Z$448&lt;&gt;"")*($Z$5:$Z$448&lt;Z85)/COUNTIF($Z$5:$Z$448,$Z$5:$Z$448&amp;"")),0)))</f>
        <v/>
      </c>
    </row>
    <row r="86" spans="2:27" x14ac:dyDescent="0.25">
      <c r="B86" s="160" t="str">
        <f>IFERROR(INDEX($V$5:$V$448,MATCH(ROWS($B$5:B86),$W$5:$W$448,0)),"")</f>
        <v/>
      </c>
      <c r="C86" s="265" t="str">
        <f>IF($B86="","",COUNTIF(Jan[Resident Name],$B86))</f>
        <v/>
      </c>
      <c r="D86" s="265" t="str">
        <f>IF($B86="","",COUNTIF(Feb[Resident Name],$B86))</f>
        <v/>
      </c>
      <c r="E86" s="265" t="str">
        <f>IF($B86="","",COUNTIF(Mar[Resident Name],$B86))</f>
        <v/>
      </c>
      <c r="F86" s="265" t="str">
        <f>IF($B86="","",COUNTIF(Apr[Resident Name],$B86))</f>
        <v/>
      </c>
      <c r="G86" s="265" t="str">
        <f>IF($B86="","",COUNTIF(May[Resident Name],$B86))</f>
        <v/>
      </c>
      <c r="H86" s="265" t="str">
        <f>IF($B86="","",COUNTIF(June[Resident Name],$B86))</f>
        <v/>
      </c>
      <c r="I86" s="265" t="str">
        <f>IF($B86="","",COUNTIF(July[Resident Name],$B86))</f>
        <v/>
      </c>
      <c r="J86" s="265" t="str">
        <f>IF($B86="","",COUNTIF(Aug[Resident Name],$B86))</f>
        <v/>
      </c>
      <c r="K86" s="265" t="str">
        <f>IF($B86="","",COUNTIF(Sept[Resident Name],$B86))</f>
        <v/>
      </c>
      <c r="L86" s="265" t="str">
        <f>IF($B86="","",COUNTIF(Oct[Resident Name],$B86))</f>
        <v/>
      </c>
      <c r="M86" s="265" t="str">
        <f>IF($B86="","",COUNTIF(Nov[Resident Name],$B86))</f>
        <v/>
      </c>
      <c r="N86" s="265" t="str">
        <f>IF($B86="","",COUNTIF(Dec[Resident Name],$B86))</f>
        <v/>
      </c>
      <c r="O86" s="265" t="str">
        <f t="shared" si="3"/>
        <v/>
      </c>
      <c r="P86" s="11"/>
      <c r="R86" s="160" t="str">
        <f>IFERROR(INDEX($B$5:$B$172,MATCH(ROWS($R$5:R86),$X$5:$X$172,0)),"")</f>
        <v/>
      </c>
      <c r="S86" s="76" t="str">
        <f>IF($R86="","",INDEX($O$5:$O$172,MATCH(ROWS($R$5:R86),$X$5:$X$172,0)))</f>
        <v/>
      </c>
      <c r="U86" s="160" t="str">
        <f>IFERROR(INDEX($Z$5:$Z$448,MATCH(ROWS($U$5:U86),$AA$5:$AA$448,0)),"")</f>
        <v/>
      </c>
      <c r="V86" s="274" t="str">
        <f>IF(Mar!C11="","",Mar!C11)</f>
        <v/>
      </c>
      <c r="W86" s="274" t="str" cm="1">
        <f t="array" ref="W86">IF(V86="","",IF(COUNTIF($V$5:V86,V86)&gt;1,"",ROUND(1+SUMPRODUCT(($V$5:$V$448&lt;&gt;"")*($V$5:$V$448&lt;V86)/COUNTIF($V$5:$V$448,$V$5:$V$448&amp;"")),0)))</f>
        <v/>
      </c>
      <c r="X86" s="274" t="str">
        <f t="shared" si="4"/>
        <v/>
      </c>
      <c r="Z86" s="274" t="str">
        <f>IF(Mar!H11="Major Injury",Mar!C11,"")</f>
        <v/>
      </c>
      <c r="AA86" s="274" t="str" cm="1">
        <f t="array" ref="AA86">IF(Z86="","",IF(COUNTIF($Z$5:Z86,Z86)&gt;1,"",ROUND(1+SUMPRODUCT(($Z$5:$Z$448&lt;&gt;"")*($Z$5:$Z$448&lt;Z86)/COUNTIF($Z$5:$Z$448,$Z$5:$Z$448&amp;"")),0)))</f>
        <v/>
      </c>
    </row>
    <row r="87" spans="2:27" x14ac:dyDescent="0.25">
      <c r="B87" s="160" t="str">
        <f>IFERROR(INDEX($V$5:$V$448,MATCH(ROWS($B$5:B87),$W$5:$W$448,0)),"")</f>
        <v/>
      </c>
      <c r="C87" s="265" t="str">
        <f>IF($B87="","",COUNTIF(Jan[Resident Name],$B87))</f>
        <v/>
      </c>
      <c r="D87" s="265" t="str">
        <f>IF($B87="","",COUNTIF(Feb[Resident Name],$B87))</f>
        <v/>
      </c>
      <c r="E87" s="265" t="str">
        <f>IF($B87="","",COUNTIF(Mar[Resident Name],$B87))</f>
        <v/>
      </c>
      <c r="F87" s="265" t="str">
        <f>IF($B87="","",COUNTIF(Apr[Resident Name],$B87))</f>
        <v/>
      </c>
      <c r="G87" s="265" t="str">
        <f>IF($B87="","",COUNTIF(May[Resident Name],$B87))</f>
        <v/>
      </c>
      <c r="H87" s="265" t="str">
        <f>IF($B87="","",COUNTIF(June[Resident Name],$B87))</f>
        <v/>
      </c>
      <c r="I87" s="265" t="str">
        <f>IF($B87="","",COUNTIF(July[Resident Name],$B87))</f>
        <v/>
      </c>
      <c r="J87" s="265" t="str">
        <f>IF($B87="","",COUNTIF(Aug[Resident Name],$B87))</f>
        <v/>
      </c>
      <c r="K87" s="265" t="str">
        <f>IF($B87="","",COUNTIF(Sept[Resident Name],$B87))</f>
        <v/>
      </c>
      <c r="L87" s="265" t="str">
        <f>IF($B87="","",COUNTIF(Oct[Resident Name],$B87))</f>
        <v/>
      </c>
      <c r="M87" s="265" t="str">
        <f>IF($B87="","",COUNTIF(Nov[Resident Name],$B87))</f>
        <v/>
      </c>
      <c r="N87" s="265" t="str">
        <f>IF($B87="","",COUNTIF(Dec[Resident Name],$B87))</f>
        <v/>
      </c>
      <c r="O87" s="265" t="str">
        <f t="shared" si="3"/>
        <v/>
      </c>
      <c r="P87" s="11"/>
      <c r="R87" s="160" t="str">
        <f>IFERROR(INDEX($B$5:$B$172,MATCH(ROWS($R$5:R87),$X$5:$X$172,0)),"")</f>
        <v/>
      </c>
      <c r="S87" s="76" t="str">
        <f>IF($R87="","",INDEX($O$5:$O$172,MATCH(ROWS($R$5:R87),$X$5:$X$172,0)))</f>
        <v/>
      </c>
      <c r="U87" s="160" t="str">
        <f>IFERROR(INDEX($Z$5:$Z$448,MATCH(ROWS($U$5:U87),$AA$5:$AA$448,0)),"")</f>
        <v/>
      </c>
      <c r="V87" s="274" t="str">
        <f>IF(Mar!C12="","",Mar!C12)</f>
        <v/>
      </c>
      <c r="W87" s="274" t="str" cm="1">
        <f t="array" ref="W87">IF(V87="","",IF(COUNTIF($V$5:V87,V87)&gt;1,"",ROUND(1+SUMPRODUCT(($V$5:$V$448&lt;&gt;"")*($V$5:$V$448&lt;V87)/COUNTIF($V$5:$V$448,$V$5:$V$448&amp;"")),0)))</f>
        <v/>
      </c>
      <c r="X87" s="274" t="str">
        <f t="shared" si="4"/>
        <v/>
      </c>
      <c r="Z87" s="274" t="str">
        <f>IF(Mar!H12="Major Injury",Mar!C12,"")</f>
        <v/>
      </c>
      <c r="AA87" s="274" t="str" cm="1">
        <f t="array" ref="AA87">IF(Z87="","",IF(COUNTIF($Z$5:Z87,Z87)&gt;1,"",ROUND(1+SUMPRODUCT(($Z$5:$Z$448&lt;&gt;"")*($Z$5:$Z$448&lt;Z87)/COUNTIF($Z$5:$Z$448,$Z$5:$Z$448&amp;"")),0)))</f>
        <v/>
      </c>
    </row>
    <row r="88" spans="2:27" x14ac:dyDescent="0.25">
      <c r="B88" s="160" t="str">
        <f>IFERROR(INDEX($V$5:$V$448,MATCH(ROWS($B$5:B88),$W$5:$W$448,0)),"")</f>
        <v/>
      </c>
      <c r="C88" s="265" t="str">
        <f>IF($B88="","",COUNTIF(Jan[Resident Name],$B88))</f>
        <v/>
      </c>
      <c r="D88" s="265" t="str">
        <f>IF($B88="","",COUNTIF(Feb[Resident Name],$B88))</f>
        <v/>
      </c>
      <c r="E88" s="265" t="str">
        <f>IF($B88="","",COUNTIF(Mar[Resident Name],$B88))</f>
        <v/>
      </c>
      <c r="F88" s="265" t="str">
        <f>IF($B88="","",COUNTIF(Apr[Resident Name],$B88))</f>
        <v/>
      </c>
      <c r="G88" s="265" t="str">
        <f>IF($B88="","",COUNTIF(May[Resident Name],$B88))</f>
        <v/>
      </c>
      <c r="H88" s="265" t="str">
        <f>IF($B88="","",COUNTIF(June[Resident Name],$B88))</f>
        <v/>
      </c>
      <c r="I88" s="265" t="str">
        <f>IF($B88="","",COUNTIF(July[Resident Name],$B88))</f>
        <v/>
      </c>
      <c r="J88" s="265" t="str">
        <f>IF($B88="","",COUNTIF(Aug[Resident Name],$B88))</f>
        <v/>
      </c>
      <c r="K88" s="265" t="str">
        <f>IF($B88="","",COUNTIF(Sept[Resident Name],$B88))</f>
        <v/>
      </c>
      <c r="L88" s="265" t="str">
        <f>IF($B88="","",COUNTIF(Oct[Resident Name],$B88))</f>
        <v/>
      </c>
      <c r="M88" s="265" t="str">
        <f>IF($B88="","",COUNTIF(Nov[Resident Name],$B88))</f>
        <v/>
      </c>
      <c r="N88" s="265" t="str">
        <f>IF($B88="","",COUNTIF(Dec[Resident Name],$B88))</f>
        <v/>
      </c>
      <c r="O88" s="265" t="str">
        <f t="shared" si="3"/>
        <v/>
      </c>
      <c r="P88" s="11"/>
      <c r="R88" s="160" t="str">
        <f>IFERROR(INDEX($B$5:$B$172,MATCH(ROWS($R$5:R88),$X$5:$X$172,0)),"")</f>
        <v/>
      </c>
      <c r="S88" s="76" t="str">
        <f>IF($R88="","",INDEX($O$5:$O$172,MATCH(ROWS($R$5:R88),$X$5:$X$172,0)))</f>
        <v/>
      </c>
      <c r="U88" s="160" t="str">
        <f>IFERROR(INDEX($Z$5:$Z$448,MATCH(ROWS($U$5:U88),$AA$5:$AA$448,0)),"")</f>
        <v/>
      </c>
      <c r="V88" s="274" t="str">
        <f>IF(Mar!C13="","",Mar!C13)</f>
        <v/>
      </c>
      <c r="W88" s="274" t="str" cm="1">
        <f t="array" ref="W88">IF(V88="","",IF(COUNTIF($V$5:V88,V88)&gt;1,"",ROUND(1+SUMPRODUCT(($V$5:$V$448&lt;&gt;"")*($V$5:$V$448&lt;V88)/COUNTIF($V$5:$V$448,$V$5:$V$448&amp;"")),0)))</f>
        <v/>
      </c>
      <c r="X88" s="274" t="str">
        <f t="shared" si="4"/>
        <v/>
      </c>
      <c r="Z88" s="274" t="str">
        <f>IF(Mar!H13="Major Injury",Mar!C13,"")</f>
        <v/>
      </c>
      <c r="AA88" s="274" t="str" cm="1">
        <f t="array" ref="AA88">IF(Z88="","",IF(COUNTIF($Z$5:Z88,Z88)&gt;1,"",ROUND(1+SUMPRODUCT(($Z$5:$Z$448&lt;&gt;"")*($Z$5:$Z$448&lt;Z88)/COUNTIF($Z$5:$Z$448,$Z$5:$Z$448&amp;"")),0)))</f>
        <v/>
      </c>
    </row>
    <row r="89" spans="2:27" x14ac:dyDescent="0.25">
      <c r="B89" s="160" t="str">
        <f>IFERROR(INDEX($V$5:$V$448,MATCH(ROWS($B$5:B89),$W$5:$W$448,0)),"")</f>
        <v/>
      </c>
      <c r="C89" s="265" t="str">
        <f>IF($B89="","",COUNTIF(Jan[Resident Name],$B89))</f>
        <v/>
      </c>
      <c r="D89" s="265" t="str">
        <f>IF($B89="","",COUNTIF(Feb[Resident Name],$B89))</f>
        <v/>
      </c>
      <c r="E89" s="265" t="str">
        <f>IF($B89="","",COUNTIF(Mar[Resident Name],$B89))</f>
        <v/>
      </c>
      <c r="F89" s="265" t="str">
        <f>IF($B89="","",COUNTIF(Apr[Resident Name],$B89))</f>
        <v/>
      </c>
      <c r="G89" s="265" t="str">
        <f>IF($B89="","",COUNTIF(May[Resident Name],$B89))</f>
        <v/>
      </c>
      <c r="H89" s="265" t="str">
        <f>IF($B89="","",COUNTIF(June[Resident Name],$B89))</f>
        <v/>
      </c>
      <c r="I89" s="265" t="str">
        <f>IF($B89="","",COUNTIF(July[Resident Name],$B89))</f>
        <v/>
      </c>
      <c r="J89" s="265" t="str">
        <f>IF($B89="","",COUNTIF(Aug[Resident Name],$B89))</f>
        <v/>
      </c>
      <c r="K89" s="265" t="str">
        <f>IF($B89="","",COUNTIF(Sept[Resident Name],$B89))</f>
        <v/>
      </c>
      <c r="L89" s="265" t="str">
        <f>IF($B89="","",COUNTIF(Oct[Resident Name],$B89))</f>
        <v/>
      </c>
      <c r="M89" s="265" t="str">
        <f>IF($B89="","",COUNTIF(Nov[Resident Name],$B89))</f>
        <v/>
      </c>
      <c r="N89" s="265" t="str">
        <f>IF($B89="","",COUNTIF(Dec[Resident Name],$B89))</f>
        <v/>
      </c>
      <c r="O89" s="265" t="str">
        <f t="shared" si="3"/>
        <v/>
      </c>
      <c r="P89" s="11"/>
      <c r="R89" s="160" t="str">
        <f>IFERROR(INDEX($B$5:$B$172,MATCH(ROWS($R$5:R89),$X$5:$X$172,0)),"")</f>
        <v/>
      </c>
      <c r="S89" s="76" t="str">
        <f>IF($R89="","",INDEX($O$5:$O$172,MATCH(ROWS($R$5:R89),$X$5:$X$172,0)))</f>
        <v/>
      </c>
      <c r="U89" s="160" t="str">
        <f>IFERROR(INDEX($Z$5:$Z$448,MATCH(ROWS($U$5:U89),$AA$5:$AA$448,0)),"")</f>
        <v/>
      </c>
      <c r="V89" s="274" t="str">
        <f>IF(Mar!C14="","",Mar!C14)</f>
        <v/>
      </c>
      <c r="W89" s="274" t="str" cm="1">
        <f t="array" ref="W89">IF(V89="","",IF(COUNTIF($V$5:V89,V89)&gt;1,"",ROUND(1+SUMPRODUCT(($V$5:$V$448&lt;&gt;"")*($V$5:$V$448&lt;V89)/COUNTIF($V$5:$V$448,$V$5:$V$448&amp;"")),0)))</f>
        <v/>
      </c>
      <c r="X89" s="274" t="str">
        <f t="shared" si="4"/>
        <v/>
      </c>
      <c r="Z89" s="274" t="str">
        <f>IF(Mar!H14="Major Injury",Mar!C14,"")</f>
        <v/>
      </c>
      <c r="AA89" s="274" t="str" cm="1">
        <f t="array" ref="AA89">IF(Z89="","",IF(COUNTIF($Z$5:Z89,Z89)&gt;1,"",ROUND(1+SUMPRODUCT(($Z$5:$Z$448&lt;&gt;"")*($Z$5:$Z$448&lt;Z89)/COUNTIF($Z$5:$Z$448,$Z$5:$Z$448&amp;"")),0)))</f>
        <v/>
      </c>
    </row>
    <row r="90" spans="2:27" x14ac:dyDescent="0.25">
      <c r="B90" s="160" t="str">
        <f>IFERROR(INDEX($V$5:$V$448,MATCH(ROWS($B$5:B90),$W$5:$W$448,0)),"")</f>
        <v/>
      </c>
      <c r="C90" s="265" t="str">
        <f>IF($B90="","",COUNTIF(Jan[Resident Name],$B90))</f>
        <v/>
      </c>
      <c r="D90" s="265" t="str">
        <f>IF($B90="","",COUNTIF(Feb[Resident Name],$B90))</f>
        <v/>
      </c>
      <c r="E90" s="265" t="str">
        <f>IF($B90="","",COUNTIF(Mar[Resident Name],$B90))</f>
        <v/>
      </c>
      <c r="F90" s="265" t="str">
        <f>IF($B90="","",COUNTIF(Apr[Resident Name],$B90))</f>
        <v/>
      </c>
      <c r="G90" s="265" t="str">
        <f>IF($B90="","",COUNTIF(May[Resident Name],$B90))</f>
        <v/>
      </c>
      <c r="H90" s="265" t="str">
        <f>IF($B90="","",COUNTIF(June[Resident Name],$B90))</f>
        <v/>
      </c>
      <c r="I90" s="265" t="str">
        <f>IF($B90="","",COUNTIF(July[Resident Name],$B90))</f>
        <v/>
      </c>
      <c r="J90" s="265" t="str">
        <f>IF($B90="","",COUNTIF(Aug[Resident Name],$B90))</f>
        <v/>
      </c>
      <c r="K90" s="265" t="str">
        <f>IF($B90="","",COUNTIF(Sept[Resident Name],$B90))</f>
        <v/>
      </c>
      <c r="L90" s="265" t="str">
        <f>IF($B90="","",COUNTIF(Oct[Resident Name],$B90))</f>
        <v/>
      </c>
      <c r="M90" s="265" t="str">
        <f>IF($B90="","",COUNTIF(Nov[Resident Name],$B90))</f>
        <v/>
      </c>
      <c r="N90" s="265" t="str">
        <f>IF($B90="","",COUNTIF(Dec[Resident Name],$B90))</f>
        <v/>
      </c>
      <c r="O90" s="265" t="str">
        <f t="shared" si="3"/>
        <v/>
      </c>
      <c r="P90" s="11"/>
      <c r="R90" s="160" t="str">
        <f>IFERROR(INDEX($B$5:$B$172,MATCH(ROWS($R$5:R90),$X$5:$X$172,0)),"")</f>
        <v/>
      </c>
      <c r="S90" s="76" t="str">
        <f>IF($R90="","",INDEX($O$5:$O$172,MATCH(ROWS($R$5:R90),$X$5:$X$172,0)))</f>
        <v/>
      </c>
      <c r="U90" s="160" t="str">
        <f>IFERROR(INDEX($Z$5:$Z$448,MATCH(ROWS($U$5:U90),$AA$5:$AA$448,0)),"")</f>
        <v/>
      </c>
      <c r="V90" s="274" t="str">
        <f>IF(Mar!C15="","",Mar!C15)</f>
        <v/>
      </c>
      <c r="W90" s="274" t="str" cm="1">
        <f t="array" ref="W90">IF(V90="","",IF(COUNTIF($V$5:V90,V90)&gt;1,"",ROUND(1+SUMPRODUCT(($V$5:$V$448&lt;&gt;"")*($V$5:$V$448&lt;V90)/COUNTIF($V$5:$V$448,$V$5:$V$448&amp;"")),0)))</f>
        <v/>
      </c>
      <c r="X90" s="274" t="str">
        <f t="shared" si="4"/>
        <v/>
      </c>
      <c r="Z90" s="274" t="str">
        <f>IF(Mar!H15="Major Injury",Mar!C15,"")</f>
        <v/>
      </c>
      <c r="AA90" s="274" t="str" cm="1">
        <f t="array" ref="AA90">IF(Z90="","",IF(COUNTIF($Z$5:Z90,Z90)&gt;1,"",ROUND(1+SUMPRODUCT(($Z$5:$Z$448&lt;&gt;"")*($Z$5:$Z$448&lt;Z90)/COUNTIF($Z$5:$Z$448,$Z$5:$Z$448&amp;"")),0)))</f>
        <v/>
      </c>
    </row>
    <row r="91" spans="2:27" x14ac:dyDescent="0.25">
      <c r="B91" s="160" t="str">
        <f>IFERROR(INDEX($V$5:$V$448,MATCH(ROWS($B$5:B91),$W$5:$W$448,0)),"")</f>
        <v/>
      </c>
      <c r="C91" s="265" t="str">
        <f>IF($B91="","",COUNTIF(Jan[Resident Name],$B91))</f>
        <v/>
      </c>
      <c r="D91" s="265" t="str">
        <f>IF($B91="","",COUNTIF(Feb[Resident Name],$B91))</f>
        <v/>
      </c>
      <c r="E91" s="265" t="str">
        <f>IF($B91="","",COUNTIF(Mar[Resident Name],$B91))</f>
        <v/>
      </c>
      <c r="F91" s="265" t="str">
        <f>IF($B91="","",COUNTIF(Apr[Resident Name],$B91))</f>
        <v/>
      </c>
      <c r="G91" s="265" t="str">
        <f>IF($B91="","",COUNTIF(May[Resident Name],$B91))</f>
        <v/>
      </c>
      <c r="H91" s="265" t="str">
        <f>IF($B91="","",COUNTIF(June[Resident Name],$B91))</f>
        <v/>
      </c>
      <c r="I91" s="265" t="str">
        <f>IF($B91="","",COUNTIF(July[Resident Name],$B91))</f>
        <v/>
      </c>
      <c r="J91" s="265" t="str">
        <f>IF($B91="","",COUNTIF(Aug[Resident Name],$B91))</f>
        <v/>
      </c>
      <c r="K91" s="265" t="str">
        <f>IF($B91="","",COUNTIF(Sept[Resident Name],$B91))</f>
        <v/>
      </c>
      <c r="L91" s="265" t="str">
        <f>IF($B91="","",COUNTIF(Oct[Resident Name],$B91))</f>
        <v/>
      </c>
      <c r="M91" s="265" t="str">
        <f>IF($B91="","",COUNTIF(Nov[Resident Name],$B91))</f>
        <v/>
      </c>
      <c r="N91" s="265" t="str">
        <f>IF($B91="","",COUNTIF(Dec[Resident Name],$B91))</f>
        <v/>
      </c>
      <c r="O91" s="265" t="str">
        <f t="shared" si="3"/>
        <v/>
      </c>
      <c r="P91" s="11"/>
      <c r="R91" s="160" t="str">
        <f>IFERROR(INDEX($B$5:$B$172,MATCH(ROWS($R$5:R91),$X$5:$X$172,0)),"")</f>
        <v/>
      </c>
      <c r="S91" s="76" t="str">
        <f>IF($R91="","",INDEX($O$5:$O$172,MATCH(ROWS($R$5:R91),$X$5:$X$172,0)))</f>
        <v/>
      </c>
      <c r="U91" s="160" t="str">
        <f>IFERROR(INDEX($Z$5:$Z$448,MATCH(ROWS($U$5:U91),$AA$5:$AA$448,0)),"")</f>
        <v/>
      </c>
      <c r="V91" s="274" t="str">
        <f>IF(Mar!C16="","",Mar!C16)</f>
        <v/>
      </c>
      <c r="W91" s="274" t="str" cm="1">
        <f t="array" ref="W91">IF(V91="","",IF(COUNTIF($V$5:V91,V91)&gt;1,"",ROUND(1+SUMPRODUCT(($V$5:$V$448&lt;&gt;"")*($V$5:$V$448&lt;V91)/COUNTIF($V$5:$V$448,$V$5:$V$448&amp;"")),0)))</f>
        <v/>
      </c>
      <c r="X91" s="274" t="str">
        <f t="shared" si="4"/>
        <v/>
      </c>
      <c r="Z91" s="274" t="str">
        <f>IF(Mar!H16="Major Injury",Mar!C16,"")</f>
        <v/>
      </c>
      <c r="AA91" s="274" t="str" cm="1">
        <f t="array" ref="AA91">IF(Z91="","",IF(COUNTIF($Z$5:Z91,Z91)&gt;1,"",ROUND(1+SUMPRODUCT(($Z$5:$Z$448&lt;&gt;"")*($Z$5:$Z$448&lt;Z91)/COUNTIF($Z$5:$Z$448,$Z$5:$Z$448&amp;"")),0)))</f>
        <v/>
      </c>
    </row>
    <row r="92" spans="2:27" x14ac:dyDescent="0.25">
      <c r="B92" s="160" t="str">
        <f>IFERROR(INDEX($V$5:$V$448,MATCH(ROWS($B$5:B92),$W$5:$W$448,0)),"")</f>
        <v/>
      </c>
      <c r="C92" s="265" t="str">
        <f>IF($B92="","",COUNTIF(Jan[Resident Name],$B92))</f>
        <v/>
      </c>
      <c r="D92" s="265" t="str">
        <f>IF($B92="","",COUNTIF(Feb[Resident Name],$B92))</f>
        <v/>
      </c>
      <c r="E92" s="265" t="str">
        <f>IF($B92="","",COUNTIF(Mar[Resident Name],$B92))</f>
        <v/>
      </c>
      <c r="F92" s="265" t="str">
        <f>IF($B92="","",COUNTIF(Apr[Resident Name],$B92))</f>
        <v/>
      </c>
      <c r="G92" s="265" t="str">
        <f>IF($B92="","",COUNTIF(May[Resident Name],$B92))</f>
        <v/>
      </c>
      <c r="H92" s="265" t="str">
        <f>IF($B92="","",COUNTIF(June[Resident Name],$B92))</f>
        <v/>
      </c>
      <c r="I92" s="265" t="str">
        <f>IF($B92="","",COUNTIF(July[Resident Name],$B92))</f>
        <v/>
      </c>
      <c r="J92" s="265" t="str">
        <f>IF($B92="","",COUNTIF(Aug[Resident Name],$B92))</f>
        <v/>
      </c>
      <c r="K92" s="265" t="str">
        <f>IF($B92="","",COUNTIF(Sept[Resident Name],$B92))</f>
        <v/>
      </c>
      <c r="L92" s="265" t="str">
        <f>IF($B92="","",COUNTIF(Oct[Resident Name],$B92))</f>
        <v/>
      </c>
      <c r="M92" s="265" t="str">
        <f>IF($B92="","",COUNTIF(Nov[Resident Name],$B92))</f>
        <v/>
      </c>
      <c r="N92" s="265" t="str">
        <f>IF($B92="","",COUNTIF(Dec[Resident Name],$B92))</f>
        <v/>
      </c>
      <c r="O92" s="265" t="str">
        <f t="shared" si="3"/>
        <v/>
      </c>
      <c r="P92" s="11"/>
      <c r="R92" s="160" t="str">
        <f>IFERROR(INDEX($B$5:$B$172,MATCH(ROWS($R$5:R92),$X$5:$X$172,0)),"")</f>
        <v/>
      </c>
      <c r="S92" s="76" t="str">
        <f>IF($R92="","",INDEX($O$5:$O$172,MATCH(ROWS($R$5:R92),$X$5:$X$172,0)))</f>
        <v/>
      </c>
      <c r="U92" s="160" t="str">
        <f>IFERROR(INDEX($Z$5:$Z$448,MATCH(ROWS($U$5:U92),$AA$5:$AA$448,0)),"")</f>
        <v/>
      </c>
      <c r="V92" s="274" t="str">
        <f>IF(Mar!C17="","",Mar!C17)</f>
        <v/>
      </c>
      <c r="W92" s="274" t="str" cm="1">
        <f t="array" ref="W92">IF(V92="","",IF(COUNTIF($V$5:V92,V92)&gt;1,"",ROUND(1+SUMPRODUCT(($V$5:$V$448&lt;&gt;"")*($V$5:$V$448&lt;V92)/COUNTIF($V$5:$V$448,$V$5:$V$448&amp;"")),0)))</f>
        <v/>
      </c>
      <c r="X92" s="274" t="str">
        <f t="shared" si="4"/>
        <v/>
      </c>
      <c r="Z92" s="274" t="str">
        <f>IF(Mar!H17="Major Injury",Mar!C17,"")</f>
        <v/>
      </c>
      <c r="AA92" s="274" t="str" cm="1">
        <f t="array" ref="AA92">IF(Z92="","",IF(COUNTIF($Z$5:Z92,Z92)&gt;1,"",ROUND(1+SUMPRODUCT(($Z$5:$Z$448&lt;&gt;"")*($Z$5:$Z$448&lt;Z92)/COUNTIF($Z$5:$Z$448,$Z$5:$Z$448&amp;"")),0)))</f>
        <v/>
      </c>
    </row>
    <row r="93" spans="2:27" x14ac:dyDescent="0.25">
      <c r="B93" s="160" t="str">
        <f>IFERROR(INDEX($V$5:$V$448,MATCH(ROWS($B$5:B93),$W$5:$W$448,0)),"")</f>
        <v/>
      </c>
      <c r="C93" s="265" t="str">
        <f>IF($B93="","",COUNTIF(Jan[Resident Name],$B93))</f>
        <v/>
      </c>
      <c r="D93" s="265" t="str">
        <f>IF($B93="","",COUNTIF(Feb[Resident Name],$B93))</f>
        <v/>
      </c>
      <c r="E93" s="265" t="str">
        <f>IF($B93="","",COUNTIF(Mar[Resident Name],$B93))</f>
        <v/>
      </c>
      <c r="F93" s="265" t="str">
        <f>IF($B93="","",COUNTIF(Apr[Resident Name],$B93))</f>
        <v/>
      </c>
      <c r="G93" s="265" t="str">
        <f>IF($B93="","",COUNTIF(May[Resident Name],$B93))</f>
        <v/>
      </c>
      <c r="H93" s="265" t="str">
        <f>IF($B93="","",COUNTIF(June[Resident Name],$B93))</f>
        <v/>
      </c>
      <c r="I93" s="265" t="str">
        <f>IF($B93="","",COUNTIF(July[Resident Name],$B93))</f>
        <v/>
      </c>
      <c r="J93" s="265" t="str">
        <f>IF($B93="","",COUNTIF(Aug[Resident Name],$B93))</f>
        <v/>
      </c>
      <c r="K93" s="265" t="str">
        <f>IF($B93="","",COUNTIF(Sept[Resident Name],$B93))</f>
        <v/>
      </c>
      <c r="L93" s="265" t="str">
        <f>IF($B93="","",COUNTIF(Oct[Resident Name],$B93))</f>
        <v/>
      </c>
      <c r="M93" s="265" t="str">
        <f>IF($B93="","",COUNTIF(Nov[Resident Name],$B93))</f>
        <v/>
      </c>
      <c r="N93" s="265" t="str">
        <f>IF($B93="","",COUNTIF(Dec[Resident Name],$B93))</f>
        <v/>
      </c>
      <c r="O93" s="265" t="str">
        <f t="shared" si="3"/>
        <v/>
      </c>
      <c r="P93" s="11"/>
      <c r="R93" s="160" t="str">
        <f>IFERROR(INDEX($B$5:$B$172,MATCH(ROWS($R$5:R93),$X$5:$X$172,0)),"")</f>
        <v/>
      </c>
      <c r="S93" s="76" t="str">
        <f>IF($R93="","",INDEX($O$5:$O$172,MATCH(ROWS($R$5:R93),$X$5:$X$172,0)))</f>
        <v/>
      </c>
      <c r="U93" s="160" t="str">
        <f>IFERROR(INDEX($Z$5:$Z$448,MATCH(ROWS($U$5:U93),$AA$5:$AA$448,0)),"")</f>
        <v/>
      </c>
      <c r="V93" s="274" t="str">
        <f>IF(Mar!C18="","",Mar!C18)</f>
        <v/>
      </c>
      <c r="W93" s="274" t="str" cm="1">
        <f t="array" ref="W93">IF(V93="","",IF(COUNTIF($V$5:V93,V93)&gt;1,"",ROUND(1+SUMPRODUCT(($V$5:$V$448&lt;&gt;"")*($V$5:$V$448&lt;V93)/COUNTIF($V$5:$V$448,$V$5:$V$448&amp;"")),0)))</f>
        <v/>
      </c>
      <c r="X93" s="274" t="str">
        <f t="shared" si="4"/>
        <v/>
      </c>
      <c r="Z93" s="274" t="str">
        <f>IF(Mar!H18="Major Injury",Mar!C18,"")</f>
        <v/>
      </c>
      <c r="AA93" s="274" t="str" cm="1">
        <f t="array" ref="AA93">IF(Z93="","",IF(COUNTIF($Z$5:Z93,Z93)&gt;1,"",ROUND(1+SUMPRODUCT(($Z$5:$Z$448&lt;&gt;"")*($Z$5:$Z$448&lt;Z93)/COUNTIF($Z$5:$Z$448,$Z$5:$Z$448&amp;"")),0)))</f>
        <v/>
      </c>
    </row>
    <row r="94" spans="2:27" x14ac:dyDescent="0.25">
      <c r="B94" s="160" t="str">
        <f>IFERROR(INDEX($V$5:$V$448,MATCH(ROWS($B$5:B94),$W$5:$W$448,0)),"")</f>
        <v/>
      </c>
      <c r="C94" s="265" t="str">
        <f>IF($B94="","",COUNTIF(Jan[Resident Name],$B94))</f>
        <v/>
      </c>
      <c r="D94" s="265" t="str">
        <f>IF($B94="","",COUNTIF(Feb[Resident Name],$B94))</f>
        <v/>
      </c>
      <c r="E94" s="265" t="str">
        <f>IF($B94="","",COUNTIF(Mar[Resident Name],$B94))</f>
        <v/>
      </c>
      <c r="F94" s="265" t="str">
        <f>IF($B94="","",COUNTIF(Apr[Resident Name],$B94))</f>
        <v/>
      </c>
      <c r="G94" s="265" t="str">
        <f>IF($B94="","",COUNTIF(May[Resident Name],$B94))</f>
        <v/>
      </c>
      <c r="H94" s="265" t="str">
        <f>IF($B94="","",COUNTIF(June[Resident Name],$B94))</f>
        <v/>
      </c>
      <c r="I94" s="265" t="str">
        <f>IF($B94="","",COUNTIF(July[Resident Name],$B94))</f>
        <v/>
      </c>
      <c r="J94" s="265" t="str">
        <f>IF($B94="","",COUNTIF(Aug[Resident Name],$B94))</f>
        <v/>
      </c>
      <c r="K94" s="265" t="str">
        <f>IF($B94="","",COUNTIF(Sept[Resident Name],$B94))</f>
        <v/>
      </c>
      <c r="L94" s="265" t="str">
        <f>IF($B94="","",COUNTIF(Oct[Resident Name],$B94))</f>
        <v/>
      </c>
      <c r="M94" s="265" t="str">
        <f>IF($B94="","",COUNTIF(Nov[Resident Name],$B94))</f>
        <v/>
      </c>
      <c r="N94" s="265" t="str">
        <f>IF($B94="","",COUNTIF(Dec[Resident Name],$B94))</f>
        <v/>
      </c>
      <c r="O94" s="265" t="str">
        <f t="shared" si="3"/>
        <v/>
      </c>
      <c r="P94" s="11"/>
      <c r="R94" s="160" t="str">
        <f>IFERROR(INDEX($B$5:$B$172,MATCH(ROWS($R$5:R94),$X$5:$X$172,0)),"")</f>
        <v/>
      </c>
      <c r="S94" s="76" t="str">
        <f>IF($R94="","",INDEX($O$5:$O$172,MATCH(ROWS($R$5:R94),$X$5:$X$172,0)))</f>
        <v/>
      </c>
      <c r="U94" s="160" t="str">
        <f>IFERROR(INDEX($Z$5:$Z$448,MATCH(ROWS($U$5:U94),$AA$5:$AA$448,0)),"")</f>
        <v/>
      </c>
      <c r="V94" s="274" t="str">
        <f>IF(Mar!C19="","",Mar!C19)</f>
        <v/>
      </c>
      <c r="W94" s="274" t="str" cm="1">
        <f t="array" ref="W94">IF(V94="","",IF(COUNTIF($V$5:V94,V94)&gt;1,"",ROUND(1+SUMPRODUCT(($V$5:$V$448&lt;&gt;"")*($V$5:$V$448&lt;V94)/COUNTIF($V$5:$V$448,$V$5:$V$448&amp;"")),0)))</f>
        <v/>
      </c>
      <c r="X94" s="274" t="str">
        <f t="shared" si="4"/>
        <v/>
      </c>
      <c r="Z94" s="274" t="str">
        <f>IF(Mar!H19="Major Injury",Mar!C19,"")</f>
        <v/>
      </c>
      <c r="AA94" s="274" t="str" cm="1">
        <f t="array" ref="AA94">IF(Z94="","",IF(COUNTIF($Z$5:Z94,Z94)&gt;1,"",ROUND(1+SUMPRODUCT(($Z$5:$Z$448&lt;&gt;"")*($Z$5:$Z$448&lt;Z94)/COUNTIF($Z$5:$Z$448,$Z$5:$Z$448&amp;"")),0)))</f>
        <v/>
      </c>
    </row>
    <row r="95" spans="2:27" x14ac:dyDescent="0.25">
      <c r="B95" s="160" t="str">
        <f>IFERROR(INDEX($V$5:$V$448,MATCH(ROWS($B$5:B95),$W$5:$W$448,0)),"")</f>
        <v/>
      </c>
      <c r="C95" s="265" t="str">
        <f>IF($B95="","",COUNTIF(Jan[Resident Name],$B95))</f>
        <v/>
      </c>
      <c r="D95" s="265" t="str">
        <f>IF($B95="","",COUNTIF(Feb[Resident Name],$B95))</f>
        <v/>
      </c>
      <c r="E95" s="265" t="str">
        <f>IF($B95="","",COUNTIF(Mar[Resident Name],$B95))</f>
        <v/>
      </c>
      <c r="F95" s="265" t="str">
        <f>IF($B95="","",COUNTIF(Apr[Resident Name],$B95))</f>
        <v/>
      </c>
      <c r="G95" s="265" t="str">
        <f>IF($B95="","",COUNTIF(May[Resident Name],$B95))</f>
        <v/>
      </c>
      <c r="H95" s="265" t="str">
        <f>IF($B95="","",COUNTIF(June[Resident Name],$B95))</f>
        <v/>
      </c>
      <c r="I95" s="265" t="str">
        <f>IF($B95="","",COUNTIF(July[Resident Name],$B95))</f>
        <v/>
      </c>
      <c r="J95" s="265" t="str">
        <f>IF($B95="","",COUNTIF(Aug[Resident Name],$B95))</f>
        <v/>
      </c>
      <c r="K95" s="265" t="str">
        <f>IF($B95="","",COUNTIF(Sept[Resident Name],$B95))</f>
        <v/>
      </c>
      <c r="L95" s="265" t="str">
        <f>IF($B95="","",COUNTIF(Oct[Resident Name],$B95))</f>
        <v/>
      </c>
      <c r="M95" s="265" t="str">
        <f>IF($B95="","",COUNTIF(Nov[Resident Name],$B95))</f>
        <v/>
      </c>
      <c r="N95" s="265" t="str">
        <f>IF($B95="","",COUNTIF(Dec[Resident Name],$B95))</f>
        <v/>
      </c>
      <c r="O95" s="265" t="str">
        <f t="shared" si="3"/>
        <v/>
      </c>
      <c r="P95" s="11"/>
      <c r="R95" s="160" t="str">
        <f>IFERROR(INDEX($B$5:$B$172,MATCH(ROWS($R$5:R95),$X$5:$X$172,0)),"")</f>
        <v/>
      </c>
      <c r="S95" s="76" t="str">
        <f>IF($R95="","",INDEX($O$5:$O$172,MATCH(ROWS($R$5:R95),$X$5:$X$172,0)))</f>
        <v/>
      </c>
      <c r="U95" s="160" t="str">
        <f>IFERROR(INDEX($Z$5:$Z$448,MATCH(ROWS($U$5:U95),$AA$5:$AA$448,0)),"")</f>
        <v/>
      </c>
      <c r="V95" s="274" t="str">
        <f>IF(Mar!C20="","",Mar!C20)</f>
        <v/>
      </c>
      <c r="W95" s="274" t="str" cm="1">
        <f t="array" ref="W95">IF(V95="","",IF(COUNTIF($V$5:V95,V95)&gt;1,"",ROUND(1+SUMPRODUCT(($V$5:$V$448&lt;&gt;"")*($V$5:$V$448&lt;V95)/COUNTIF($V$5:$V$448,$V$5:$V$448&amp;"")),0)))</f>
        <v/>
      </c>
      <c r="X95" s="274" t="str">
        <f t="shared" si="4"/>
        <v/>
      </c>
      <c r="Z95" s="274" t="str">
        <f>IF(Mar!H20="Major Injury",Mar!C20,"")</f>
        <v/>
      </c>
      <c r="AA95" s="274" t="str" cm="1">
        <f t="array" ref="AA95">IF(Z95="","",IF(COUNTIF($Z$5:Z95,Z95)&gt;1,"",ROUND(1+SUMPRODUCT(($Z$5:$Z$448&lt;&gt;"")*($Z$5:$Z$448&lt;Z95)/COUNTIF($Z$5:$Z$448,$Z$5:$Z$448&amp;"")),0)))</f>
        <v/>
      </c>
    </row>
    <row r="96" spans="2:27" x14ac:dyDescent="0.25">
      <c r="B96" s="160" t="str">
        <f>IFERROR(INDEX($V$5:$V$448,MATCH(ROWS($B$5:B96),$W$5:$W$448,0)),"")</f>
        <v/>
      </c>
      <c r="C96" s="265" t="str">
        <f>IF($B96="","",COUNTIF(Jan[Resident Name],$B96))</f>
        <v/>
      </c>
      <c r="D96" s="265" t="str">
        <f>IF($B96="","",COUNTIF(Feb[Resident Name],$B96))</f>
        <v/>
      </c>
      <c r="E96" s="265" t="str">
        <f>IF($B96="","",COUNTIF(Mar[Resident Name],$B96))</f>
        <v/>
      </c>
      <c r="F96" s="265" t="str">
        <f>IF($B96="","",COUNTIF(Apr[Resident Name],$B96))</f>
        <v/>
      </c>
      <c r="G96" s="265" t="str">
        <f>IF($B96="","",COUNTIF(May[Resident Name],$B96))</f>
        <v/>
      </c>
      <c r="H96" s="265" t="str">
        <f>IF($B96="","",COUNTIF(June[Resident Name],$B96))</f>
        <v/>
      </c>
      <c r="I96" s="265" t="str">
        <f>IF($B96="","",COUNTIF(July[Resident Name],$B96))</f>
        <v/>
      </c>
      <c r="J96" s="265" t="str">
        <f>IF($B96="","",COUNTIF(Aug[Resident Name],$B96))</f>
        <v/>
      </c>
      <c r="K96" s="265" t="str">
        <f>IF($B96="","",COUNTIF(Sept[Resident Name],$B96))</f>
        <v/>
      </c>
      <c r="L96" s="265" t="str">
        <f>IF($B96="","",COUNTIF(Oct[Resident Name],$B96))</f>
        <v/>
      </c>
      <c r="M96" s="265" t="str">
        <f>IF($B96="","",COUNTIF(Nov[Resident Name],$B96))</f>
        <v/>
      </c>
      <c r="N96" s="265" t="str">
        <f>IF($B96="","",COUNTIF(Dec[Resident Name],$B96))</f>
        <v/>
      </c>
      <c r="O96" s="265" t="str">
        <f t="shared" si="3"/>
        <v/>
      </c>
      <c r="P96" s="11"/>
      <c r="R96" s="160" t="str">
        <f>IFERROR(INDEX($B$5:$B$172,MATCH(ROWS($R$5:R96),$X$5:$X$172,0)),"")</f>
        <v/>
      </c>
      <c r="S96" s="76" t="str">
        <f>IF($R96="","",INDEX($O$5:$O$172,MATCH(ROWS($R$5:R96),$X$5:$X$172,0)))</f>
        <v/>
      </c>
      <c r="U96" s="160" t="str">
        <f>IFERROR(INDEX($Z$5:$Z$448,MATCH(ROWS($U$5:U96),$AA$5:$AA$448,0)),"")</f>
        <v/>
      </c>
      <c r="V96" s="274" t="str">
        <f>IF(Mar!C21="","",Mar!C21)</f>
        <v/>
      </c>
      <c r="W96" s="274" t="str" cm="1">
        <f t="array" ref="W96">IF(V96="","",IF(COUNTIF($V$5:V96,V96)&gt;1,"",ROUND(1+SUMPRODUCT(($V$5:$V$448&lt;&gt;"")*($V$5:$V$448&lt;V96)/COUNTIF($V$5:$V$448,$V$5:$V$448&amp;"")),0)))</f>
        <v/>
      </c>
      <c r="X96" s="274" t="str">
        <f t="shared" si="4"/>
        <v/>
      </c>
      <c r="Z96" s="274" t="str">
        <f>IF(Mar!H21="Major Injury",Mar!C21,"")</f>
        <v/>
      </c>
      <c r="AA96" s="274" t="str" cm="1">
        <f t="array" ref="AA96">IF(Z96="","",IF(COUNTIF($Z$5:Z96,Z96)&gt;1,"",ROUND(1+SUMPRODUCT(($Z$5:$Z$448&lt;&gt;"")*($Z$5:$Z$448&lt;Z96)/COUNTIF($Z$5:$Z$448,$Z$5:$Z$448&amp;"")),0)))</f>
        <v/>
      </c>
    </row>
    <row r="97" spans="2:27" x14ac:dyDescent="0.25">
      <c r="B97" s="160" t="str">
        <f>IFERROR(INDEX($V$5:$V$448,MATCH(ROWS($B$5:B97),$W$5:$W$448,0)),"")</f>
        <v/>
      </c>
      <c r="C97" s="265" t="str">
        <f>IF($B97="","",COUNTIF(Jan[Resident Name],$B97))</f>
        <v/>
      </c>
      <c r="D97" s="265" t="str">
        <f>IF($B97="","",COUNTIF(Feb[Resident Name],$B97))</f>
        <v/>
      </c>
      <c r="E97" s="265" t="str">
        <f>IF($B97="","",COUNTIF(Mar[Resident Name],$B97))</f>
        <v/>
      </c>
      <c r="F97" s="265" t="str">
        <f>IF($B97="","",COUNTIF(Apr[Resident Name],$B97))</f>
        <v/>
      </c>
      <c r="G97" s="265" t="str">
        <f>IF($B97="","",COUNTIF(May[Resident Name],$B97))</f>
        <v/>
      </c>
      <c r="H97" s="265" t="str">
        <f>IF($B97="","",COUNTIF(June[Resident Name],$B97))</f>
        <v/>
      </c>
      <c r="I97" s="265" t="str">
        <f>IF($B97="","",COUNTIF(July[Resident Name],$B97))</f>
        <v/>
      </c>
      <c r="J97" s="265" t="str">
        <f>IF($B97="","",COUNTIF(Aug[Resident Name],$B97))</f>
        <v/>
      </c>
      <c r="K97" s="265" t="str">
        <f>IF($B97="","",COUNTIF(Sept[Resident Name],$B97))</f>
        <v/>
      </c>
      <c r="L97" s="265" t="str">
        <f>IF($B97="","",COUNTIF(Oct[Resident Name],$B97))</f>
        <v/>
      </c>
      <c r="M97" s="265" t="str">
        <f>IF($B97="","",COUNTIF(Nov[Resident Name],$B97))</f>
        <v/>
      </c>
      <c r="N97" s="265" t="str">
        <f>IF($B97="","",COUNTIF(Dec[Resident Name],$B97))</f>
        <v/>
      </c>
      <c r="O97" s="265" t="str">
        <f t="shared" si="3"/>
        <v/>
      </c>
      <c r="P97" s="11"/>
      <c r="R97" s="160" t="str">
        <f>IFERROR(INDEX($B$5:$B$172,MATCH(ROWS($R$5:R97),$X$5:$X$172,0)),"")</f>
        <v/>
      </c>
      <c r="S97" s="76" t="str">
        <f>IF($R97="","",INDEX($O$5:$O$172,MATCH(ROWS($R$5:R97),$X$5:$X$172,0)))</f>
        <v/>
      </c>
      <c r="U97" s="160" t="str">
        <f>IFERROR(INDEX($Z$5:$Z$448,MATCH(ROWS($U$5:U97),$AA$5:$AA$448,0)),"")</f>
        <v/>
      </c>
      <c r="V97" s="274" t="str">
        <f>IF(Mar!C22="","",Mar!C22)</f>
        <v/>
      </c>
      <c r="W97" s="274" t="str" cm="1">
        <f t="array" ref="W97">IF(V97="","",IF(COUNTIF($V$5:V97,V97)&gt;1,"",ROUND(1+SUMPRODUCT(($V$5:$V$448&lt;&gt;"")*($V$5:$V$448&lt;V97)/COUNTIF($V$5:$V$448,$V$5:$V$448&amp;"")),0)))</f>
        <v/>
      </c>
      <c r="X97" s="274" t="str">
        <f t="shared" si="4"/>
        <v/>
      </c>
      <c r="Z97" s="274" t="str">
        <f>IF(Mar!H22="Major Injury",Mar!C22,"")</f>
        <v/>
      </c>
      <c r="AA97" s="274" t="str" cm="1">
        <f t="array" ref="AA97">IF(Z97="","",IF(COUNTIF($Z$5:Z97,Z97)&gt;1,"",ROUND(1+SUMPRODUCT(($Z$5:$Z$448&lt;&gt;"")*($Z$5:$Z$448&lt;Z97)/COUNTIF($Z$5:$Z$448,$Z$5:$Z$448&amp;"")),0)))</f>
        <v/>
      </c>
    </row>
    <row r="98" spans="2:27" x14ac:dyDescent="0.25">
      <c r="B98" s="160" t="str">
        <f>IFERROR(INDEX($V$5:$V$448,MATCH(ROWS($B$5:B98),$W$5:$W$448,0)),"")</f>
        <v/>
      </c>
      <c r="C98" s="265" t="str">
        <f>IF($B98="","",COUNTIF(Jan[Resident Name],$B98))</f>
        <v/>
      </c>
      <c r="D98" s="265" t="str">
        <f>IF($B98="","",COUNTIF(Feb[Resident Name],$B98))</f>
        <v/>
      </c>
      <c r="E98" s="265" t="str">
        <f>IF($B98="","",COUNTIF(Mar[Resident Name],$B98))</f>
        <v/>
      </c>
      <c r="F98" s="265" t="str">
        <f>IF($B98="","",COUNTIF(Apr[Resident Name],$B98))</f>
        <v/>
      </c>
      <c r="G98" s="265" t="str">
        <f>IF($B98="","",COUNTIF(May[Resident Name],$B98))</f>
        <v/>
      </c>
      <c r="H98" s="265" t="str">
        <f>IF($B98="","",COUNTIF(June[Resident Name],$B98))</f>
        <v/>
      </c>
      <c r="I98" s="265" t="str">
        <f>IF($B98="","",COUNTIF(July[Resident Name],$B98))</f>
        <v/>
      </c>
      <c r="J98" s="265" t="str">
        <f>IF($B98="","",COUNTIF(Aug[Resident Name],$B98))</f>
        <v/>
      </c>
      <c r="K98" s="265" t="str">
        <f>IF($B98="","",COUNTIF(Sept[Resident Name],$B98))</f>
        <v/>
      </c>
      <c r="L98" s="265" t="str">
        <f>IF($B98="","",COUNTIF(Oct[Resident Name],$B98))</f>
        <v/>
      </c>
      <c r="M98" s="265" t="str">
        <f>IF($B98="","",COUNTIF(Nov[Resident Name],$B98))</f>
        <v/>
      </c>
      <c r="N98" s="265" t="str">
        <f>IF($B98="","",COUNTIF(Dec[Resident Name],$B98))</f>
        <v/>
      </c>
      <c r="O98" s="265" t="str">
        <f t="shared" si="3"/>
        <v/>
      </c>
      <c r="P98" s="11"/>
      <c r="R98" s="160" t="str">
        <f>IFERROR(INDEX($B$5:$B$172,MATCH(ROWS($R$5:R98),$X$5:$X$172,0)),"")</f>
        <v/>
      </c>
      <c r="S98" s="76" t="str">
        <f>IF($R98="","",INDEX($O$5:$O$172,MATCH(ROWS($R$5:R98),$X$5:$X$172,0)))</f>
        <v/>
      </c>
      <c r="U98" s="160" t="str">
        <f>IFERROR(INDEX($Z$5:$Z$448,MATCH(ROWS($U$5:U98),$AA$5:$AA$448,0)),"")</f>
        <v/>
      </c>
      <c r="V98" s="274" t="str">
        <f>IF(Mar!C23="","",Mar!C23)</f>
        <v/>
      </c>
      <c r="W98" s="274" t="str" cm="1">
        <f t="array" ref="W98">IF(V98="","",IF(COUNTIF($V$5:V98,V98)&gt;1,"",ROUND(1+SUMPRODUCT(($V$5:$V$448&lt;&gt;"")*($V$5:$V$448&lt;V98)/COUNTIF($V$5:$V$448,$V$5:$V$448&amp;"")),0)))</f>
        <v/>
      </c>
      <c r="X98" s="274" t="str">
        <f t="shared" si="4"/>
        <v/>
      </c>
      <c r="Z98" s="274" t="str">
        <f>IF(Mar!H23="Major Injury",Mar!C23,"")</f>
        <v/>
      </c>
      <c r="AA98" s="274" t="str" cm="1">
        <f t="array" ref="AA98">IF(Z98="","",IF(COUNTIF($Z$5:Z98,Z98)&gt;1,"",ROUND(1+SUMPRODUCT(($Z$5:$Z$448&lt;&gt;"")*($Z$5:$Z$448&lt;Z98)/COUNTIF($Z$5:$Z$448,$Z$5:$Z$448&amp;"")),0)))</f>
        <v/>
      </c>
    </row>
    <row r="99" spans="2:27" x14ac:dyDescent="0.25">
      <c r="B99" s="160" t="str">
        <f>IFERROR(INDEX($V$5:$V$448,MATCH(ROWS($B$5:B99),$W$5:$W$448,0)),"")</f>
        <v/>
      </c>
      <c r="C99" s="265" t="str">
        <f>IF($B99="","",COUNTIF(Jan[Resident Name],$B99))</f>
        <v/>
      </c>
      <c r="D99" s="265" t="str">
        <f>IF($B99="","",COUNTIF(Feb[Resident Name],$B99))</f>
        <v/>
      </c>
      <c r="E99" s="265" t="str">
        <f>IF($B99="","",COUNTIF(Mar[Resident Name],$B99))</f>
        <v/>
      </c>
      <c r="F99" s="265" t="str">
        <f>IF($B99="","",COUNTIF(Apr[Resident Name],$B99))</f>
        <v/>
      </c>
      <c r="G99" s="265" t="str">
        <f>IF($B99="","",COUNTIF(May[Resident Name],$B99))</f>
        <v/>
      </c>
      <c r="H99" s="265" t="str">
        <f>IF($B99="","",COUNTIF(June[Resident Name],$B99))</f>
        <v/>
      </c>
      <c r="I99" s="265" t="str">
        <f>IF($B99="","",COUNTIF(July[Resident Name],$B99))</f>
        <v/>
      </c>
      <c r="J99" s="265" t="str">
        <f>IF($B99="","",COUNTIF(Aug[Resident Name],$B99))</f>
        <v/>
      </c>
      <c r="K99" s="265" t="str">
        <f>IF($B99="","",COUNTIF(Sept[Resident Name],$B99))</f>
        <v/>
      </c>
      <c r="L99" s="265" t="str">
        <f>IF($B99="","",COUNTIF(Oct[Resident Name],$B99))</f>
        <v/>
      </c>
      <c r="M99" s="265" t="str">
        <f>IF($B99="","",COUNTIF(Nov[Resident Name],$B99))</f>
        <v/>
      </c>
      <c r="N99" s="265" t="str">
        <f>IF($B99="","",COUNTIF(Dec[Resident Name],$B99))</f>
        <v/>
      </c>
      <c r="O99" s="265" t="str">
        <f t="shared" si="3"/>
        <v/>
      </c>
      <c r="P99" s="11"/>
      <c r="R99" s="160" t="str">
        <f>IFERROR(INDEX($B$5:$B$172,MATCH(ROWS($R$5:R99),$X$5:$X$172,0)),"")</f>
        <v/>
      </c>
      <c r="S99" s="76" t="str">
        <f>IF($R99="","",INDEX($O$5:$O$172,MATCH(ROWS($R$5:R99),$X$5:$X$172,0)))</f>
        <v/>
      </c>
      <c r="U99" s="160" t="str">
        <f>IFERROR(INDEX($Z$5:$Z$448,MATCH(ROWS($U$5:U99),$AA$5:$AA$448,0)),"")</f>
        <v/>
      </c>
      <c r="V99" s="274" t="str">
        <f>IF(Mar!C24="","",Mar!C24)</f>
        <v/>
      </c>
      <c r="W99" s="274" t="str" cm="1">
        <f t="array" ref="W99">IF(V99="","",IF(COUNTIF($V$5:V99,V99)&gt;1,"",ROUND(1+SUMPRODUCT(($V$5:$V$448&lt;&gt;"")*($V$5:$V$448&lt;V99)/COUNTIF($V$5:$V$448,$V$5:$V$448&amp;"")),0)))</f>
        <v/>
      </c>
      <c r="X99" s="274" t="str">
        <f t="shared" si="4"/>
        <v/>
      </c>
      <c r="Z99" s="274" t="str">
        <f>IF(Mar!H24="Major Injury",Mar!C24,"")</f>
        <v/>
      </c>
      <c r="AA99" s="274" t="str" cm="1">
        <f t="array" ref="AA99">IF(Z99="","",IF(COUNTIF($Z$5:Z99,Z99)&gt;1,"",ROUND(1+SUMPRODUCT(($Z$5:$Z$448&lt;&gt;"")*($Z$5:$Z$448&lt;Z99)/COUNTIF($Z$5:$Z$448,$Z$5:$Z$448&amp;"")),0)))</f>
        <v/>
      </c>
    </row>
    <row r="100" spans="2:27" x14ac:dyDescent="0.25">
      <c r="B100" s="160" t="str">
        <f>IFERROR(INDEX($V$5:$V$448,MATCH(ROWS($B$5:B100),$W$5:$W$448,0)),"")</f>
        <v/>
      </c>
      <c r="C100" s="265" t="str">
        <f>IF($B100="","",COUNTIF(Jan[Resident Name],$B100))</f>
        <v/>
      </c>
      <c r="D100" s="265" t="str">
        <f>IF($B100="","",COUNTIF(Feb[Resident Name],$B100))</f>
        <v/>
      </c>
      <c r="E100" s="265" t="str">
        <f>IF($B100="","",COUNTIF(Mar[Resident Name],$B100))</f>
        <v/>
      </c>
      <c r="F100" s="265" t="str">
        <f>IF($B100="","",COUNTIF(Apr[Resident Name],$B100))</f>
        <v/>
      </c>
      <c r="G100" s="265" t="str">
        <f>IF($B100="","",COUNTIF(May[Resident Name],$B100))</f>
        <v/>
      </c>
      <c r="H100" s="265" t="str">
        <f>IF($B100="","",COUNTIF(June[Resident Name],$B100))</f>
        <v/>
      </c>
      <c r="I100" s="265" t="str">
        <f>IF($B100="","",COUNTIF(July[Resident Name],$B100))</f>
        <v/>
      </c>
      <c r="J100" s="265" t="str">
        <f>IF($B100="","",COUNTIF(Aug[Resident Name],$B100))</f>
        <v/>
      </c>
      <c r="K100" s="265" t="str">
        <f>IF($B100="","",COUNTIF(Sept[Resident Name],$B100))</f>
        <v/>
      </c>
      <c r="L100" s="265" t="str">
        <f>IF($B100="","",COUNTIF(Oct[Resident Name],$B100))</f>
        <v/>
      </c>
      <c r="M100" s="265" t="str">
        <f>IF($B100="","",COUNTIF(Nov[Resident Name],$B100))</f>
        <v/>
      </c>
      <c r="N100" s="265" t="str">
        <f>IF($B100="","",COUNTIF(Dec[Resident Name],$B100))</f>
        <v/>
      </c>
      <c r="O100" s="265" t="str">
        <f t="shared" si="3"/>
        <v/>
      </c>
      <c r="P100" s="11"/>
      <c r="R100" s="160" t="str">
        <f>IFERROR(INDEX($B$5:$B$172,MATCH(ROWS($R$5:R100),$X$5:$X$172,0)),"")</f>
        <v/>
      </c>
      <c r="S100" s="76" t="str">
        <f>IF($R100="","",INDEX($O$5:$O$172,MATCH(ROWS($R$5:R100),$X$5:$X$172,0)))</f>
        <v/>
      </c>
      <c r="U100" s="160" t="str">
        <f>IFERROR(INDEX($Z$5:$Z$448,MATCH(ROWS($U$5:U100),$AA$5:$AA$448,0)),"")</f>
        <v/>
      </c>
      <c r="V100" s="274" t="str">
        <f>IF(Mar!C25="","",Mar!C25)</f>
        <v/>
      </c>
      <c r="W100" s="274" t="str" cm="1">
        <f t="array" ref="W100">IF(V100="","",IF(COUNTIF($V$5:V100,V100)&gt;1,"",ROUND(1+SUMPRODUCT(($V$5:$V$448&lt;&gt;"")*($V$5:$V$448&lt;V100)/COUNTIF($V$5:$V$448,$V$5:$V$448&amp;"")),0)))</f>
        <v/>
      </c>
      <c r="X100" s="274" t="str">
        <f t="shared" si="4"/>
        <v/>
      </c>
      <c r="Z100" s="274" t="str">
        <f>IF(Mar!H25="Major Injury",Mar!C25,"")</f>
        <v/>
      </c>
      <c r="AA100" s="274" t="str" cm="1">
        <f t="array" ref="AA100">IF(Z100="","",IF(COUNTIF($Z$5:Z100,Z100)&gt;1,"",ROUND(1+SUMPRODUCT(($Z$5:$Z$448&lt;&gt;"")*($Z$5:$Z$448&lt;Z100)/COUNTIF($Z$5:$Z$448,$Z$5:$Z$448&amp;"")),0)))</f>
        <v/>
      </c>
    </row>
    <row r="101" spans="2:27" x14ac:dyDescent="0.25">
      <c r="B101" s="160" t="str">
        <f>IFERROR(INDEX($V$5:$V$448,MATCH(ROWS($B$5:B101),$W$5:$W$448,0)),"")</f>
        <v/>
      </c>
      <c r="C101" s="265" t="str">
        <f>IF($B101="","",COUNTIF(Jan[Resident Name],$B101))</f>
        <v/>
      </c>
      <c r="D101" s="265" t="str">
        <f>IF($B101="","",COUNTIF(Feb[Resident Name],$B101))</f>
        <v/>
      </c>
      <c r="E101" s="265" t="str">
        <f>IF($B101="","",COUNTIF(Mar[Resident Name],$B101))</f>
        <v/>
      </c>
      <c r="F101" s="265" t="str">
        <f>IF($B101="","",COUNTIF(Apr[Resident Name],$B101))</f>
        <v/>
      </c>
      <c r="G101" s="265" t="str">
        <f>IF($B101="","",COUNTIF(May[Resident Name],$B101))</f>
        <v/>
      </c>
      <c r="H101" s="265" t="str">
        <f>IF($B101="","",COUNTIF(June[Resident Name],$B101))</f>
        <v/>
      </c>
      <c r="I101" s="265" t="str">
        <f>IF($B101="","",COUNTIF(July[Resident Name],$B101))</f>
        <v/>
      </c>
      <c r="J101" s="265" t="str">
        <f>IF($B101="","",COUNTIF(Aug[Resident Name],$B101))</f>
        <v/>
      </c>
      <c r="K101" s="265" t="str">
        <f>IF($B101="","",COUNTIF(Sept[Resident Name],$B101))</f>
        <v/>
      </c>
      <c r="L101" s="265" t="str">
        <f>IF($B101="","",COUNTIF(Oct[Resident Name],$B101))</f>
        <v/>
      </c>
      <c r="M101" s="265" t="str">
        <f>IF($B101="","",COUNTIF(Nov[Resident Name],$B101))</f>
        <v/>
      </c>
      <c r="N101" s="265" t="str">
        <f>IF($B101="","",COUNTIF(Dec[Resident Name],$B101))</f>
        <v/>
      </c>
      <c r="O101" s="265" t="str">
        <f t="shared" si="3"/>
        <v/>
      </c>
      <c r="P101" s="11"/>
      <c r="R101" s="160" t="str">
        <f>IFERROR(INDEX($B$5:$B$172,MATCH(ROWS($R$5:R101),$X$5:$X$172,0)),"")</f>
        <v/>
      </c>
      <c r="S101" s="76" t="str">
        <f>IF($R101="","",INDEX($O$5:$O$172,MATCH(ROWS($R$5:R101),$X$5:$X$172,0)))</f>
        <v/>
      </c>
      <c r="U101" s="160" t="str">
        <f>IFERROR(INDEX($Z$5:$Z$448,MATCH(ROWS($U$5:U101),$AA$5:$AA$448,0)),"")</f>
        <v/>
      </c>
      <c r="V101" s="274" t="str">
        <f>IF(Mar!C26="","",Mar!C26)</f>
        <v/>
      </c>
      <c r="W101" s="274" t="str" cm="1">
        <f t="array" ref="W101">IF(V101="","",IF(COUNTIF($V$5:V101,V101)&gt;1,"",ROUND(1+SUMPRODUCT(($V$5:$V$448&lt;&gt;"")*($V$5:$V$448&lt;V101)/COUNTIF($V$5:$V$448,$V$5:$V$448&amp;"")),0)))</f>
        <v/>
      </c>
      <c r="X101" s="274" t="str">
        <f t="shared" si="4"/>
        <v/>
      </c>
      <c r="Z101" s="274" t="str">
        <f>IF(Mar!H26="Major Injury",Mar!C26,"")</f>
        <v/>
      </c>
      <c r="AA101" s="274" t="str" cm="1">
        <f t="array" ref="AA101">IF(Z101="","",IF(COUNTIF($Z$5:Z101,Z101)&gt;1,"",ROUND(1+SUMPRODUCT(($Z$5:$Z$448&lt;&gt;"")*($Z$5:$Z$448&lt;Z101)/COUNTIF($Z$5:$Z$448,$Z$5:$Z$448&amp;"")),0)))</f>
        <v/>
      </c>
    </row>
    <row r="102" spans="2:27" x14ac:dyDescent="0.25">
      <c r="B102" s="160" t="str">
        <f>IFERROR(INDEX($V$5:$V$448,MATCH(ROWS($B$5:B102),$W$5:$W$448,0)),"")</f>
        <v/>
      </c>
      <c r="C102" s="265" t="str">
        <f>IF($B102="","",COUNTIF(Jan[Resident Name],$B102))</f>
        <v/>
      </c>
      <c r="D102" s="265" t="str">
        <f>IF($B102="","",COUNTIF(Feb[Resident Name],$B102))</f>
        <v/>
      </c>
      <c r="E102" s="265" t="str">
        <f>IF($B102="","",COUNTIF(Mar[Resident Name],$B102))</f>
        <v/>
      </c>
      <c r="F102" s="265" t="str">
        <f>IF($B102="","",COUNTIF(Apr[Resident Name],$B102))</f>
        <v/>
      </c>
      <c r="G102" s="265" t="str">
        <f>IF($B102="","",COUNTIF(May[Resident Name],$B102))</f>
        <v/>
      </c>
      <c r="H102" s="265" t="str">
        <f>IF($B102="","",COUNTIF(June[Resident Name],$B102))</f>
        <v/>
      </c>
      <c r="I102" s="265" t="str">
        <f>IF($B102="","",COUNTIF(July[Resident Name],$B102))</f>
        <v/>
      </c>
      <c r="J102" s="265" t="str">
        <f>IF($B102="","",COUNTIF(Aug[Resident Name],$B102))</f>
        <v/>
      </c>
      <c r="K102" s="265" t="str">
        <f>IF($B102="","",COUNTIF(Sept[Resident Name],$B102))</f>
        <v/>
      </c>
      <c r="L102" s="265" t="str">
        <f>IF($B102="","",COUNTIF(Oct[Resident Name],$B102))</f>
        <v/>
      </c>
      <c r="M102" s="265" t="str">
        <f>IF($B102="","",COUNTIF(Nov[Resident Name],$B102))</f>
        <v/>
      </c>
      <c r="N102" s="265" t="str">
        <f>IF($B102="","",COUNTIF(Dec[Resident Name],$B102))</f>
        <v/>
      </c>
      <c r="O102" s="265" t="str">
        <f t="shared" si="3"/>
        <v/>
      </c>
      <c r="P102" s="11"/>
      <c r="R102" s="160" t="str">
        <f>IFERROR(INDEX($B$5:$B$172,MATCH(ROWS($R$5:R102),$X$5:$X$172,0)),"")</f>
        <v/>
      </c>
      <c r="S102" s="76" t="str">
        <f>IF($R102="","",INDEX($O$5:$O$172,MATCH(ROWS($R$5:R102),$X$5:$X$172,0)))</f>
        <v/>
      </c>
      <c r="U102" s="160" t="str">
        <f>IFERROR(INDEX($Z$5:$Z$448,MATCH(ROWS($U$5:U102),$AA$5:$AA$448,0)),"")</f>
        <v/>
      </c>
      <c r="V102" s="274" t="str">
        <f>IF(Mar!C27="","",Mar!C27)</f>
        <v/>
      </c>
      <c r="W102" s="274" t="str" cm="1">
        <f t="array" ref="W102">IF(V102="","",IF(COUNTIF($V$5:V102,V102)&gt;1,"",ROUND(1+SUMPRODUCT(($V$5:$V$448&lt;&gt;"")*($V$5:$V$448&lt;V102)/COUNTIF($V$5:$V$448,$V$5:$V$448&amp;"")),0)))</f>
        <v/>
      </c>
      <c r="X102" s="274" t="str">
        <f t="shared" si="4"/>
        <v/>
      </c>
      <c r="Z102" s="274" t="str">
        <f>IF(Mar!H27="Major Injury",Mar!C27,"")</f>
        <v/>
      </c>
      <c r="AA102" s="274" t="str" cm="1">
        <f t="array" ref="AA102">IF(Z102="","",IF(COUNTIF($Z$5:Z102,Z102)&gt;1,"",ROUND(1+SUMPRODUCT(($Z$5:$Z$448&lt;&gt;"")*($Z$5:$Z$448&lt;Z102)/COUNTIF($Z$5:$Z$448,$Z$5:$Z$448&amp;"")),0)))</f>
        <v/>
      </c>
    </row>
    <row r="103" spans="2:27" x14ac:dyDescent="0.25">
      <c r="B103" s="160" t="str">
        <f>IFERROR(INDEX($V$5:$V$448,MATCH(ROWS($B$5:B103),$W$5:$W$448,0)),"")</f>
        <v/>
      </c>
      <c r="C103" s="265" t="str">
        <f>IF($B103="","",COUNTIF(Jan[Resident Name],$B103))</f>
        <v/>
      </c>
      <c r="D103" s="265" t="str">
        <f>IF($B103="","",COUNTIF(Feb[Resident Name],$B103))</f>
        <v/>
      </c>
      <c r="E103" s="265" t="str">
        <f>IF($B103="","",COUNTIF(Mar[Resident Name],$B103))</f>
        <v/>
      </c>
      <c r="F103" s="265" t="str">
        <f>IF($B103="","",COUNTIF(Apr[Resident Name],$B103))</f>
        <v/>
      </c>
      <c r="G103" s="265" t="str">
        <f>IF($B103="","",COUNTIF(May[Resident Name],$B103))</f>
        <v/>
      </c>
      <c r="H103" s="265" t="str">
        <f>IF($B103="","",COUNTIF(June[Resident Name],$B103))</f>
        <v/>
      </c>
      <c r="I103" s="265" t="str">
        <f>IF($B103="","",COUNTIF(July[Resident Name],$B103))</f>
        <v/>
      </c>
      <c r="J103" s="265" t="str">
        <f>IF($B103="","",COUNTIF(Aug[Resident Name],$B103))</f>
        <v/>
      </c>
      <c r="K103" s="265" t="str">
        <f>IF($B103="","",COUNTIF(Sept[Resident Name],$B103))</f>
        <v/>
      </c>
      <c r="L103" s="265" t="str">
        <f>IF($B103="","",COUNTIF(Oct[Resident Name],$B103))</f>
        <v/>
      </c>
      <c r="M103" s="265" t="str">
        <f>IF($B103="","",COUNTIF(Nov[Resident Name],$B103))</f>
        <v/>
      </c>
      <c r="N103" s="265" t="str">
        <f>IF($B103="","",COUNTIF(Dec[Resident Name],$B103))</f>
        <v/>
      </c>
      <c r="O103" s="265" t="str">
        <f t="shared" si="3"/>
        <v/>
      </c>
      <c r="P103" s="11"/>
      <c r="R103" s="160" t="str">
        <f>IFERROR(INDEX($B$5:$B$172,MATCH(ROWS($R$5:R103),$X$5:$X$172,0)),"")</f>
        <v/>
      </c>
      <c r="S103" s="76" t="str">
        <f>IF($R103="","",INDEX($O$5:$O$172,MATCH(ROWS($R$5:R103),$X$5:$X$172,0)))</f>
        <v/>
      </c>
      <c r="U103" s="160" t="str">
        <f>IFERROR(INDEX($Z$5:$Z$448,MATCH(ROWS($U$5:U103),$AA$5:$AA$448,0)),"")</f>
        <v/>
      </c>
      <c r="V103" s="274" t="str">
        <f>IF(Mar!C28="","",Mar!C28)</f>
        <v/>
      </c>
      <c r="W103" s="274" t="str" cm="1">
        <f t="array" ref="W103">IF(V103="","",IF(COUNTIF($V$5:V103,V103)&gt;1,"",ROUND(1+SUMPRODUCT(($V$5:$V$448&lt;&gt;"")*($V$5:$V$448&lt;V103)/COUNTIF($V$5:$V$448,$V$5:$V$448&amp;"")),0)))</f>
        <v/>
      </c>
      <c r="X103" s="274" t="str">
        <f t="shared" si="4"/>
        <v/>
      </c>
      <c r="Z103" s="274" t="str">
        <f>IF(Mar!H28="Major Injury",Mar!C28,"")</f>
        <v/>
      </c>
      <c r="AA103" s="274" t="str" cm="1">
        <f t="array" ref="AA103">IF(Z103="","",IF(COUNTIF($Z$5:Z103,Z103)&gt;1,"",ROUND(1+SUMPRODUCT(($Z$5:$Z$448&lt;&gt;"")*($Z$5:$Z$448&lt;Z103)/COUNTIF($Z$5:$Z$448,$Z$5:$Z$448&amp;"")),0)))</f>
        <v/>
      </c>
    </row>
    <row r="104" spans="2:27" x14ac:dyDescent="0.25">
      <c r="B104" s="160" t="str">
        <f>IFERROR(INDEX($V$5:$V$448,MATCH(ROWS($B$5:B104),$W$5:$W$448,0)),"")</f>
        <v/>
      </c>
      <c r="C104" s="265" t="str">
        <f>IF($B104="","",COUNTIF(Jan[Resident Name],$B104))</f>
        <v/>
      </c>
      <c r="D104" s="265" t="str">
        <f>IF($B104="","",COUNTIF(Feb[Resident Name],$B104))</f>
        <v/>
      </c>
      <c r="E104" s="265" t="str">
        <f>IF($B104="","",COUNTIF(Mar[Resident Name],$B104))</f>
        <v/>
      </c>
      <c r="F104" s="265" t="str">
        <f>IF($B104="","",COUNTIF(Apr[Resident Name],$B104))</f>
        <v/>
      </c>
      <c r="G104" s="265" t="str">
        <f>IF($B104="","",COUNTIF(May[Resident Name],$B104))</f>
        <v/>
      </c>
      <c r="H104" s="265" t="str">
        <f>IF($B104="","",COUNTIF(June[Resident Name],$B104))</f>
        <v/>
      </c>
      <c r="I104" s="265" t="str">
        <f>IF($B104="","",COUNTIF(July[Resident Name],$B104))</f>
        <v/>
      </c>
      <c r="J104" s="265" t="str">
        <f>IF($B104="","",COUNTIF(Aug[Resident Name],$B104))</f>
        <v/>
      </c>
      <c r="K104" s="265" t="str">
        <f>IF($B104="","",COUNTIF(Sept[Resident Name],$B104))</f>
        <v/>
      </c>
      <c r="L104" s="265" t="str">
        <f>IF($B104="","",COUNTIF(Oct[Resident Name],$B104))</f>
        <v/>
      </c>
      <c r="M104" s="265" t="str">
        <f>IF($B104="","",COUNTIF(Nov[Resident Name],$B104))</f>
        <v/>
      </c>
      <c r="N104" s="265" t="str">
        <f>IF($B104="","",COUNTIF(Dec[Resident Name],$B104))</f>
        <v/>
      </c>
      <c r="O104" s="265" t="str">
        <f t="shared" si="3"/>
        <v/>
      </c>
      <c r="P104" s="11"/>
      <c r="R104" s="160" t="str">
        <f>IFERROR(INDEX($B$5:$B$172,MATCH(ROWS($R$5:R104),$X$5:$X$172,0)),"")</f>
        <v/>
      </c>
      <c r="S104" s="76" t="str">
        <f>IF($R104="","",INDEX($O$5:$O$172,MATCH(ROWS($R$5:R104),$X$5:$X$172,0)))</f>
        <v/>
      </c>
      <c r="U104" s="160" t="str">
        <f>IFERROR(INDEX($Z$5:$Z$448,MATCH(ROWS($U$5:U104),$AA$5:$AA$448,0)),"")</f>
        <v/>
      </c>
      <c r="V104" s="274" t="str">
        <f>IF(Mar!C29="","",Mar!C29)</f>
        <v/>
      </c>
      <c r="W104" s="274" t="str" cm="1">
        <f t="array" ref="W104">IF(V104="","",IF(COUNTIF($V$5:V104,V104)&gt;1,"",ROUND(1+SUMPRODUCT(($V$5:$V$448&lt;&gt;"")*($V$5:$V$448&lt;V104)/COUNTIF($V$5:$V$448,$V$5:$V$448&amp;"")),0)))</f>
        <v/>
      </c>
      <c r="X104" s="274" t="str">
        <f t="shared" si="4"/>
        <v/>
      </c>
      <c r="Z104" s="274" t="str">
        <f>IF(Mar!H29="Major Injury",Mar!C29,"")</f>
        <v/>
      </c>
      <c r="AA104" s="274" t="str" cm="1">
        <f t="array" ref="AA104">IF(Z104="","",IF(COUNTIF($Z$5:Z104,Z104)&gt;1,"",ROUND(1+SUMPRODUCT(($Z$5:$Z$448&lt;&gt;"")*($Z$5:$Z$448&lt;Z104)/COUNTIF($Z$5:$Z$448,$Z$5:$Z$448&amp;"")),0)))</f>
        <v/>
      </c>
    </row>
    <row r="105" spans="2:27" x14ac:dyDescent="0.25">
      <c r="B105" s="160" t="str">
        <f>IFERROR(INDEX($V$5:$V$448,MATCH(ROWS($B$5:B105),$W$5:$W$448,0)),"")</f>
        <v/>
      </c>
      <c r="C105" s="265" t="str">
        <f>IF($B105="","",COUNTIF(Jan[Resident Name],$B105))</f>
        <v/>
      </c>
      <c r="D105" s="265" t="str">
        <f>IF($B105="","",COUNTIF(Feb[Resident Name],$B105))</f>
        <v/>
      </c>
      <c r="E105" s="265" t="str">
        <f>IF($B105="","",COUNTIF(Mar[Resident Name],$B105))</f>
        <v/>
      </c>
      <c r="F105" s="265" t="str">
        <f>IF($B105="","",COUNTIF(Apr[Resident Name],$B105))</f>
        <v/>
      </c>
      <c r="G105" s="265" t="str">
        <f>IF($B105="","",COUNTIF(May[Resident Name],$B105))</f>
        <v/>
      </c>
      <c r="H105" s="265" t="str">
        <f>IF($B105="","",COUNTIF(June[Resident Name],$B105))</f>
        <v/>
      </c>
      <c r="I105" s="265" t="str">
        <f>IF($B105="","",COUNTIF(July[Resident Name],$B105))</f>
        <v/>
      </c>
      <c r="J105" s="265" t="str">
        <f>IF($B105="","",COUNTIF(Aug[Resident Name],$B105))</f>
        <v/>
      </c>
      <c r="K105" s="265" t="str">
        <f>IF($B105="","",COUNTIF(Sept[Resident Name],$B105))</f>
        <v/>
      </c>
      <c r="L105" s="265" t="str">
        <f>IF($B105="","",COUNTIF(Oct[Resident Name],$B105))</f>
        <v/>
      </c>
      <c r="M105" s="265" t="str">
        <f>IF($B105="","",COUNTIF(Nov[Resident Name],$B105))</f>
        <v/>
      </c>
      <c r="N105" s="265" t="str">
        <f>IF($B105="","",COUNTIF(Dec[Resident Name],$B105))</f>
        <v/>
      </c>
      <c r="O105" s="265" t="str">
        <f t="shared" si="3"/>
        <v/>
      </c>
      <c r="P105" s="11"/>
      <c r="R105" s="160" t="str">
        <f>IFERROR(INDEX($B$5:$B$172,MATCH(ROWS($R$5:R105),$X$5:$X$172,0)),"")</f>
        <v/>
      </c>
      <c r="S105" s="76" t="str">
        <f>IF($R105="","",INDEX($O$5:$O$172,MATCH(ROWS($R$5:R105),$X$5:$X$172,0)))</f>
        <v/>
      </c>
      <c r="U105" s="160" t="str">
        <f>IFERROR(INDEX($Z$5:$Z$448,MATCH(ROWS($U$5:U105),$AA$5:$AA$448,0)),"")</f>
        <v/>
      </c>
      <c r="V105" s="274" t="str">
        <f>IF(Mar!C30="","",Mar!C30)</f>
        <v/>
      </c>
      <c r="W105" s="274" t="str" cm="1">
        <f t="array" ref="W105">IF(V105="","",IF(COUNTIF($V$5:V105,V105)&gt;1,"",ROUND(1+SUMPRODUCT(($V$5:$V$448&lt;&gt;"")*($V$5:$V$448&lt;V105)/COUNTIF($V$5:$V$448,$V$5:$V$448&amp;"")),0)))</f>
        <v/>
      </c>
      <c r="X105" s="274" t="str">
        <f t="shared" si="4"/>
        <v/>
      </c>
      <c r="Z105" s="274" t="str">
        <f>IF(Mar!H30="Major Injury",Mar!C30,"")</f>
        <v/>
      </c>
      <c r="AA105" s="274" t="str" cm="1">
        <f t="array" ref="AA105">IF(Z105="","",IF(COUNTIF($Z$5:Z105,Z105)&gt;1,"",ROUND(1+SUMPRODUCT(($Z$5:$Z$448&lt;&gt;"")*($Z$5:$Z$448&lt;Z105)/COUNTIF($Z$5:$Z$448,$Z$5:$Z$448&amp;"")),0)))</f>
        <v/>
      </c>
    </row>
    <row r="106" spans="2:27" x14ac:dyDescent="0.25">
      <c r="B106" s="160" t="str">
        <f>IFERROR(INDEX($V$5:$V$448,MATCH(ROWS($B$5:B106),$W$5:$W$448,0)),"")</f>
        <v/>
      </c>
      <c r="C106" s="265" t="str">
        <f>IF($B106="","",COUNTIF(Jan[Resident Name],$B106))</f>
        <v/>
      </c>
      <c r="D106" s="265" t="str">
        <f>IF($B106="","",COUNTIF(Feb[Resident Name],$B106))</f>
        <v/>
      </c>
      <c r="E106" s="265" t="str">
        <f>IF($B106="","",COUNTIF(Mar[Resident Name],$B106))</f>
        <v/>
      </c>
      <c r="F106" s="265" t="str">
        <f>IF($B106="","",COUNTIF(Apr[Resident Name],$B106))</f>
        <v/>
      </c>
      <c r="G106" s="265" t="str">
        <f>IF($B106="","",COUNTIF(May[Resident Name],$B106))</f>
        <v/>
      </c>
      <c r="H106" s="265" t="str">
        <f>IF($B106="","",COUNTIF(June[Resident Name],$B106))</f>
        <v/>
      </c>
      <c r="I106" s="265" t="str">
        <f>IF($B106="","",COUNTIF(July[Resident Name],$B106))</f>
        <v/>
      </c>
      <c r="J106" s="265" t="str">
        <f>IF($B106="","",COUNTIF(Aug[Resident Name],$B106))</f>
        <v/>
      </c>
      <c r="K106" s="265" t="str">
        <f>IF($B106="","",COUNTIF(Sept[Resident Name],$B106))</f>
        <v/>
      </c>
      <c r="L106" s="265" t="str">
        <f>IF($B106="","",COUNTIF(Oct[Resident Name],$B106))</f>
        <v/>
      </c>
      <c r="M106" s="265" t="str">
        <f>IF($B106="","",COUNTIF(Nov[Resident Name],$B106))</f>
        <v/>
      </c>
      <c r="N106" s="265" t="str">
        <f>IF($B106="","",COUNTIF(Dec[Resident Name],$B106))</f>
        <v/>
      </c>
      <c r="O106" s="265" t="str">
        <f t="shared" si="3"/>
        <v/>
      </c>
      <c r="P106" s="11"/>
      <c r="R106" s="160" t="str">
        <f>IFERROR(INDEX($B$5:$B$172,MATCH(ROWS($R$5:R106),$X$5:$X$172,0)),"")</f>
        <v/>
      </c>
      <c r="S106" s="76" t="str">
        <f>IF($R106="","",INDEX($O$5:$O$172,MATCH(ROWS($R$5:R106),$X$5:$X$172,0)))</f>
        <v/>
      </c>
      <c r="U106" s="160" t="str">
        <f>IFERROR(INDEX($Z$5:$Z$448,MATCH(ROWS($U$5:U106),$AA$5:$AA$448,0)),"")</f>
        <v/>
      </c>
      <c r="V106" s="274" t="str">
        <f>IF(Mar!C31="","",Mar!C31)</f>
        <v/>
      </c>
      <c r="W106" s="274" t="str" cm="1">
        <f t="array" ref="W106">IF(V106="","",IF(COUNTIF($V$5:V106,V106)&gt;1,"",ROUND(1+SUMPRODUCT(($V$5:$V$448&lt;&gt;"")*($V$5:$V$448&lt;V106)/COUNTIF($V$5:$V$448,$V$5:$V$448&amp;"")),0)))</f>
        <v/>
      </c>
      <c r="X106" s="274" t="str">
        <f t="shared" si="4"/>
        <v/>
      </c>
      <c r="Z106" s="274" t="str">
        <f>IF(Mar!H31="Major Injury",Mar!C31,"")</f>
        <v/>
      </c>
      <c r="AA106" s="274" t="str" cm="1">
        <f t="array" ref="AA106">IF(Z106="","",IF(COUNTIF($Z$5:Z106,Z106)&gt;1,"",ROUND(1+SUMPRODUCT(($Z$5:$Z$448&lt;&gt;"")*($Z$5:$Z$448&lt;Z106)/COUNTIF($Z$5:$Z$448,$Z$5:$Z$448&amp;"")),0)))</f>
        <v/>
      </c>
    </row>
    <row r="107" spans="2:27" x14ac:dyDescent="0.25">
      <c r="B107" s="160" t="str">
        <f>IFERROR(INDEX($V$5:$V$448,MATCH(ROWS($B$5:B107),$W$5:$W$448,0)),"")</f>
        <v/>
      </c>
      <c r="C107" s="265" t="str">
        <f>IF($B107="","",COUNTIF(Jan[Resident Name],$B107))</f>
        <v/>
      </c>
      <c r="D107" s="265" t="str">
        <f>IF($B107="","",COUNTIF(Feb[Resident Name],$B107))</f>
        <v/>
      </c>
      <c r="E107" s="265" t="str">
        <f>IF($B107="","",COUNTIF(Mar[Resident Name],$B107))</f>
        <v/>
      </c>
      <c r="F107" s="265" t="str">
        <f>IF($B107="","",COUNTIF(Apr[Resident Name],$B107))</f>
        <v/>
      </c>
      <c r="G107" s="265" t="str">
        <f>IF($B107="","",COUNTIF(May[Resident Name],$B107))</f>
        <v/>
      </c>
      <c r="H107" s="265" t="str">
        <f>IF($B107="","",COUNTIF(June[Resident Name],$B107))</f>
        <v/>
      </c>
      <c r="I107" s="265" t="str">
        <f>IF($B107="","",COUNTIF(July[Resident Name],$B107))</f>
        <v/>
      </c>
      <c r="J107" s="265" t="str">
        <f>IF($B107="","",COUNTIF(Aug[Resident Name],$B107))</f>
        <v/>
      </c>
      <c r="K107" s="265" t="str">
        <f>IF($B107="","",COUNTIF(Sept[Resident Name],$B107))</f>
        <v/>
      </c>
      <c r="L107" s="265" t="str">
        <f>IF($B107="","",COUNTIF(Oct[Resident Name],$B107))</f>
        <v/>
      </c>
      <c r="M107" s="265" t="str">
        <f>IF($B107="","",COUNTIF(Nov[Resident Name],$B107))</f>
        <v/>
      </c>
      <c r="N107" s="265" t="str">
        <f>IF($B107="","",COUNTIF(Dec[Resident Name],$B107))</f>
        <v/>
      </c>
      <c r="O107" s="265" t="str">
        <f t="shared" si="3"/>
        <v/>
      </c>
      <c r="P107" s="11"/>
      <c r="R107" s="160" t="str">
        <f>IFERROR(INDEX($B$5:$B$172,MATCH(ROWS($R$5:R107),$X$5:$X$172,0)),"")</f>
        <v/>
      </c>
      <c r="S107" s="76" t="str">
        <f>IF($R107="","",INDEX($O$5:$O$172,MATCH(ROWS($R$5:R107),$X$5:$X$172,0)))</f>
        <v/>
      </c>
      <c r="U107" s="160" t="str">
        <f>IFERROR(INDEX($Z$5:$Z$448,MATCH(ROWS($U$5:U107),$AA$5:$AA$448,0)),"")</f>
        <v/>
      </c>
      <c r="V107" s="274" t="str">
        <f>IF(Mar!C32="","",Mar!C32)</f>
        <v/>
      </c>
      <c r="W107" s="274" t="str" cm="1">
        <f t="array" ref="W107">IF(V107="","",IF(COUNTIF($V$5:V107,V107)&gt;1,"",ROUND(1+SUMPRODUCT(($V$5:$V$448&lt;&gt;"")*($V$5:$V$448&lt;V107)/COUNTIF($V$5:$V$448,$V$5:$V$448&amp;"")),0)))</f>
        <v/>
      </c>
      <c r="X107" s="274" t="str">
        <f t="shared" si="4"/>
        <v/>
      </c>
      <c r="Z107" s="274" t="str">
        <f>IF(Mar!H32="Major Injury",Mar!C32,"")</f>
        <v/>
      </c>
      <c r="AA107" s="274" t="str" cm="1">
        <f t="array" ref="AA107">IF(Z107="","",IF(COUNTIF($Z$5:Z107,Z107)&gt;1,"",ROUND(1+SUMPRODUCT(($Z$5:$Z$448&lt;&gt;"")*($Z$5:$Z$448&lt;Z107)/COUNTIF($Z$5:$Z$448,$Z$5:$Z$448&amp;"")),0)))</f>
        <v/>
      </c>
    </row>
    <row r="108" spans="2:27" x14ac:dyDescent="0.25">
      <c r="B108" s="160" t="str">
        <f>IFERROR(INDEX($V$5:$V$448,MATCH(ROWS($B$5:B108),$W$5:$W$448,0)),"")</f>
        <v/>
      </c>
      <c r="C108" s="265" t="str">
        <f>IF($B108="","",COUNTIF(Jan[Resident Name],$B108))</f>
        <v/>
      </c>
      <c r="D108" s="265" t="str">
        <f>IF($B108="","",COUNTIF(Feb[Resident Name],$B108))</f>
        <v/>
      </c>
      <c r="E108" s="265" t="str">
        <f>IF($B108="","",COUNTIF(Mar[Resident Name],$B108))</f>
        <v/>
      </c>
      <c r="F108" s="265" t="str">
        <f>IF($B108="","",COUNTIF(Apr[Resident Name],$B108))</f>
        <v/>
      </c>
      <c r="G108" s="265" t="str">
        <f>IF($B108="","",COUNTIF(May[Resident Name],$B108))</f>
        <v/>
      </c>
      <c r="H108" s="265" t="str">
        <f>IF($B108="","",COUNTIF(June[Resident Name],$B108))</f>
        <v/>
      </c>
      <c r="I108" s="265" t="str">
        <f>IF($B108="","",COUNTIF(July[Resident Name],$B108))</f>
        <v/>
      </c>
      <c r="J108" s="265" t="str">
        <f>IF($B108="","",COUNTIF(Aug[Resident Name],$B108))</f>
        <v/>
      </c>
      <c r="K108" s="265" t="str">
        <f>IF($B108="","",COUNTIF(Sept[Resident Name],$B108))</f>
        <v/>
      </c>
      <c r="L108" s="265" t="str">
        <f>IF($B108="","",COUNTIF(Oct[Resident Name],$B108))</f>
        <v/>
      </c>
      <c r="M108" s="265" t="str">
        <f>IF($B108="","",COUNTIF(Nov[Resident Name],$B108))</f>
        <v/>
      </c>
      <c r="N108" s="265" t="str">
        <f>IF($B108="","",COUNTIF(Dec[Resident Name],$B108))</f>
        <v/>
      </c>
      <c r="O108" s="265" t="str">
        <f t="shared" si="3"/>
        <v/>
      </c>
      <c r="P108" s="11"/>
      <c r="R108" s="160" t="str">
        <f>IFERROR(INDEX($B$5:$B$172,MATCH(ROWS($R$5:R108),$X$5:$X$172,0)),"")</f>
        <v/>
      </c>
      <c r="S108" s="76" t="str">
        <f>IF($R108="","",INDEX($O$5:$O$172,MATCH(ROWS($R$5:R108),$X$5:$X$172,0)))</f>
        <v/>
      </c>
      <c r="U108" s="160" t="str">
        <f>IFERROR(INDEX($Z$5:$Z$448,MATCH(ROWS($U$5:U108),$AA$5:$AA$448,0)),"")</f>
        <v/>
      </c>
      <c r="V108" s="274" t="str">
        <f>IF(Mar!C33="","",Mar!C33)</f>
        <v/>
      </c>
      <c r="W108" s="274" t="str" cm="1">
        <f t="array" ref="W108">IF(V108="","",IF(COUNTIF($V$5:V108,V108)&gt;1,"",ROUND(1+SUMPRODUCT(($V$5:$V$448&lt;&gt;"")*($V$5:$V$448&lt;V108)/COUNTIF($V$5:$V$448,$V$5:$V$448&amp;"")),0)))</f>
        <v/>
      </c>
      <c r="X108" s="274" t="str">
        <f t="shared" si="4"/>
        <v/>
      </c>
      <c r="Z108" s="274" t="str">
        <f>IF(Mar!H33="Major Injury",Mar!C33,"")</f>
        <v/>
      </c>
      <c r="AA108" s="274" t="str" cm="1">
        <f t="array" ref="AA108">IF(Z108="","",IF(COUNTIF($Z$5:Z108,Z108)&gt;1,"",ROUND(1+SUMPRODUCT(($Z$5:$Z$448&lt;&gt;"")*($Z$5:$Z$448&lt;Z108)/COUNTIF($Z$5:$Z$448,$Z$5:$Z$448&amp;"")),0)))</f>
        <v/>
      </c>
    </row>
    <row r="109" spans="2:27" x14ac:dyDescent="0.25">
      <c r="B109" s="160" t="str">
        <f>IFERROR(INDEX($V$5:$V$448,MATCH(ROWS($B$5:B109),$W$5:$W$448,0)),"")</f>
        <v/>
      </c>
      <c r="C109" s="265" t="str">
        <f>IF($B109="","",COUNTIF(Jan[Resident Name],$B109))</f>
        <v/>
      </c>
      <c r="D109" s="265" t="str">
        <f>IF($B109="","",COUNTIF(Feb[Resident Name],$B109))</f>
        <v/>
      </c>
      <c r="E109" s="265" t="str">
        <f>IF($B109="","",COUNTIF(Mar[Resident Name],$B109))</f>
        <v/>
      </c>
      <c r="F109" s="265" t="str">
        <f>IF($B109="","",COUNTIF(Apr[Resident Name],$B109))</f>
        <v/>
      </c>
      <c r="G109" s="265" t="str">
        <f>IF($B109="","",COUNTIF(May[Resident Name],$B109))</f>
        <v/>
      </c>
      <c r="H109" s="265" t="str">
        <f>IF($B109="","",COUNTIF(June[Resident Name],$B109))</f>
        <v/>
      </c>
      <c r="I109" s="265" t="str">
        <f>IF($B109="","",COUNTIF(July[Resident Name],$B109))</f>
        <v/>
      </c>
      <c r="J109" s="265" t="str">
        <f>IF($B109="","",COUNTIF(Aug[Resident Name],$B109))</f>
        <v/>
      </c>
      <c r="K109" s="265" t="str">
        <f>IF($B109="","",COUNTIF(Sept[Resident Name],$B109))</f>
        <v/>
      </c>
      <c r="L109" s="265" t="str">
        <f>IF($B109="","",COUNTIF(Oct[Resident Name],$B109))</f>
        <v/>
      </c>
      <c r="M109" s="265" t="str">
        <f>IF($B109="","",COUNTIF(Nov[Resident Name],$B109))</f>
        <v/>
      </c>
      <c r="N109" s="265" t="str">
        <f>IF($B109="","",COUNTIF(Dec[Resident Name],$B109))</f>
        <v/>
      </c>
      <c r="O109" s="265" t="str">
        <f t="shared" si="3"/>
        <v/>
      </c>
      <c r="P109" s="11"/>
      <c r="R109" s="160" t="str">
        <f>IFERROR(INDEX($B$5:$B$172,MATCH(ROWS($R$5:R109),$X$5:$X$172,0)),"")</f>
        <v/>
      </c>
      <c r="S109" s="76" t="str">
        <f>IF($R109="","",INDEX($O$5:$O$172,MATCH(ROWS($R$5:R109),$X$5:$X$172,0)))</f>
        <v/>
      </c>
      <c r="U109" s="160" t="str">
        <f>IFERROR(INDEX($Z$5:$Z$448,MATCH(ROWS($U$5:U109),$AA$5:$AA$448,0)),"")</f>
        <v/>
      </c>
      <c r="V109" s="274" t="str">
        <f>IF(Mar!C34="","",Mar!C34)</f>
        <v/>
      </c>
      <c r="W109" s="274" t="str" cm="1">
        <f t="array" ref="W109">IF(V109="","",IF(COUNTIF($V$5:V109,V109)&gt;1,"",ROUND(1+SUMPRODUCT(($V$5:$V$448&lt;&gt;"")*($V$5:$V$448&lt;V109)/COUNTIF($V$5:$V$448,$V$5:$V$448&amp;"")),0)))</f>
        <v/>
      </c>
      <c r="X109" s="274" t="str">
        <f t="shared" si="4"/>
        <v/>
      </c>
      <c r="Z109" s="274" t="str">
        <f>IF(Mar!H34="Major Injury",Mar!C34,"")</f>
        <v/>
      </c>
      <c r="AA109" s="274" t="str" cm="1">
        <f t="array" ref="AA109">IF(Z109="","",IF(COUNTIF($Z$5:Z109,Z109)&gt;1,"",ROUND(1+SUMPRODUCT(($Z$5:$Z$448&lt;&gt;"")*($Z$5:$Z$448&lt;Z109)/COUNTIF($Z$5:$Z$448,$Z$5:$Z$448&amp;"")),0)))</f>
        <v/>
      </c>
    </row>
    <row r="110" spans="2:27" x14ac:dyDescent="0.25">
      <c r="B110" s="160" t="str">
        <f>IFERROR(INDEX($V$5:$V$448,MATCH(ROWS($B$5:B110),$W$5:$W$448,0)),"")</f>
        <v/>
      </c>
      <c r="C110" s="265" t="str">
        <f>IF($B110="","",COUNTIF(Jan[Resident Name],$B110))</f>
        <v/>
      </c>
      <c r="D110" s="265" t="str">
        <f>IF($B110="","",COUNTIF(Feb[Resident Name],$B110))</f>
        <v/>
      </c>
      <c r="E110" s="265" t="str">
        <f>IF($B110="","",COUNTIF(Mar[Resident Name],$B110))</f>
        <v/>
      </c>
      <c r="F110" s="265" t="str">
        <f>IF($B110="","",COUNTIF(Apr[Resident Name],$B110))</f>
        <v/>
      </c>
      <c r="G110" s="265" t="str">
        <f>IF($B110="","",COUNTIF(May[Resident Name],$B110))</f>
        <v/>
      </c>
      <c r="H110" s="265" t="str">
        <f>IF($B110="","",COUNTIF(June[Resident Name],$B110))</f>
        <v/>
      </c>
      <c r="I110" s="265" t="str">
        <f>IF($B110="","",COUNTIF(July[Resident Name],$B110))</f>
        <v/>
      </c>
      <c r="J110" s="265" t="str">
        <f>IF($B110="","",COUNTIF(Aug[Resident Name],$B110))</f>
        <v/>
      </c>
      <c r="K110" s="265" t="str">
        <f>IF($B110="","",COUNTIF(Sept[Resident Name],$B110))</f>
        <v/>
      </c>
      <c r="L110" s="265" t="str">
        <f>IF($B110="","",COUNTIF(Oct[Resident Name],$B110))</f>
        <v/>
      </c>
      <c r="M110" s="265" t="str">
        <f>IF($B110="","",COUNTIF(Nov[Resident Name],$B110))</f>
        <v/>
      </c>
      <c r="N110" s="265" t="str">
        <f>IF($B110="","",COUNTIF(Dec[Resident Name],$B110))</f>
        <v/>
      </c>
      <c r="O110" s="265" t="str">
        <f t="shared" si="3"/>
        <v/>
      </c>
      <c r="P110" s="11"/>
      <c r="R110" s="160" t="str">
        <f>IFERROR(INDEX($B$5:$B$172,MATCH(ROWS($R$5:R110),$X$5:$X$172,0)),"")</f>
        <v/>
      </c>
      <c r="S110" s="76" t="str">
        <f>IF($R110="","",INDEX($O$5:$O$172,MATCH(ROWS($R$5:R110),$X$5:$X$172,0)))</f>
        <v/>
      </c>
      <c r="U110" s="160" t="str">
        <f>IFERROR(INDEX($Z$5:$Z$448,MATCH(ROWS($U$5:U110),$AA$5:$AA$448,0)),"")</f>
        <v/>
      </c>
      <c r="V110" s="274" t="str">
        <f>IF(Mar!C35="","",Mar!C35)</f>
        <v/>
      </c>
      <c r="W110" s="274" t="str" cm="1">
        <f t="array" ref="W110">IF(V110="","",IF(COUNTIF($V$5:V110,V110)&gt;1,"",ROUND(1+SUMPRODUCT(($V$5:$V$448&lt;&gt;"")*($V$5:$V$448&lt;V110)/COUNTIF($V$5:$V$448,$V$5:$V$448&amp;"")),0)))</f>
        <v/>
      </c>
      <c r="X110" s="274" t="str">
        <f t="shared" si="4"/>
        <v/>
      </c>
      <c r="Z110" s="274" t="str">
        <f>IF(Mar!H35="Major Injury",Mar!C35,"")</f>
        <v/>
      </c>
      <c r="AA110" s="274" t="str" cm="1">
        <f t="array" ref="AA110">IF(Z110="","",IF(COUNTIF($Z$5:Z110,Z110)&gt;1,"",ROUND(1+SUMPRODUCT(($Z$5:$Z$448&lt;&gt;"")*($Z$5:$Z$448&lt;Z110)/COUNTIF($Z$5:$Z$448,$Z$5:$Z$448&amp;"")),0)))</f>
        <v/>
      </c>
    </row>
    <row r="111" spans="2:27" x14ac:dyDescent="0.25">
      <c r="B111" s="160" t="str">
        <f>IFERROR(INDEX($V$5:$V$448,MATCH(ROWS($B$5:B111),$W$5:$W$448,0)),"")</f>
        <v/>
      </c>
      <c r="C111" s="265" t="str">
        <f>IF($B111="","",COUNTIF(Jan[Resident Name],$B111))</f>
        <v/>
      </c>
      <c r="D111" s="265" t="str">
        <f>IF($B111="","",COUNTIF(Feb[Resident Name],$B111))</f>
        <v/>
      </c>
      <c r="E111" s="265" t="str">
        <f>IF($B111="","",COUNTIF(Mar[Resident Name],$B111))</f>
        <v/>
      </c>
      <c r="F111" s="265" t="str">
        <f>IF($B111="","",COUNTIF(Apr[Resident Name],$B111))</f>
        <v/>
      </c>
      <c r="G111" s="265" t="str">
        <f>IF($B111="","",COUNTIF(May[Resident Name],$B111))</f>
        <v/>
      </c>
      <c r="H111" s="265" t="str">
        <f>IF($B111="","",COUNTIF(June[Resident Name],$B111))</f>
        <v/>
      </c>
      <c r="I111" s="265" t="str">
        <f>IF($B111="","",COUNTIF(July[Resident Name],$B111))</f>
        <v/>
      </c>
      <c r="J111" s="265" t="str">
        <f>IF($B111="","",COUNTIF(Aug[Resident Name],$B111))</f>
        <v/>
      </c>
      <c r="K111" s="265" t="str">
        <f>IF($B111="","",COUNTIF(Sept[Resident Name],$B111))</f>
        <v/>
      </c>
      <c r="L111" s="265" t="str">
        <f>IF($B111="","",COUNTIF(Oct[Resident Name],$B111))</f>
        <v/>
      </c>
      <c r="M111" s="265" t="str">
        <f>IF($B111="","",COUNTIF(Nov[Resident Name],$B111))</f>
        <v/>
      </c>
      <c r="N111" s="265" t="str">
        <f>IF($B111="","",COUNTIF(Dec[Resident Name],$B111))</f>
        <v/>
      </c>
      <c r="O111" s="265" t="str">
        <f t="shared" si="3"/>
        <v/>
      </c>
      <c r="P111" s="11"/>
      <c r="R111" s="160" t="str">
        <f>IFERROR(INDEX($B$5:$B$172,MATCH(ROWS($R$5:R111),$X$5:$X$172,0)),"")</f>
        <v/>
      </c>
      <c r="S111" s="76" t="str">
        <f>IF($R111="","",INDEX($O$5:$O$172,MATCH(ROWS($R$5:R111),$X$5:$X$172,0)))</f>
        <v/>
      </c>
      <c r="U111" s="160" t="str">
        <f>IFERROR(INDEX($Z$5:$Z$448,MATCH(ROWS($U$5:U111),$AA$5:$AA$448,0)),"")</f>
        <v/>
      </c>
      <c r="V111" s="274" t="str">
        <f>IF(Mar!C36="","",Mar!C36)</f>
        <v/>
      </c>
      <c r="W111" s="274" t="str" cm="1">
        <f t="array" ref="W111">IF(V111="","",IF(COUNTIF($V$5:V111,V111)&gt;1,"",ROUND(1+SUMPRODUCT(($V$5:$V$448&lt;&gt;"")*($V$5:$V$448&lt;V111)/COUNTIF($V$5:$V$448,$V$5:$V$448&amp;"")),0)))</f>
        <v/>
      </c>
      <c r="X111" s="274" t="str">
        <f t="shared" si="4"/>
        <v/>
      </c>
      <c r="Z111" s="274" t="str">
        <f>IF(Mar!H36="Major Injury",Mar!C36,"")</f>
        <v/>
      </c>
      <c r="AA111" s="274" t="str" cm="1">
        <f t="array" ref="AA111">IF(Z111="","",IF(COUNTIF($Z$5:Z111,Z111)&gt;1,"",ROUND(1+SUMPRODUCT(($Z$5:$Z$448&lt;&gt;"")*($Z$5:$Z$448&lt;Z111)/COUNTIF($Z$5:$Z$448,$Z$5:$Z$448&amp;"")),0)))</f>
        <v/>
      </c>
    </row>
    <row r="112" spans="2:27" x14ac:dyDescent="0.25">
      <c r="B112" s="160" t="str">
        <f>IFERROR(INDEX($V$5:$V$448,MATCH(ROWS($B$5:B112),$W$5:$W$448,0)),"")</f>
        <v/>
      </c>
      <c r="C112" s="265" t="str">
        <f>IF($B112="","",COUNTIF(Jan[Resident Name],$B112))</f>
        <v/>
      </c>
      <c r="D112" s="265" t="str">
        <f>IF($B112="","",COUNTIF(Feb[Resident Name],$B112))</f>
        <v/>
      </c>
      <c r="E112" s="265" t="str">
        <f>IF($B112="","",COUNTIF(Mar[Resident Name],$B112))</f>
        <v/>
      </c>
      <c r="F112" s="265" t="str">
        <f>IF($B112="","",COUNTIF(Apr[Resident Name],$B112))</f>
        <v/>
      </c>
      <c r="G112" s="265" t="str">
        <f>IF($B112="","",COUNTIF(May[Resident Name],$B112))</f>
        <v/>
      </c>
      <c r="H112" s="265" t="str">
        <f>IF($B112="","",COUNTIF(June[Resident Name],$B112))</f>
        <v/>
      </c>
      <c r="I112" s="265" t="str">
        <f>IF($B112="","",COUNTIF(July[Resident Name],$B112))</f>
        <v/>
      </c>
      <c r="J112" s="265" t="str">
        <f>IF($B112="","",COUNTIF(Aug[Resident Name],$B112))</f>
        <v/>
      </c>
      <c r="K112" s="265" t="str">
        <f>IF($B112="","",COUNTIF(Sept[Resident Name],$B112))</f>
        <v/>
      </c>
      <c r="L112" s="265" t="str">
        <f>IF($B112="","",COUNTIF(Oct[Resident Name],$B112))</f>
        <v/>
      </c>
      <c r="M112" s="265" t="str">
        <f>IF($B112="","",COUNTIF(Nov[Resident Name],$B112))</f>
        <v/>
      </c>
      <c r="N112" s="265" t="str">
        <f>IF($B112="","",COUNTIF(Dec[Resident Name],$B112))</f>
        <v/>
      </c>
      <c r="O112" s="265" t="str">
        <f t="shared" si="3"/>
        <v/>
      </c>
      <c r="P112" s="11"/>
      <c r="R112" s="160" t="str">
        <f>IFERROR(INDEX($B$5:$B$172,MATCH(ROWS($R$5:R112),$X$5:$X$172,0)),"")</f>
        <v/>
      </c>
      <c r="S112" s="76" t="str">
        <f>IF($R112="","",INDEX($O$5:$O$172,MATCH(ROWS($R$5:R112),$X$5:$X$172,0)))</f>
        <v/>
      </c>
      <c r="U112" s="160" t="str">
        <f>IFERROR(INDEX($Z$5:$Z$448,MATCH(ROWS($U$5:U112),$AA$5:$AA$448,0)),"")</f>
        <v/>
      </c>
      <c r="V112" s="274" t="str">
        <f>IF(Mar!C37="","",Mar!C37)</f>
        <v/>
      </c>
      <c r="W112" s="274" t="str" cm="1">
        <f t="array" ref="W112">IF(V112="","",IF(COUNTIF($V$5:V112,V112)&gt;1,"",ROUND(1+SUMPRODUCT(($V$5:$V$448&lt;&gt;"")*($V$5:$V$448&lt;V112)/COUNTIF($V$5:$V$448,$V$5:$V$448&amp;"")),0)))</f>
        <v/>
      </c>
      <c r="X112" s="274" t="str">
        <f t="shared" si="4"/>
        <v/>
      </c>
      <c r="Z112" s="274" t="str">
        <f>IF(Mar!H37="Major Injury",Mar!C37,"")</f>
        <v/>
      </c>
      <c r="AA112" s="274" t="str" cm="1">
        <f t="array" ref="AA112">IF(Z112="","",IF(COUNTIF($Z$5:Z112,Z112)&gt;1,"",ROUND(1+SUMPRODUCT(($Z$5:$Z$448&lt;&gt;"")*($Z$5:$Z$448&lt;Z112)/COUNTIF($Z$5:$Z$448,$Z$5:$Z$448&amp;"")),0)))</f>
        <v/>
      </c>
    </row>
    <row r="113" spans="2:27" x14ac:dyDescent="0.25">
      <c r="B113" s="160" t="str">
        <f>IFERROR(INDEX($V$5:$V$448,MATCH(ROWS($B$5:B113),$W$5:$W$448,0)),"")</f>
        <v/>
      </c>
      <c r="C113" s="265" t="str">
        <f>IF($B113="","",COUNTIF(Jan[Resident Name],$B113))</f>
        <v/>
      </c>
      <c r="D113" s="265" t="str">
        <f>IF($B113="","",COUNTIF(Feb[Resident Name],$B113))</f>
        <v/>
      </c>
      <c r="E113" s="265" t="str">
        <f>IF($B113="","",COUNTIF(Mar[Resident Name],$B113))</f>
        <v/>
      </c>
      <c r="F113" s="265" t="str">
        <f>IF($B113="","",COUNTIF(Apr[Resident Name],$B113))</f>
        <v/>
      </c>
      <c r="G113" s="265" t="str">
        <f>IF($B113="","",COUNTIF(May[Resident Name],$B113))</f>
        <v/>
      </c>
      <c r="H113" s="265" t="str">
        <f>IF($B113="","",COUNTIF(June[Resident Name],$B113))</f>
        <v/>
      </c>
      <c r="I113" s="265" t="str">
        <f>IF($B113="","",COUNTIF(July[Resident Name],$B113))</f>
        <v/>
      </c>
      <c r="J113" s="265" t="str">
        <f>IF($B113="","",COUNTIF(Aug[Resident Name],$B113))</f>
        <v/>
      </c>
      <c r="K113" s="265" t="str">
        <f>IF($B113="","",COUNTIF(Sept[Resident Name],$B113))</f>
        <v/>
      </c>
      <c r="L113" s="265" t="str">
        <f>IF($B113="","",COUNTIF(Oct[Resident Name],$B113))</f>
        <v/>
      </c>
      <c r="M113" s="265" t="str">
        <f>IF($B113="","",COUNTIF(Nov[Resident Name],$B113))</f>
        <v/>
      </c>
      <c r="N113" s="265" t="str">
        <f>IF($B113="","",COUNTIF(Dec[Resident Name],$B113))</f>
        <v/>
      </c>
      <c r="O113" s="265" t="str">
        <f t="shared" si="3"/>
        <v/>
      </c>
      <c r="P113" s="11"/>
      <c r="R113" s="160" t="str">
        <f>IFERROR(INDEX($B$5:$B$172,MATCH(ROWS($R$5:R113),$X$5:$X$172,0)),"")</f>
        <v/>
      </c>
      <c r="S113" s="76" t="str">
        <f>IF($R113="","",INDEX($O$5:$O$172,MATCH(ROWS($R$5:R113),$X$5:$X$172,0)))</f>
        <v/>
      </c>
      <c r="U113" s="160" t="str">
        <f>IFERROR(INDEX($Z$5:$Z$448,MATCH(ROWS($U$5:U113),$AA$5:$AA$448,0)),"")</f>
        <v/>
      </c>
      <c r="V113" s="274" t="str">
        <f>IF(Mar!C38="","",Mar!C38)</f>
        <v/>
      </c>
      <c r="W113" s="274" t="str" cm="1">
        <f t="array" ref="W113">IF(V113="","",IF(COUNTIF($V$5:V113,V113)&gt;1,"",ROUND(1+SUMPRODUCT(($V$5:$V$448&lt;&gt;"")*($V$5:$V$448&lt;V113)/COUNTIF($V$5:$V$448,$V$5:$V$448&amp;"")),0)))</f>
        <v/>
      </c>
      <c r="X113" s="274" t="str">
        <f t="shared" si="4"/>
        <v/>
      </c>
      <c r="Z113" s="274" t="str">
        <f>IF(Mar!H38="Major Injury",Mar!C38,"")</f>
        <v/>
      </c>
      <c r="AA113" s="274" t="str" cm="1">
        <f t="array" ref="AA113">IF(Z113="","",IF(COUNTIF($Z$5:Z113,Z113)&gt;1,"",ROUND(1+SUMPRODUCT(($Z$5:$Z$448&lt;&gt;"")*($Z$5:$Z$448&lt;Z113)/COUNTIF($Z$5:$Z$448,$Z$5:$Z$448&amp;"")),0)))</f>
        <v/>
      </c>
    </row>
    <row r="114" spans="2:27" x14ac:dyDescent="0.25">
      <c r="B114" s="160" t="str">
        <f>IFERROR(INDEX($V$5:$V$448,MATCH(ROWS($B$5:B114),$W$5:$W$448,0)),"")</f>
        <v/>
      </c>
      <c r="C114" s="265" t="str">
        <f>IF($B114="","",COUNTIF(Jan[Resident Name],$B114))</f>
        <v/>
      </c>
      <c r="D114" s="265" t="str">
        <f>IF($B114="","",COUNTIF(Feb[Resident Name],$B114))</f>
        <v/>
      </c>
      <c r="E114" s="265" t="str">
        <f>IF($B114="","",COUNTIF(Mar[Resident Name],$B114))</f>
        <v/>
      </c>
      <c r="F114" s="265" t="str">
        <f>IF($B114="","",COUNTIF(Apr[Resident Name],$B114))</f>
        <v/>
      </c>
      <c r="G114" s="265" t="str">
        <f>IF($B114="","",COUNTIF(May[Resident Name],$B114))</f>
        <v/>
      </c>
      <c r="H114" s="265" t="str">
        <f>IF($B114="","",COUNTIF(June[Resident Name],$B114))</f>
        <v/>
      </c>
      <c r="I114" s="265" t="str">
        <f>IF($B114="","",COUNTIF(July[Resident Name],$B114))</f>
        <v/>
      </c>
      <c r="J114" s="265" t="str">
        <f>IF($B114="","",COUNTIF(Aug[Resident Name],$B114))</f>
        <v/>
      </c>
      <c r="K114" s="265" t="str">
        <f>IF($B114="","",COUNTIF(Sept[Resident Name],$B114))</f>
        <v/>
      </c>
      <c r="L114" s="265" t="str">
        <f>IF($B114="","",COUNTIF(Oct[Resident Name],$B114))</f>
        <v/>
      </c>
      <c r="M114" s="265" t="str">
        <f>IF($B114="","",COUNTIF(Nov[Resident Name],$B114))</f>
        <v/>
      </c>
      <c r="N114" s="265" t="str">
        <f>IF($B114="","",COUNTIF(Dec[Resident Name],$B114))</f>
        <v/>
      </c>
      <c r="O114" s="265" t="str">
        <f t="shared" si="3"/>
        <v/>
      </c>
      <c r="P114" s="11"/>
      <c r="R114" s="160" t="str">
        <f>IFERROR(INDEX($B$5:$B$172,MATCH(ROWS($R$5:R114),$X$5:$X$172,0)),"")</f>
        <v/>
      </c>
      <c r="S114" s="76" t="str">
        <f>IF($R114="","",INDEX($O$5:$O$172,MATCH(ROWS($R$5:R114),$X$5:$X$172,0)))</f>
        <v/>
      </c>
      <c r="U114" s="160" t="str">
        <f>IFERROR(INDEX($Z$5:$Z$448,MATCH(ROWS($U$5:U114),$AA$5:$AA$448,0)),"")</f>
        <v/>
      </c>
      <c r="V114" s="274" t="str">
        <f>IF(Mar!C39="","",Mar!C39)</f>
        <v/>
      </c>
      <c r="W114" s="274" t="str" cm="1">
        <f t="array" ref="W114">IF(V114="","",IF(COUNTIF($V$5:V114,V114)&gt;1,"",ROUND(1+SUMPRODUCT(($V$5:$V$448&lt;&gt;"")*($V$5:$V$448&lt;V114)/COUNTIF($V$5:$V$448,$V$5:$V$448&amp;"")),0)))</f>
        <v/>
      </c>
      <c r="X114" s="274" t="str">
        <f t="shared" si="4"/>
        <v/>
      </c>
      <c r="Z114" s="274" t="str">
        <f>IF(Mar!H39="Major Injury",Mar!C39,"")</f>
        <v/>
      </c>
      <c r="AA114" s="274" t="str" cm="1">
        <f t="array" ref="AA114">IF(Z114="","",IF(COUNTIF($Z$5:Z114,Z114)&gt;1,"",ROUND(1+SUMPRODUCT(($Z$5:$Z$448&lt;&gt;"")*($Z$5:$Z$448&lt;Z114)/COUNTIF($Z$5:$Z$448,$Z$5:$Z$448&amp;"")),0)))</f>
        <v/>
      </c>
    </row>
    <row r="115" spans="2:27" x14ac:dyDescent="0.25">
      <c r="B115" s="160" t="str">
        <f>IFERROR(INDEX($V$5:$V$448,MATCH(ROWS($B$5:B115),$W$5:$W$448,0)),"")</f>
        <v/>
      </c>
      <c r="C115" s="265" t="str">
        <f>IF($B115="","",COUNTIF(Jan[Resident Name],$B115))</f>
        <v/>
      </c>
      <c r="D115" s="265" t="str">
        <f>IF($B115="","",COUNTIF(Feb[Resident Name],$B115))</f>
        <v/>
      </c>
      <c r="E115" s="265" t="str">
        <f>IF($B115="","",COUNTIF(Mar[Resident Name],$B115))</f>
        <v/>
      </c>
      <c r="F115" s="265" t="str">
        <f>IF($B115="","",COUNTIF(Apr[Resident Name],$B115))</f>
        <v/>
      </c>
      <c r="G115" s="265" t="str">
        <f>IF($B115="","",COUNTIF(May[Resident Name],$B115))</f>
        <v/>
      </c>
      <c r="H115" s="265" t="str">
        <f>IF($B115="","",COUNTIF(June[Resident Name],$B115))</f>
        <v/>
      </c>
      <c r="I115" s="265" t="str">
        <f>IF($B115="","",COUNTIF(July[Resident Name],$B115))</f>
        <v/>
      </c>
      <c r="J115" s="265" t="str">
        <f>IF($B115="","",COUNTIF(Aug[Resident Name],$B115))</f>
        <v/>
      </c>
      <c r="K115" s="265" t="str">
        <f>IF($B115="","",COUNTIF(Sept[Resident Name],$B115))</f>
        <v/>
      </c>
      <c r="L115" s="265" t="str">
        <f>IF($B115="","",COUNTIF(Oct[Resident Name],$B115))</f>
        <v/>
      </c>
      <c r="M115" s="265" t="str">
        <f>IF($B115="","",COUNTIF(Nov[Resident Name],$B115))</f>
        <v/>
      </c>
      <c r="N115" s="265" t="str">
        <f>IF($B115="","",COUNTIF(Dec[Resident Name],$B115))</f>
        <v/>
      </c>
      <c r="O115" s="265" t="str">
        <f t="shared" si="3"/>
        <v/>
      </c>
      <c r="P115" s="11"/>
      <c r="R115" s="160" t="str">
        <f>IFERROR(INDEX($B$5:$B$172,MATCH(ROWS($R$5:R115),$X$5:$X$172,0)),"")</f>
        <v/>
      </c>
      <c r="S115" s="76" t="str">
        <f>IF($R115="","",INDEX($O$5:$O$172,MATCH(ROWS($R$5:R115),$X$5:$X$172,0)))</f>
        <v/>
      </c>
      <c r="U115" s="160" t="str">
        <f>IFERROR(INDEX($Z$5:$Z$448,MATCH(ROWS($U$5:U115),$AA$5:$AA$448,0)),"")</f>
        <v/>
      </c>
      <c r="V115" s="274" t="str">
        <f>IF(Mar!C40="","",Mar!C40)</f>
        <v/>
      </c>
      <c r="W115" s="274" t="str" cm="1">
        <f t="array" ref="W115">IF(V115="","",IF(COUNTIF($V$5:V115,V115)&gt;1,"",ROUND(1+SUMPRODUCT(($V$5:$V$448&lt;&gt;"")*($V$5:$V$448&lt;V115)/COUNTIF($V$5:$V$448,$V$5:$V$448&amp;"")),0)))</f>
        <v/>
      </c>
      <c r="X115" s="274" t="str">
        <f t="shared" si="4"/>
        <v/>
      </c>
      <c r="Z115" s="274" t="str">
        <f>IF(Mar!H40="Major Injury",Mar!C40,"")</f>
        <v/>
      </c>
      <c r="AA115" s="274" t="str" cm="1">
        <f t="array" ref="AA115">IF(Z115="","",IF(COUNTIF($Z$5:Z115,Z115)&gt;1,"",ROUND(1+SUMPRODUCT(($Z$5:$Z$448&lt;&gt;"")*($Z$5:$Z$448&lt;Z115)/COUNTIF($Z$5:$Z$448,$Z$5:$Z$448&amp;"")),0)))</f>
        <v/>
      </c>
    </row>
    <row r="116" spans="2:27" x14ac:dyDescent="0.25">
      <c r="B116" s="160" t="str">
        <f>IFERROR(INDEX($V$5:$V$448,MATCH(ROWS($B$5:B116),$W$5:$W$448,0)),"")</f>
        <v/>
      </c>
      <c r="C116" s="265" t="str">
        <f>IF($B116="","",COUNTIF(Jan[Resident Name],$B116))</f>
        <v/>
      </c>
      <c r="D116" s="265" t="str">
        <f>IF($B116="","",COUNTIF(Feb[Resident Name],$B116))</f>
        <v/>
      </c>
      <c r="E116" s="265" t="str">
        <f>IF($B116="","",COUNTIF(Mar[Resident Name],$B116))</f>
        <v/>
      </c>
      <c r="F116" s="265" t="str">
        <f>IF($B116="","",COUNTIF(Apr[Resident Name],$B116))</f>
        <v/>
      </c>
      <c r="G116" s="265" t="str">
        <f>IF($B116="","",COUNTIF(May[Resident Name],$B116))</f>
        <v/>
      </c>
      <c r="H116" s="265" t="str">
        <f>IF($B116="","",COUNTIF(June[Resident Name],$B116))</f>
        <v/>
      </c>
      <c r="I116" s="265" t="str">
        <f>IF($B116="","",COUNTIF(July[Resident Name],$B116))</f>
        <v/>
      </c>
      <c r="J116" s="265" t="str">
        <f>IF($B116="","",COUNTIF(Aug[Resident Name],$B116))</f>
        <v/>
      </c>
      <c r="K116" s="265" t="str">
        <f>IF($B116="","",COUNTIF(Sept[Resident Name],$B116))</f>
        <v/>
      </c>
      <c r="L116" s="265" t="str">
        <f>IF($B116="","",COUNTIF(Oct[Resident Name],$B116))</f>
        <v/>
      </c>
      <c r="M116" s="265" t="str">
        <f>IF($B116="","",COUNTIF(Nov[Resident Name],$B116))</f>
        <v/>
      </c>
      <c r="N116" s="265" t="str">
        <f>IF($B116="","",COUNTIF(Dec[Resident Name],$B116))</f>
        <v/>
      </c>
      <c r="O116" s="265" t="str">
        <f t="shared" si="3"/>
        <v/>
      </c>
      <c r="P116" s="11"/>
      <c r="R116" s="160" t="str">
        <f>IFERROR(INDEX($B$5:$B$172,MATCH(ROWS($R$5:R116),$X$5:$X$172,0)),"")</f>
        <v/>
      </c>
      <c r="S116" s="76" t="str">
        <f>IF($R116="","",INDEX($O$5:$O$172,MATCH(ROWS($R$5:R116),$X$5:$X$172,0)))</f>
        <v/>
      </c>
      <c r="U116" s="160" t="str">
        <f>IFERROR(INDEX($Z$5:$Z$448,MATCH(ROWS($U$5:U116),$AA$5:$AA$448,0)),"")</f>
        <v/>
      </c>
      <c r="V116" s="274" t="str">
        <f>IF(Apr!C4="","",Apr!C4)</f>
        <v/>
      </c>
      <c r="W116" s="274" t="str" cm="1">
        <f t="array" ref="W116">IF(V116="","",IF(COUNTIF($V$5:V116,V116)&gt;1,"",ROUND(1+SUMPRODUCT(($V$5:$V$448&lt;&gt;"")*($V$5:$V$448&lt;V116)/COUNTIF($V$5:$V$448,$V$5:$V$448&amp;"")),0)))</f>
        <v/>
      </c>
      <c r="X116" s="274" t="str">
        <f t="shared" si="4"/>
        <v/>
      </c>
      <c r="Z116" s="274" t="str">
        <f>IF(Apr!H4="Major Injury",Apr!C4,"")</f>
        <v/>
      </c>
      <c r="AA116" s="274" t="str" cm="1">
        <f t="array" ref="AA116">IF(Z116="","",IF(COUNTIF($Z$5:Z116,Z116)&gt;1,"",ROUND(1+SUMPRODUCT(($Z$5:$Z$448&lt;&gt;"")*($Z$5:$Z$448&lt;Z116)/COUNTIF($Z$5:$Z$448,$Z$5:$Z$448&amp;"")),0)))</f>
        <v/>
      </c>
    </row>
    <row r="117" spans="2:27" x14ac:dyDescent="0.25">
      <c r="B117" s="160" t="str">
        <f>IFERROR(INDEX($V$5:$V$448,MATCH(ROWS($B$5:B117),$W$5:$W$448,0)),"")</f>
        <v/>
      </c>
      <c r="C117" s="265" t="str">
        <f>IF($B117="","",COUNTIF(Jan[Resident Name],$B117))</f>
        <v/>
      </c>
      <c r="D117" s="265" t="str">
        <f>IF($B117="","",COUNTIF(Feb[Resident Name],$B117))</f>
        <v/>
      </c>
      <c r="E117" s="265" t="str">
        <f>IF($B117="","",COUNTIF(Mar[Resident Name],$B117))</f>
        <v/>
      </c>
      <c r="F117" s="265" t="str">
        <f>IF($B117="","",COUNTIF(Apr[Resident Name],$B117))</f>
        <v/>
      </c>
      <c r="G117" s="265" t="str">
        <f>IF($B117="","",COUNTIF(May[Resident Name],$B117))</f>
        <v/>
      </c>
      <c r="H117" s="265" t="str">
        <f>IF($B117="","",COUNTIF(June[Resident Name],$B117))</f>
        <v/>
      </c>
      <c r="I117" s="265" t="str">
        <f>IF($B117="","",COUNTIF(July[Resident Name],$B117))</f>
        <v/>
      </c>
      <c r="J117" s="265" t="str">
        <f>IF($B117="","",COUNTIF(Aug[Resident Name],$B117))</f>
        <v/>
      </c>
      <c r="K117" s="265" t="str">
        <f>IF($B117="","",COUNTIF(Sept[Resident Name],$B117))</f>
        <v/>
      </c>
      <c r="L117" s="265" t="str">
        <f>IF($B117="","",COUNTIF(Oct[Resident Name],$B117))</f>
        <v/>
      </c>
      <c r="M117" s="265" t="str">
        <f>IF($B117="","",COUNTIF(Nov[Resident Name],$B117))</f>
        <v/>
      </c>
      <c r="N117" s="265" t="str">
        <f>IF($B117="","",COUNTIF(Dec[Resident Name],$B117))</f>
        <v/>
      </c>
      <c r="O117" s="265" t="str">
        <f t="shared" si="3"/>
        <v/>
      </c>
      <c r="P117" s="11"/>
      <c r="R117" s="160" t="str">
        <f>IFERROR(INDEX($B$5:$B$172,MATCH(ROWS($R$5:R117),$X$5:$X$172,0)),"")</f>
        <v/>
      </c>
      <c r="S117" s="76" t="str">
        <f>IF($R117="","",INDEX($O$5:$O$172,MATCH(ROWS($R$5:R117),$X$5:$X$172,0)))</f>
        <v/>
      </c>
      <c r="U117" s="160" t="str">
        <f>IFERROR(INDEX($Z$5:$Z$448,MATCH(ROWS($U$5:U117),$AA$5:$AA$448,0)),"")</f>
        <v/>
      </c>
      <c r="V117" s="274" t="str">
        <f>IF(Apr!C5="","",Apr!C5)</f>
        <v/>
      </c>
      <c r="W117" s="274" t="str" cm="1">
        <f t="array" ref="W117">IF(V117="","",IF(COUNTIF($V$5:V117,V117)&gt;1,"",ROUND(1+SUMPRODUCT(($V$5:$V$448&lt;&gt;"")*($V$5:$V$448&lt;V117)/COUNTIF($V$5:$V$448,$V$5:$V$448&amp;"")),0)))</f>
        <v/>
      </c>
      <c r="X117" s="274" t="str">
        <f t="shared" si="4"/>
        <v/>
      </c>
      <c r="Z117" s="274" t="str">
        <f>IF(Apr!H5="Major Injury",Apr!C5,"")</f>
        <v/>
      </c>
      <c r="AA117" s="274" t="str" cm="1">
        <f t="array" ref="AA117">IF(Z117="","",IF(COUNTIF($Z$5:Z117,Z117)&gt;1,"",ROUND(1+SUMPRODUCT(($Z$5:$Z$448&lt;&gt;"")*($Z$5:$Z$448&lt;Z117)/COUNTIF($Z$5:$Z$448,$Z$5:$Z$448&amp;"")),0)))</f>
        <v/>
      </c>
    </row>
    <row r="118" spans="2:27" x14ac:dyDescent="0.25">
      <c r="B118" s="160" t="str">
        <f>IFERROR(INDEX($V$5:$V$448,MATCH(ROWS($B$5:B118),$W$5:$W$448,0)),"")</f>
        <v/>
      </c>
      <c r="C118" s="265" t="str">
        <f>IF($B118="","",COUNTIF(Jan[Resident Name],$B118))</f>
        <v/>
      </c>
      <c r="D118" s="265" t="str">
        <f>IF($B118="","",COUNTIF(Feb[Resident Name],$B118))</f>
        <v/>
      </c>
      <c r="E118" s="265" t="str">
        <f>IF($B118="","",COUNTIF(Mar[Resident Name],$B118))</f>
        <v/>
      </c>
      <c r="F118" s="265" t="str">
        <f>IF($B118="","",COUNTIF(Apr[Resident Name],$B118))</f>
        <v/>
      </c>
      <c r="G118" s="265" t="str">
        <f>IF($B118="","",COUNTIF(May[Resident Name],$B118))</f>
        <v/>
      </c>
      <c r="H118" s="265" t="str">
        <f>IF($B118="","",COUNTIF(June[Resident Name],$B118))</f>
        <v/>
      </c>
      <c r="I118" s="265" t="str">
        <f>IF($B118="","",COUNTIF(July[Resident Name],$B118))</f>
        <v/>
      </c>
      <c r="J118" s="265" t="str">
        <f>IF($B118="","",COUNTIF(Aug[Resident Name],$B118))</f>
        <v/>
      </c>
      <c r="K118" s="265" t="str">
        <f>IF($B118="","",COUNTIF(Sept[Resident Name],$B118))</f>
        <v/>
      </c>
      <c r="L118" s="265" t="str">
        <f>IF($B118="","",COUNTIF(Oct[Resident Name],$B118))</f>
        <v/>
      </c>
      <c r="M118" s="265" t="str">
        <f>IF($B118="","",COUNTIF(Nov[Resident Name],$B118))</f>
        <v/>
      </c>
      <c r="N118" s="265" t="str">
        <f>IF($B118="","",COUNTIF(Dec[Resident Name],$B118))</f>
        <v/>
      </c>
      <c r="O118" s="265" t="str">
        <f t="shared" si="3"/>
        <v/>
      </c>
      <c r="P118" s="11"/>
      <c r="R118" s="160" t="str">
        <f>IFERROR(INDEX($B$5:$B$172,MATCH(ROWS($R$5:R118),$X$5:$X$172,0)),"")</f>
        <v/>
      </c>
      <c r="S118" s="76" t="str">
        <f>IF($R118="","",INDEX($O$5:$O$172,MATCH(ROWS($R$5:R118),$X$5:$X$172,0)))</f>
        <v/>
      </c>
      <c r="U118" s="160" t="str">
        <f>IFERROR(INDEX($Z$5:$Z$448,MATCH(ROWS($U$5:U118),$AA$5:$AA$448,0)),"")</f>
        <v/>
      </c>
      <c r="V118" s="274" t="str">
        <f>IF(Apr!C6="","",Apr!C6)</f>
        <v/>
      </c>
      <c r="W118" s="274" t="str" cm="1">
        <f t="array" ref="W118">IF(V118="","",IF(COUNTIF($V$5:V118,V118)&gt;1,"",ROUND(1+SUMPRODUCT(($V$5:$V$448&lt;&gt;"")*($V$5:$V$448&lt;V118)/COUNTIF($V$5:$V$448,$V$5:$V$448&amp;"")),0)))</f>
        <v/>
      </c>
      <c r="X118" s="274" t="str">
        <f t="shared" si="4"/>
        <v/>
      </c>
      <c r="Z118" s="274" t="str">
        <f>IF(Apr!H6="Major Injury",Apr!C6,"")</f>
        <v/>
      </c>
      <c r="AA118" s="274" t="str" cm="1">
        <f t="array" ref="AA118">IF(Z118="","",IF(COUNTIF($Z$5:Z118,Z118)&gt;1,"",ROUND(1+SUMPRODUCT(($Z$5:$Z$448&lt;&gt;"")*($Z$5:$Z$448&lt;Z118)/COUNTIF($Z$5:$Z$448,$Z$5:$Z$448&amp;"")),0)))</f>
        <v/>
      </c>
    </row>
    <row r="119" spans="2:27" x14ac:dyDescent="0.25">
      <c r="B119" s="160" t="str">
        <f>IFERROR(INDEX($V$5:$V$448,MATCH(ROWS($B$5:B119),$W$5:$W$448,0)),"")</f>
        <v/>
      </c>
      <c r="C119" s="265" t="str">
        <f>IF($B119="","",COUNTIF(Jan[Resident Name],$B119))</f>
        <v/>
      </c>
      <c r="D119" s="265" t="str">
        <f>IF($B119="","",COUNTIF(Feb[Resident Name],$B119))</f>
        <v/>
      </c>
      <c r="E119" s="265" t="str">
        <f>IF($B119="","",COUNTIF(Mar[Resident Name],$B119))</f>
        <v/>
      </c>
      <c r="F119" s="265" t="str">
        <f>IF($B119="","",COUNTIF(Apr[Resident Name],$B119))</f>
        <v/>
      </c>
      <c r="G119" s="265" t="str">
        <f>IF($B119="","",COUNTIF(May[Resident Name],$B119))</f>
        <v/>
      </c>
      <c r="H119" s="265" t="str">
        <f>IF($B119="","",COUNTIF(June[Resident Name],$B119))</f>
        <v/>
      </c>
      <c r="I119" s="265" t="str">
        <f>IF($B119="","",COUNTIF(July[Resident Name],$B119))</f>
        <v/>
      </c>
      <c r="J119" s="265" t="str">
        <f>IF($B119="","",COUNTIF(Aug[Resident Name],$B119))</f>
        <v/>
      </c>
      <c r="K119" s="265" t="str">
        <f>IF($B119="","",COUNTIF(Sept[Resident Name],$B119))</f>
        <v/>
      </c>
      <c r="L119" s="265" t="str">
        <f>IF($B119="","",COUNTIF(Oct[Resident Name],$B119))</f>
        <v/>
      </c>
      <c r="M119" s="265" t="str">
        <f>IF($B119="","",COUNTIF(Nov[Resident Name],$B119))</f>
        <v/>
      </c>
      <c r="N119" s="265" t="str">
        <f>IF($B119="","",COUNTIF(Dec[Resident Name],$B119))</f>
        <v/>
      </c>
      <c r="O119" s="265" t="str">
        <f t="shared" si="3"/>
        <v/>
      </c>
      <c r="P119" s="11"/>
      <c r="R119" s="160" t="str">
        <f>IFERROR(INDEX($B$5:$B$172,MATCH(ROWS($R$5:R119),$X$5:$X$172,0)),"")</f>
        <v/>
      </c>
      <c r="S119" s="76" t="str">
        <f>IF($R119="","",INDEX($O$5:$O$172,MATCH(ROWS($R$5:R119),$X$5:$X$172,0)))</f>
        <v/>
      </c>
      <c r="U119" s="160" t="str">
        <f>IFERROR(INDEX($Z$5:$Z$448,MATCH(ROWS($U$5:U119),$AA$5:$AA$448,0)),"")</f>
        <v/>
      </c>
      <c r="V119" s="274" t="str">
        <f>IF(Apr!C7="","",Apr!C7)</f>
        <v/>
      </c>
      <c r="W119" s="274" t="str" cm="1">
        <f t="array" ref="W119">IF(V119="","",IF(COUNTIF($V$5:V119,V119)&gt;1,"",ROUND(1+SUMPRODUCT(($V$5:$V$448&lt;&gt;"")*($V$5:$V$448&lt;V119)/COUNTIF($V$5:$V$448,$V$5:$V$448&amp;"")),0)))</f>
        <v/>
      </c>
      <c r="X119" s="274" t="str">
        <f t="shared" si="4"/>
        <v/>
      </c>
      <c r="Z119" s="274" t="str">
        <f>IF(Apr!H7="Major Injury",Apr!C7,"")</f>
        <v/>
      </c>
      <c r="AA119" s="274" t="str" cm="1">
        <f t="array" ref="AA119">IF(Z119="","",IF(COUNTIF($Z$5:Z119,Z119)&gt;1,"",ROUND(1+SUMPRODUCT(($Z$5:$Z$448&lt;&gt;"")*($Z$5:$Z$448&lt;Z119)/COUNTIF($Z$5:$Z$448,$Z$5:$Z$448&amp;"")),0)))</f>
        <v/>
      </c>
    </row>
    <row r="120" spans="2:27" x14ac:dyDescent="0.25">
      <c r="B120" s="160" t="str">
        <f>IFERROR(INDEX($V$5:$V$448,MATCH(ROWS($B$5:B120),$W$5:$W$448,0)),"")</f>
        <v/>
      </c>
      <c r="C120" s="265" t="str">
        <f>IF($B120="","",COUNTIF(Jan[Resident Name],$B120))</f>
        <v/>
      </c>
      <c r="D120" s="265" t="str">
        <f>IF($B120="","",COUNTIF(Feb[Resident Name],$B120))</f>
        <v/>
      </c>
      <c r="E120" s="265" t="str">
        <f>IF($B120="","",COUNTIF(Mar[Resident Name],$B120))</f>
        <v/>
      </c>
      <c r="F120" s="265" t="str">
        <f>IF($B120="","",COUNTIF(Apr[Resident Name],$B120))</f>
        <v/>
      </c>
      <c r="G120" s="265" t="str">
        <f>IF($B120="","",COUNTIF(May[Resident Name],$B120))</f>
        <v/>
      </c>
      <c r="H120" s="265" t="str">
        <f>IF($B120="","",COUNTIF(June[Resident Name],$B120))</f>
        <v/>
      </c>
      <c r="I120" s="265" t="str">
        <f>IF($B120="","",COUNTIF(July[Resident Name],$B120))</f>
        <v/>
      </c>
      <c r="J120" s="265" t="str">
        <f>IF($B120="","",COUNTIF(Aug[Resident Name],$B120))</f>
        <v/>
      </c>
      <c r="K120" s="265" t="str">
        <f>IF($B120="","",COUNTIF(Sept[Resident Name],$B120))</f>
        <v/>
      </c>
      <c r="L120" s="265" t="str">
        <f>IF($B120="","",COUNTIF(Oct[Resident Name],$B120))</f>
        <v/>
      </c>
      <c r="M120" s="265" t="str">
        <f>IF($B120="","",COUNTIF(Nov[Resident Name],$B120))</f>
        <v/>
      </c>
      <c r="N120" s="265" t="str">
        <f>IF($B120="","",COUNTIF(Dec[Resident Name],$B120))</f>
        <v/>
      </c>
      <c r="O120" s="265" t="str">
        <f t="shared" si="3"/>
        <v/>
      </c>
      <c r="P120" s="11"/>
      <c r="R120" s="160" t="str">
        <f>IFERROR(INDEX($B$5:$B$172,MATCH(ROWS($R$5:R120),$X$5:$X$172,0)),"")</f>
        <v/>
      </c>
      <c r="S120" s="76" t="str">
        <f>IF($R120="","",INDEX($O$5:$O$172,MATCH(ROWS($R$5:R120),$X$5:$X$172,0)))</f>
        <v/>
      </c>
      <c r="U120" s="160" t="str">
        <f>IFERROR(INDEX($Z$5:$Z$448,MATCH(ROWS($U$5:U120),$AA$5:$AA$448,0)),"")</f>
        <v/>
      </c>
      <c r="V120" s="274" t="str">
        <f>IF(Apr!C8="","",Apr!C8)</f>
        <v/>
      </c>
      <c r="W120" s="274" t="str" cm="1">
        <f t="array" ref="W120">IF(V120="","",IF(COUNTIF($V$5:V120,V120)&gt;1,"",ROUND(1+SUMPRODUCT(($V$5:$V$448&lt;&gt;"")*($V$5:$V$448&lt;V120)/COUNTIF($V$5:$V$448,$V$5:$V$448&amp;"")),0)))</f>
        <v/>
      </c>
      <c r="X120" s="274" t="str">
        <f t="shared" si="4"/>
        <v/>
      </c>
      <c r="Z120" s="274" t="str">
        <f>IF(Apr!H8="Major Injury",Apr!C8,"")</f>
        <v/>
      </c>
      <c r="AA120" s="274" t="str" cm="1">
        <f t="array" ref="AA120">IF(Z120="","",IF(COUNTIF($Z$5:Z120,Z120)&gt;1,"",ROUND(1+SUMPRODUCT(($Z$5:$Z$448&lt;&gt;"")*($Z$5:$Z$448&lt;Z120)/COUNTIF($Z$5:$Z$448,$Z$5:$Z$448&amp;"")),0)))</f>
        <v/>
      </c>
    </row>
    <row r="121" spans="2:27" x14ac:dyDescent="0.25">
      <c r="B121" s="160" t="str">
        <f>IFERROR(INDEX($V$5:$V$448,MATCH(ROWS($B$5:B121),$W$5:$W$448,0)),"")</f>
        <v/>
      </c>
      <c r="C121" s="265" t="str">
        <f>IF($B121="","",COUNTIF(Jan[Resident Name],$B121))</f>
        <v/>
      </c>
      <c r="D121" s="265" t="str">
        <f>IF($B121="","",COUNTIF(Feb[Resident Name],$B121))</f>
        <v/>
      </c>
      <c r="E121" s="265" t="str">
        <f>IF($B121="","",COUNTIF(Mar[Resident Name],$B121))</f>
        <v/>
      </c>
      <c r="F121" s="265" t="str">
        <f>IF($B121="","",COUNTIF(Apr[Resident Name],$B121))</f>
        <v/>
      </c>
      <c r="G121" s="265" t="str">
        <f>IF($B121="","",COUNTIF(May[Resident Name],$B121))</f>
        <v/>
      </c>
      <c r="H121" s="265" t="str">
        <f>IF($B121="","",COUNTIF(June[Resident Name],$B121))</f>
        <v/>
      </c>
      <c r="I121" s="265" t="str">
        <f>IF($B121="","",COUNTIF(July[Resident Name],$B121))</f>
        <v/>
      </c>
      <c r="J121" s="265" t="str">
        <f>IF($B121="","",COUNTIF(Aug[Resident Name],$B121))</f>
        <v/>
      </c>
      <c r="K121" s="265" t="str">
        <f>IF($B121="","",COUNTIF(Sept[Resident Name],$B121))</f>
        <v/>
      </c>
      <c r="L121" s="265" t="str">
        <f>IF($B121="","",COUNTIF(Oct[Resident Name],$B121))</f>
        <v/>
      </c>
      <c r="M121" s="265" t="str">
        <f>IF($B121="","",COUNTIF(Nov[Resident Name],$B121))</f>
        <v/>
      </c>
      <c r="N121" s="265" t="str">
        <f>IF($B121="","",COUNTIF(Dec[Resident Name],$B121))</f>
        <v/>
      </c>
      <c r="O121" s="265" t="str">
        <f t="shared" si="3"/>
        <v/>
      </c>
      <c r="P121" s="11"/>
      <c r="R121" s="160" t="str">
        <f>IFERROR(INDEX($B$5:$B$172,MATCH(ROWS($R$5:R121),$X$5:$X$172,0)),"")</f>
        <v/>
      </c>
      <c r="S121" s="76" t="str">
        <f>IF($R121="","",INDEX($O$5:$O$172,MATCH(ROWS($R$5:R121),$X$5:$X$172,0)))</f>
        <v/>
      </c>
      <c r="U121" s="160" t="str">
        <f>IFERROR(INDEX($Z$5:$Z$448,MATCH(ROWS($U$5:U121),$AA$5:$AA$448,0)),"")</f>
        <v/>
      </c>
      <c r="V121" s="274" t="str">
        <f>IF(Apr!C9="","",Apr!C9)</f>
        <v/>
      </c>
      <c r="W121" s="274" t="str" cm="1">
        <f t="array" ref="W121">IF(V121="","",IF(COUNTIF($V$5:V121,V121)&gt;1,"",ROUND(1+SUMPRODUCT(($V$5:$V$448&lt;&gt;"")*($V$5:$V$448&lt;V121)/COUNTIF($V$5:$V$448,$V$5:$V$448&amp;"")),0)))</f>
        <v/>
      </c>
      <c r="X121" s="274" t="str">
        <f t="shared" si="4"/>
        <v/>
      </c>
      <c r="Z121" s="274" t="str">
        <f>IF(Apr!H9="Major Injury",Apr!C9,"")</f>
        <v/>
      </c>
      <c r="AA121" s="274" t="str" cm="1">
        <f t="array" ref="AA121">IF(Z121="","",IF(COUNTIF($Z$5:Z121,Z121)&gt;1,"",ROUND(1+SUMPRODUCT(($Z$5:$Z$448&lt;&gt;"")*($Z$5:$Z$448&lt;Z121)/COUNTIF($Z$5:$Z$448,$Z$5:$Z$448&amp;"")),0)))</f>
        <v/>
      </c>
    </row>
    <row r="122" spans="2:27" x14ac:dyDescent="0.25">
      <c r="B122" s="160" t="str">
        <f>IFERROR(INDEX($V$5:$V$448,MATCH(ROWS($B$5:B122),$W$5:$W$448,0)),"")</f>
        <v/>
      </c>
      <c r="C122" s="265" t="str">
        <f>IF($B122="","",COUNTIF(Jan[Resident Name],$B122))</f>
        <v/>
      </c>
      <c r="D122" s="265" t="str">
        <f>IF($B122="","",COUNTIF(Feb[Resident Name],$B122))</f>
        <v/>
      </c>
      <c r="E122" s="265" t="str">
        <f>IF($B122="","",COUNTIF(Mar[Resident Name],$B122))</f>
        <v/>
      </c>
      <c r="F122" s="265" t="str">
        <f>IF($B122="","",COUNTIF(Apr[Resident Name],$B122))</f>
        <v/>
      </c>
      <c r="G122" s="265" t="str">
        <f>IF($B122="","",COUNTIF(May[Resident Name],$B122))</f>
        <v/>
      </c>
      <c r="H122" s="265" t="str">
        <f>IF($B122="","",COUNTIF(June[Resident Name],$B122))</f>
        <v/>
      </c>
      <c r="I122" s="265" t="str">
        <f>IF($B122="","",COUNTIF(July[Resident Name],$B122))</f>
        <v/>
      </c>
      <c r="J122" s="265" t="str">
        <f>IF($B122="","",COUNTIF(Aug[Resident Name],$B122))</f>
        <v/>
      </c>
      <c r="K122" s="265" t="str">
        <f>IF($B122="","",COUNTIF(Sept[Resident Name],$B122))</f>
        <v/>
      </c>
      <c r="L122" s="265" t="str">
        <f>IF($B122="","",COUNTIF(Oct[Resident Name],$B122))</f>
        <v/>
      </c>
      <c r="M122" s="265" t="str">
        <f>IF($B122="","",COUNTIF(Nov[Resident Name],$B122))</f>
        <v/>
      </c>
      <c r="N122" s="265" t="str">
        <f>IF($B122="","",COUNTIF(Dec[Resident Name],$B122))</f>
        <v/>
      </c>
      <c r="O122" s="265" t="str">
        <f t="shared" si="3"/>
        <v/>
      </c>
      <c r="P122" s="11"/>
      <c r="R122" s="160" t="str">
        <f>IFERROR(INDEX($B$5:$B$172,MATCH(ROWS($R$5:R122),$X$5:$X$172,0)),"")</f>
        <v/>
      </c>
      <c r="S122" s="76" t="str">
        <f>IF($R122="","",INDEX($O$5:$O$172,MATCH(ROWS($R$5:R122),$X$5:$X$172,0)))</f>
        <v/>
      </c>
      <c r="U122" s="160" t="str">
        <f>IFERROR(INDEX($Z$5:$Z$448,MATCH(ROWS($U$5:U122),$AA$5:$AA$448,0)),"")</f>
        <v/>
      </c>
      <c r="V122" s="274" t="str">
        <f>IF(Apr!C10="","",Apr!C10)</f>
        <v/>
      </c>
      <c r="W122" s="274" t="str" cm="1">
        <f t="array" ref="W122">IF(V122="","",IF(COUNTIF($V$5:V122,V122)&gt;1,"",ROUND(1+SUMPRODUCT(($V$5:$V$448&lt;&gt;"")*($V$5:$V$448&lt;V122)/COUNTIF($V$5:$V$448,$V$5:$V$448&amp;"")),0)))</f>
        <v/>
      </c>
      <c r="X122" s="274" t="str">
        <f t="shared" si="4"/>
        <v/>
      </c>
      <c r="Z122" s="274" t="str">
        <f>IF(Apr!H10="Major Injury",Apr!C10,"")</f>
        <v/>
      </c>
      <c r="AA122" s="274" t="str" cm="1">
        <f t="array" ref="AA122">IF(Z122="","",IF(COUNTIF($Z$5:Z122,Z122)&gt;1,"",ROUND(1+SUMPRODUCT(($Z$5:$Z$448&lt;&gt;"")*($Z$5:$Z$448&lt;Z122)/COUNTIF($Z$5:$Z$448,$Z$5:$Z$448&amp;"")),0)))</f>
        <v/>
      </c>
    </row>
    <row r="123" spans="2:27" x14ac:dyDescent="0.25">
      <c r="B123" s="160" t="str">
        <f>IFERROR(INDEX($V$5:$V$448,MATCH(ROWS($B$5:B123),$W$5:$W$448,0)),"")</f>
        <v/>
      </c>
      <c r="C123" s="265" t="str">
        <f>IF($B123="","",COUNTIF(Jan[Resident Name],$B123))</f>
        <v/>
      </c>
      <c r="D123" s="265" t="str">
        <f>IF($B123="","",COUNTIF(Feb[Resident Name],$B123))</f>
        <v/>
      </c>
      <c r="E123" s="265" t="str">
        <f>IF($B123="","",COUNTIF(Mar[Resident Name],$B123))</f>
        <v/>
      </c>
      <c r="F123" s="265" t="str">
        <f>IF($B123="","",COUNTIF(Apr[Resident Name],$B123))</f>
        <v/>
      </c>
      <c r="G123" s="265" t="str">
        <f>IF($B123="","",COUNTIF(May[Resident Name],$B123))</f>
        <v/>
      </c>
      <c r="H123" s="265" t="str">
        <f>IF($B123="","",COUNTIF(June[Resident Name],$B123))</f>
        <v/>
      </c>
      <c r="I123" s="265" t="str">
        <f>IF($B123="","",COUNTIF(July[Resident Name],$B123))</f>
        <v/>
      </c>
      <c r="J123" s="265" t="str">
        <f>IF($B123="","",COUNTIF(Aug[Resident Name],$B123))</f>
        <v/>
      </c>
      <c r="K123" s="265" t="str">
        <f>IF($B123="","",COUNTIF(Sept[Resident Name],$B123))</f>
        <v/>
      </c>
      <c r="L123" s="265" t="str">
        <f>IF($B123="","",COUNTIF(Oct[Resident Name],$B123))</f>
        <v/>
      </c>
      <c r="M123" s="265" t="str">
        <f>IF($B123="","",COUNTIF(Nov[Resident Name],$B123))</f>
        <v/>
      </c>
      <c r="N123" s="265" t="str">
        <f>IF($B123="","",COUNTIF(Dec[Resident Name],$B123))</f>
        <v/>
      </c>
      <c r="O123" s="265" t="str">
        <f t="shared" si="3"/>
        <v/>
      </c>
      <c r="P123" s="11"/>
      <c r="R123" s="160" t="str">
        <f>IFERROR(INDEX($B$5:$B$172,MATCH(ROWS($R$5:R123),$X$5:$X$172,0)),"")</f>
        <v/>
      </c>
      <c r="S123" s="76" t="str">
        <f>IF($R123="","",INDEX($O$5:$O$172,MATCH(ROWS($R$5:R123),$X$5:$X$172,0)))</f>
        <v/>
      </c>
      <c r="U123" s="160" t="str">
        <f>IFERROR(INDEX($Z$5:$Z$448,MATCH(ROWS($U$5:U123),$AA$5:$AA$448,0)),"")</f>
        <v/>
      </c>
      <c r="V123" s="274" t="str">
        <f>IF(Apr!C11="","",Apr!C11)</f>
        <v/>
      </c>
      <c r="W123" s="274" t="str" cm="1">
        <f t="array" ref="W123">IF(V123="","",IF(COUNTIF($V$5:V123,V123)&gt;1,"",ROUND(1+SUMPRODUCT(($V$5:$V$448&lt;&gt;"")*($V$5:$V$448&lt;V123)/COUNTIF($V$5:$V$448,$V$5:$V$448&amp;"")),0)))</f>
        <v/>
      </c>
      <c r="X123" s="274" t="str">
        <f t="shared" si="4"/>
        <v/>
      </c>
      <c r="Z123" s="274" t="str">
        <f>IF(Apr!H11="Major Injury",Apr!C11,"")</f>
        <v/>
      </c>
      <c r="AA123" s="274" t="str" cm="1">
        <f t="array" ref="AA123">IF(Z123="","",IF(COUNTIF($Z$5:Z123,Z123)&gt;1,"",ROUND(1+SUMPRODUCT(($Z$5:$Z$448&lt;&gt;"")*($Z$5:$Z$448&lt;Z123)/COUNTIF($Z$5:$Z$448,$Z$5:$Z$448&amp;"")),0)))</f>
        <v/>
      </c>
    </row>
    <row r="124" spans="2:27" x14ac:dyDescent="0.25">
      <c r="B124" s="160" t="str">
        <f>IFERROR(INDEX($V$5:$V$448,MATCH(ROWS($B$5:B124),$W$5:$W$448,0)),"")</f>
        <v/>
      </c>
      <c r="C124" s="265" t="str">
        <f>IF($B124="","",COUNTIF(Jan[Resident Name],$B124))</f>
        <v/>
      </c>
      <c r="D124" s="265" t="str">
        <f>IF($B124="","",COUNTIF(Feb[Resident Name],$B124))</f>
        <v/>
      </c>
      <c r="E124" s="265" t="str">
        <f>IF($B124="","",COUNTIF(Mar[Resident Name],$B124))</f>
        <v/>
      </c>
      <c r="F124" s="265" t="str">
        <f>IF($B124="","",COUNTIF(Apr[Resident Name],$B124))</f>
        <v/>
      </c>
      <c r="G124" s="265" t="str">
        <f>IF($B124="","",COUNTIF(May[Resident Name],$B124))</f>
        <v/>
      </c>
      <c r="H124" s="265" t="str">
        <f>IF($B124="","",COUNTIF(June[Resident Name],$B124))</f>
        <v/>
      </c>
      <c r="I124" s="265" t="str">
        <f>IF($B124="","",COUNTIF(July[Resident Name],$B124))</f>
        <v/>
      </c>
      <c r="J124" s="265" t="str">
        <f>IF($B124="","",COUNTIF(Aug[Resident Name],$B124))</f>
        <v/>
      </c>
      <c r="K124" s="265" t="str">
        <f>IF($B124="","",COUNTIF(Sept[Resident Name],$B124))</f>
        <v/>
      </c>
      <c r="L124" s="265" t="str">
        <f>IF($B124="","",COUNTIF(Oct[Resident Name],$B124))</f>
        <v/>
      </c>
      <c r="M124" s="265" t="str">
        <f>IF($B124="","",COUNTIF(Nov[Resident Name],$B124))</f>
        <v/>
      </c>
      <c r="N124" s="265" t="str">
        <f>IF($B124="","",COUNTIF(Dec[Resident Name],$B124))</f>
        <v/>
      </c>
      <c r="O124" s="265" t="str">
        <f t="shared" si="3"/>
        <v/>
      </c>
      <c r="P124" s="11"/>
      <c r="R124" s="160" t="str">
        <f>IFERROR(INDEX($B$5:$B$172,MATCH(ROWS($R$5:R124),$X$5:$X$172,0)),"")</f>
        <v/>
      </c>
      <c r="S124" s="76" t="str">
        <f>IF($R124="","",INDEX($O$5:$O$172,MATCH(ROWS($R$5:R124),$X$5:$X$172,0)))</f>
        <v/>
      </c>
      <c r="U124" s="160" t="str">
        <f>IFERROR(INDEX($Z$5:$Z$448,MATCH(ROWS($U$5:U124),$AA$5:$AA$448,0)),"")</f>
        <v/>
      </c>
      <c r="V124" s="274" t="str">
        <f>IF(Apr!C12="","",Apr!C12)</f>
        <v/>
      </c>
      <c r="W124" s="274" t="str" cm="1">
        <f t="array" ref="W124">IF(V124="","",IF(COUNTIF($V$5:V124,V124)&gt;1,"",ROUND(1+SUMPRODUCT(($V$5:$V$448&lt;&gt;"")*($V$5:$V$448&lt;V124)/COUNTIF($V$5:$V$448,$V$5:$V$448&amp;"")),0)))</f>
        <v/>
      </c>
      <c r="X124" s="274" t="str">
        <f t="shared" si="4"/>
        <v/>
      </c>
      <c r="Z124" s="274" t="str">
        <f>IF(Apr!H12="Major Injury",Apr!C12,"")</f>
        <v/>
      </c>
      <c r="AA124" s="274" t="str" cm="1">
        <f t="array" ref="AA124">IF(Z124="","",IF(COUNTIF($Z$5:Z124,Z124)&gt;1,"",ROUND(1+SUMPRODUCT(($Z$5:$Z$448&lt;&gt;"")*($Z$5:$Z$448&lt;Z124)/COUNTIF($Z$5:$Z$448,$Z$5:$Z$448&amp;"")),0)))</f>
        <v/>
      </c>
    </row>
    <row r="125" spans="2:27" x14ac:dyDescent="0.25">
      <c r="B125" s="160" t="str">
        <f>IFERROR(INDEX($V$5:$V$448,MATCH(ROWS($B$5:B125),$W$5:$W$448,0)),"")</f>
        <v/>
      </c>
      <c r="C125" s="265" t="str">
        <f>IF($B125="","",COUNTIF(Jan[Resident Name],$B125))</f>
        <v/>
      </c>
      <c r="D125" s="265" t="str">
        <f>IF($B125="","",COUNTIF(Feb[Resident Name],$B125))</f>
        <v/>
      </c>
      <c r="E125" s="265" t="str">
        <f>IF($B125="","",COUNTIF(Mar[Resident Name],$B125))</f>
        <v/>
      </c>
      <c r="F125" s="265" t="str">
        <f>IF($B125="","",COUNTIF(Apr[Resident Name],$B125))</f>
        <v/>
      </c>
      <c r="G125" s="265" t="str">
        <f>IF($B125="","",COUNTIF(May[Resident Name],$B125))</f>
        <v/>
      </c>
      <c r="H125" s="265" t="str">
        <f>IF($B125="","",COUNTIF(June[Resident Name],$B125))</f>
        <v/>
      </c>
      <c r="I125" s="265" t="str">
        <f>IF($B125="","",COUNTIF(July[Resident Name],$B125))</f>
        <v/>
      </c>
      <c r="J125" s="265" t="str">
        <f>IF($B125="","",COUNTIF(Aug[Resident Name],$B125))</f>
        <v/>
      </c>
      <c r="K125" s="265" t="str">
        <f>IF($B125="","",COUNTIF(Sept[Resident Name],$B125))</f>
        <v/>
      </c>
      <c r="L125" s="265" t="str">
        <f>IF($B125="","",COUNTIF(Oct[Resident Name],$B125))</f>
        <v/>
      </c>
      <c r="M125" s="265" t="str">
        <f>IF($B125="","",COUNTIF(Nov[Resident Name],$B125))</f>
        <v/>
      </c>
      <c r="N125" s="265" t="str">
        <f>IF($B125="","",COUNTIF(Dec[Resident Name],$B125))</f>
        <v/>
      </c>
      <c r="O125" s="265" t="str">
        <f t="shared" si="3"/>
        <v/>
      </c>
      <c r="P125" s="11"/>
      <c r="R125" s="160" t="str">
        <f>IFERROR(INDEX($B$5:$B$172,MATCH(ROWS($R$5:R125),$X$5:$X$172,0)),"")</f>
        <v/>
      </c>
      <c r="S125" s="76" t="str">
        <f>IF($R125="","",INDEX($O$5:$O$172,MATCH(ROWS($R$5:R125),$X$5:$X$172,0)))</f>
        <v/>
      </c>
      <c r="U125" s="160" t="str">
        <f>IFERROR(INDEX($Z$5:$Z$448,MATCH(ROWS($U$5:U125),$AA$5:$AA$448,0)),"")</f>
        <v/>
      </c>
      <c r="V125" s="274" t="str">
        <f>IF(Apr!C13="","",Apr!C13)</f>
        <v/>
      </c>
      <c r="W125" s="274" t="str" cm="1">
        <f t="array" ref="W125">IF(V125="","",IF(COUNTIF($V$5:V125,V125)&gt;1,"",ROUND(1+SUMPRODUCT(($V$5:$V$448&lt;&gt;"")*($V$5:$V$448&lt;V125)/COUNTIF($V$5:$V$448,$V$5:$V$448&amp;"")),0)))</f>
        <v/>
      </c>
      <c r="X125" s="274" t="str">
        <f t="shared" si="4"/>
        <v/>
      </c>
      <c r="Z125" s="274" t="str">
        <f>IF(Apr!H13="Major Injury",Apr!C13,"")</f>
        <v/>
      </c>
      <c r="AA125" s="274" t="str" cm="1">
        <f t="array" ref="AA125">IF(Z125="","",IF(COUNTIF($Z$5:Z125,Z125)&gt;1,"",ROUND(1+SUMPRODUCT(($Z$5:$Z$448&lt;&gt;"")*($Z$5:$Z$448&lt;Z125)/COUNTIF($Z$5:$Z$448,$Z$5:$Z$448&amp;"")),0)))</f>
        <v/>
      </c>
    </row>
    <row r="126" spans="2:27" x14ac:dyDescent="0.25">
      <c r="B126" s="160" t="str">
        <f>IFERROR(INDEX($V$5:$V$448,MATCH(ROWS($B$5:B126),$W$5:$W$448,0)),"")</f>
        <v/>
      </c>
      <c r="C126" s="265" t="str">
        <f>IF($B126="","",COUNTIF(Jan[Resident Name],$B126))</f>
        <v/>
      </c>
      <c r="D126" s="265" t="str">
        <f>IF($B126="","",COUNTIF(Feb[Resident Name],$B126))</f>
        <v/>
      </c>
      <c r="E126" s="265" t="str">
        <f>IF($B126="","",COUNTIF(Mar[Resident Name],$B126))</f>
        <v/>
      </c>
      <c r="F126" s="265" t="str">
        <f>IF($B126="","",COUNTIF(Apr[Resident Name],$B126))</f>
        <v/>
      </c>
      <c r="G126" s="265" t="str">
        <f>IF($B126="","",COUNTIF(May[Resident Name],$B126))</f>
        <v/>
      </c>
      <c r="H126" s="265" t="str">
        <f>IF($B126="","",COUNTIF(June[Resident Name],$B126))</f>
        <v/>
      </c>
      <c r="I126" s="265" t="str">
        <f>IF($B126="","",COUNTIF(July[Resident Name],$B126))</f>
        <v/>
      </c>
      <c r="J126" s="265" t="str">
        <f>IF($B126="","",COUNTIF(Aug[Resident Name],$B126))</f>
        <v/>
      </c>
      <c r="K126" s="265" t="str">
        <f>IF($B126="","",COUNTIF(Sept[Resident Name],$B126))</f>
        <v/>
      </c>
      <c r="L126" s="265" t="str">
        <f>IF($B126="","",COUNTIF(Oct[Resident Name],$B126))</f>
        <v/>
      </c>
      <c r="M126" s="265" t="str">
        <f>IF($B126="","",COUNTIF(Nov[Resident Name],$B126))</f>
        <v/>
      </c>
      <c r="N126" s="265" t="str">
        <f>IF($B126="","",COUNTIF(Dec[Resident Name],$B126))</f>
        <v/>
      </c>
      <c r="O126" s="265" t="str">
        <f t="shared" si="3"/>
        <v/>
      </c>
      <c r="P126" s="11"/>
      <c r="R126" s="160" t="str">
        <f>IFERROR(INDEX($B$5:$B$172,MATCH(ROWS($R$5:R126),$X$5:$X$172,0)),"")</f>
        <v/>
      </c>
      <c r="S126" s="76" t="str">
        <f>IF($R126="","",INDEX($O$5:$O$172,MATCH(ROWS($R$5:R126),$X$5:$X$172,0)))</f>
        <v/>
      </c>
      <c r="U126" s="160" t="str">
        <f>IFERROR(INDEX($Z$5:$Z$448,MATCH(ROWS($U$5:U126),$AA$5:$AA$448,0)),"")</f>
        <v/>
      </c>
      <c r="V126" s="274" t="str">
        <f>IF(Apr!C14="","",Apr!C14)</f>
        <v/>
      </c>
      <c r="W126" s="274" t="str" cm="1">
        <f t="array" ref="W126">IF(V126="","",IF(COUNTIF($V$5:V126,V126)&gt;1,"",ROUND(1+SUMPRODUCT(($V$5:$V$448&lt;&gt;"")*($V$5:$V$448&lt;V126)/COUNTIF($V$5:$V$448,$V$5:$V$448&amp;"")),0)))</f>
        <v/>
      </c>
      <c r="X126" s="274" t="str">
        <f t="shared" si="4"/>
        <v/>
      </c>
      <c r="Z126" s="274" t="str">
        <f>IF(Apr!H14="Major Injury",Apr!C14,"")</f>
        <v/>
      </c>
      <c r="AA126" s="274" t="str" cm="1">
        <f t="array" ref="AA126">IF(Z126="","",IF(COUNTIF($Z$5:Z126,Z126)&gt;1,"",ROUND(1+SUMPRODUCT(($Z$5:$Z$448&lt;&gt;"")*($Z$5:$Z$448&lt;Z126)/COUNTIF($Z$5:$Z$448,$Z$5:$Z$448&amp;"")),0)))</f>
        <v/>
      </c>
    </row>
    <row r="127" spans="2:27" x14ac:dyDescent="0.25">
      <c r="B127" s="160" t="str">
        <f>IFERROR(INDEX($V$5:$V$448,MATCH(ROWS($B$5:B127),$W$5:$W$448,0)),"")</f>
        <v/>
      </c>
      <c r="C127" s="265" t="str">
        <f>IF($B127="","",COUNTIF(Jan[Resident Name],$B127))</f>
        <v/>
      </c>
      <c r="D127" s="265" t="str">
        <f>IF($B127="","",COUNTIF(Feb[Resident Name],$B127))</f>
        <v/>
      </c>
      <c r="E127" s="265" t="str">
        <f>IF($B127="","",COUNTIF(Mar[Resident Name],$B127))</f>
        <v/>
      </c>
      <c r="F127" s="265" t="str">
        <f>IF($B127="","",COUNTIF(Apr[Resident Name],$B127))</f>
        <v/>
      </c>
      <c r="G127" s="265" t="str">
        <f>IF($B127="","",COUNTIF(May[Resident Name],$B127))</f>
        <v/>
      </c>
      <c r="H127" s="265" t="str">
        <f>IF($B127="","",COUNTIF(June[Resident Name],$B127))</f>
        <v/>
      </c>
      <c r="I127" s="265" t="str">
        <f>IF($B127="","",COUNTIF(July[Resident Name],$B127))</f>
        <v/>
      </c>
      <c r="J127" s="265" t="str">
        <f>IF($B127="","",COUNTIF(Aug[Resident Name],$B127))</f>
        <v/>
      </c>
      <c r="K127" s="265" t="str">
        <f>IF($B127="","",COUNTIF(Sept[Resident Name],$B127))</f>
        <v/>
      </c>
      <c r="L127" s="265" t="str">
        <f>IF($B127="","",COUNTIF(Oct[Resident Name],$B127))</f>
        <v/>
      </c>
      <c r="M127" s="265" t="str">
        <f>IF($B127="","",COUNTIF(Nov[Resident Name],$B127))</f>
        <v/>
      </c>
      <c r="N127" s="265" t="str">
        <f>IF($B127="","",COUNTIF(Dec[Resident Name],$B127))</f>
        <v/>
      </c>
      <c r="O127" s="265" t="str">
        <f t="shared" si="3"/>
        <v/>
      </c>
      <c r="P127" s="11"/>
      <c r="R127" s="160" t="str">
        <f>IFERROR(INDEX($B$5:$B$172,MATCH(ROWS($R$5:R127),$X$5:$X$172,0)),"")</f>
        <v/>
      </c>
      <c r="S127" s="76" t="str">
        <f>IF($R127="","",INDEX($O$5:$O$172,MATCH(ROWS($R$5:R127),$X$5:$X$172,0)))</f>
        <v/>
      </c>
      <c r="U127" s="160" t="str">
        <f>IFERROR(INDEX($Z$5:$Z$448,MATCH(ROWS($U$5:U127),$AA$5:$AA$448,0)),"")</f>
        <v/>
      </c>
      <c r="V127" s="274" t="str">
        <f>IF(Apr!C15="","",Apr!C15)</f>
        <v/>
      </c>
      <c r="W127" s="274" t="str" cm="1">
        <f t="array" ref="W127">IF(V127="","",IF(COUNTIF($V$5:V127,V127)&gt;1,"",ROUND(1+SUMPRODUCT(($V$5:$V$448&lt;&gt;"")*($V$5:$V$448&lt;V127)/COUNTIF($V$5:$V$448,$V$5:$V$448&amp;"")),0)))</f>
        <v/>
      </c>
      <c r="X127" s="274" t="str">
        <f t="shared" si="4"/>
        <v/>
      </c>
      <c r="Z127" s="274" t="str">
        <f>IF(Apr!H15="Major Injury",Apr!C15,"")</f>
        <v/>
      </c>
      <c r="AA127" s="274" t="str" cm="1">
        <f t="array" ref="AA127">IF(Z127="","",IF(COUNTIF($Z$5:Z127,Z127)&gt;1,"",ROUND(1+SUMPRODUCT(($Z$5:$Z$448&lt;&gt;"")*($Z$5:$Z$448&lt;Z127)/COUNTIF($Z$5:$Z$448,$Z$5:$Z$448&amp;"")),0)))</f>
        <v/>
      </c>
    </row>
    <row r="128" spans="2:27" x14ac:dyDescent="0.25">
      <c r="B128" s="160" t="str">
        <f>IFERROR(INDEX($V$5:$V$448,MATCH(ROWS($B$5:B128),$W$5:$W$448,0)),"")</f>
        <v/>
      </c>
      <c r="C128" s="265" t="str">
        <f>IF($B128="","",COUNTIF(Jan[Resident Name],$B128))</f>
        <v/>
      </c>
      <c r="D128" s="265" t="str">
        <f>IF($B128="","",COUNTIF(Feb[Resident Name],$B128))</f>
        <v/>
      </c>
      <c r="E128" s="265" t="str">
        <f>IF($B128="","",COUNTIF(Mar[Resident Name],$B128))</f>
        <v/>
      </c>
      <c r="F128" s="265" t="str">
        <f>IF($B128="","",COUNTIF(Apr[Resident Name],$B128))</f>
        <v/>
      </c>
      <c r="G128" s="265" t="str">
        <f>IF($B128="","",COUNTIF(May[Resident Name],$B128))</f>
        <v/>
      </c>
      <c r="H128" s="265" t="str">
        <f>IF($B128="","",COUNTIF(June[Resident Name],$B128))</f>
        <v/>
      </c>
      <c r="I128" s="265" t="str">
        <f>IF($B128="","",COUNTIF(July[Resident Name],$B128))</f>
        <v/>
      </c>
      <c r="J128" s="265" t="str">
        <f>IF($B128="","",COUNTIF(Aug[Resident Name],$B128))</f>
        <v/>
      </c>
      <c r="K128" s="265" t="str">
        <f>IF($B128="","",COUNTIF(Sept[Resident Name],$B128))</f>
        <v/>
      </c>
      <c r="L128" s="265" t="str">
        <f>IF($B128="","",COUNTIF(Oct[Resident Name],$B128))</f>
        <v/>
      </c>
      <c r="M128" s="265" t="str">
        <f>IF($B128="","",COUNTIF(Nov[Resident Name],$B128))</f>
        <v/>
      </c>
      <c r="N128" s="265" t="str">
        <f>IF($B128="","",COUNTIF(Dec[Resident Name],$B128))</f>
        <v/>
      </c>
      <c r="O128" s="265" t="str">
        <f t="shared" si="3"/>
        <v/>
      </c>
      <c r="P128" s="11"/>
      <c r="R128" s="160" t="str">
        <f>IFERROR(INDEX($B$5:$B$172,MATCH(ROWS($R$5:R128),$X$5:$X$172,0)),"")</f>
        <v/>
      </c>
      <c r="S128" s="76" t="str">
        <f>IF($R128="","",INDEX($O$5:$O$172,MATCH(ROWS($R$5:R128),$X$5:$X$172,0)))</f>
        <v/>
      </c>
      <c r="U128" s="160" t="str">
        <f>IFERROR(INDEX($Z$5:$Z$448,MATCH(ROWS($U$5:U128),$AA$5:$AA$448,0)),"")</f>
        <v/>
      </c>
      <c r="V128" s="274" t="str">
        <f>IF(Apr!C16="","",Apr!C16)</f>
        <v/>
      </c>
      <c r="W128" s="274" t="str" cm="1">
        <f t="array" ref="W128">IF(V128="","",IF(COUNTIF($V$5:V128,V128)&gt;1,"",ROUND(1+SUMPRODUCT(($V$5:$V$448&lt;&gt;"")*($V$5:$V$448&lt;V128)/COUNTIF($V$5:$V$448,$V$5:$V$448&amp;"")),0)))</f>
        <v/>
      </c>
      <c r="X128" s="274" t="str">
        <f t="shared" si="4"/>
        <v/>
      </c>
      <c r="Z128" s="274" t="str">
        <f>IF(Apr!H16="Major Injury",Apr!C16,"")</f>
        <v/>
      </c>
      <c r="AA128" s="274" t="str" cm="1">
        <f t="array" ref="AA128">IF(Z128="","",IF(COUNTIF($Z$5:Z128,Z128)&gt;1,"",ROUND(1+SUMPRODUCT(($Z$5:$Z$448&lt;&gt;"")*($Z$5:$Z$448&lt;Z128)/COUNTIF($Z$5:$Z$448,$Z$5:$Z$448&amp;"")),0)))</f>
        <v/>
      </c>
    </row>
    <row r="129" spans="2:27" x14ac:dyDescent="0.25">
      <c r="B129" s="160" t="str">
        <f>IFERROR(INDEX($V$5:$V$448,MATCH(ROWS($B$5:B129),$W$5:$W$448,0)),"")</f>
        <v/>
      </c>
      <c r="C129" s="265" t="str">
        <f>IF($B129="","",COUNTIF(Jan[Resident Name],$B129))</f>
        <v/>
      </c>
      <c r="D129" s="265" t="str">
        <f>IF($B129="","",COUNTIF(Feb[Resident Name],$B129))</f>
        <v/>
      </c>
      <c r="E129" s="265" t="str">
        <f>IF($B129="","",COUNTIF(Mar[Resident Name],$B129))</f>
        <v/>
      </c>
      <c r="F129" s="265" t="str">
        <f>IF($B129="","",COUNTIF(Apr[Resident Name],$B129))</f>
        <v/>
      </c>
      <c r="G129" s="265" t="str">
        <f>IF($B129="","",COUNTIF(May[Resident Name],$B129))</f>
        <v/>
      </c>
      <c r="H129" s="265" t="str">
        <f>IF($B129="","",COUNTIF(June[Resident Name],$B129))</f>
        <v/>
      </c>
      <c r="I129" s="265" t="str">
        <f>IF($B129="","",COUNTIF(July[Resident Name],$B129))</f>
        <v/>
      </c>
      <c r="J129" s="265" t="str">
        <f>IF($B129="","",COUNTIF(Aug[Resident Name],$B129))</f>
        <v/>
      </c>
      <c r="K129" s="265" t="str">
        <f>IF($B129="","",COUNTIF(Sept[Resident Name],$B129))</f>
        <v/>
      </c>
      <c r="L129" s="265" t="str">
        <f>IF($B129="","",COUNTIF(Oct[Resident Name],$B129))</f>
        <v/>
      </c>
      <c r="M129" s="265" t="str">
        <f>IF($B129="","",COUNTIF(Nov[Resident Name],$B129))</f>
        <v/>
      </c>
      <c r="N129" s="265" t="str">
        <f>IF($B129="","",COUNTIF(Dec[Resident Name],$B129))</f>
        <v/>
      </c>
      <c r="O129" s="265" t="str">
        <f t="shared" si="3"/>
        <v/>
      </c>
      <c r="P129" s="11"/>
      <c r="R129" s="160" t="str">
        <f>IFERROR(INDEX($B$5:$B$172,MATCH(ROWS($R$5:R129),$X$5:$X$172,0)),"")</f>
        <v/>
      </c>
      <c r="S129" s="76" t="str">
        <f>IF($R129="","",INDEX($O$5:$O$172,MATCH(ROWS($R$5:R129),$X$5:$X$172,0)))</f>
        <v/>
      </c>
      <c r="U129" s="160" t="str">
        <f>IFERROR(INDEX($Z$5:$Z$448,MATCH(ROWS($U$5:U129),$AA$5:$AA$448,0)),"")</f>
        <v/>
      </c>
      <c r="V129" s="274" t="str">
        <f>IF(Apr!C17="","",Apr!C17)</f>
        <v/>
      </c>
      <c r="W129" s="274" t="str" cm="1">
        <f t="array" ref="W129">IF(V129="","",IF(COUNTIF($V$5:V129,V129)&gt;1,"",ROUND(1+SUMPRODUCT(($V$5:$V$448&lt;&gt;"")*($V$5:$V$448&lt;V129)/COUNTIF($V$5:$V$448,$V$5:$V$448&amp;"")),0)))</f>
        <v/>
      </c>
      <c r="X129" s="274" t="str">
        <f t="shared" si="4"/>
        <v/>
      </c>
      <c r="Z129" s="274" t="str">
        <f>IF(Apr!H17="Major Injury",Apr!C17,"")</f>
        <v/>
      </c>
      <c r="AA129" s="274" t="str" cm="1">
        <f t="array" ref="AA129">IF(Z129="","",IF(COUNTIF($Z$5:Z129,Z129)&gt;1,"",ROUND(1+SUMPRODUCT(($Z$5:$Z$448&lt;&gt;"")*($Z$5:$Z$448&lt;Z129)/COUNTIF($Z$5:$Z$448,$Z$5:$Z$448&amp;"")),0)))</f>
        <v/>
      </c>
    </row>
    <row r="130" spans="2:27" x14ac:dyDescent="0.25">
      <c r="B130" s="160" t="str">
        <f>IFERROR(INDEX($V$5:$V$448,MATCH(ROWS($B$5:B130),$W$5:$W$448,0)),"")</f>
        <v/>
      </c>
      <c r="C130" s="265" t="str">
        <f>IF($B130="","",COUNTIF(Jan[Resident Name],$B130))</f>
        <v/>
      </c>
      <c r="D130" s="265" t="str">
        <f>IF($B130="","",COUNTIF(Feb[Resident Name],$B130))</f>
        <v/>
      </c>
      <c r="E130" s="265" t="str">
        <f>IF($B130="","",COUNTIF(Mar[Resident Name],$B130))</f>
        <v/>
      </c>
      <c r="F130" s="265" t="str">
        <f>IF($B130="","",COUNTIF(Apr[Resident Name],$B130))</f>
        <v/>
      </c>
      <c r="G130" s="265" t="str">
        <f>IF($B130="","",COUNTIF(May[Resident Name],$B130))</f>
        <v/>
      </c>
      <c r="H130" s="265" t="str">
        <f>IF($B130="","",COUNTIF(June[Resident Name],$B130))</f>
        <v/>
      </c>
      <c r="I130" s="265" t="str">
        <f>IF($B130="","",COUNTIF(July[Resident Name],$B130))</f>
        <v/>
      </c>
      <c r="J130" s="265" t="str">
        <f>IF($B130="","",COUNTIF(Aug[Resident Name],$B130))</f>
        <v/>
      </c>
      <c r="K130" s="265" t="str">
        <f>IF($B130="","",COUNTIF(Sept[Resident Name],$B130))</f>
        <v/>
      </c>
      <c r="L130" s="265" t="str">
        <f>IF($B130="","",COUNTIF(Oct[Resident Name],$B130))</f>
        <v/>
      </c>
      <c r="M130" s="265" t="str">
        <f>IF($B130="","",COUNTIF(Nov[Resident Name],$B130))</f>
        <v/>
      </c>
      <c r="N130" s="265" t="str">
        <f>IF($B130="","",COUNTIF(Dec[Resident Name],$B130))</f>
        <v/>
      </c>
      <c r="O130" s="265" t="str">
        <f t="shared" si="3"/>
        <v/>
      </c>
      <c r="P130" s="11"/>
      <c r="R130" s="160" t="str">
        <f>IFERROR(INDEX($B$5:$B$172,MATCH(ROWS($R$5:R130),$X$5:$X$172,0)),"")</f>
        <v/>
      </c>
      <c r="S130" s="76" t="str">
        <f>IF($R130="","",INDEX($O$5:$O$172,MATCH(ROWS($R$5:R130),$X$5:$X$172,0)))</f>
        <v/>
      </c>
      <c r="U130" s="160" t="str">
        <f>IFERROR(INDEX($Z$5:$Z$448,MATCH(ROWS($U$5:U130),$AA$5:$AA$448,0)),"")</f>
        <v/>
      </c>
      <c r="V130" s="274" t="str">
        <f>IF(Apr!C18="","",Apr!C18)</f>
        <v/>
      </c>
      <c r="W130" s="274" t="str" cm="1">
        <f t="array" ref="W130">IF(V130="","",IF(COUNTIF($V$5:V130,V130)&gt;1,"",ROUND(1+SUMPRODUCT(($V$5:$V$448&lt;&gt;"")*($V$5:$V$448&lt;V130)/COUNTIF($V$5:$V$448,$V$5:$V$448&amp;"")),0)))</f>
        <v/>
      </c>
      <c r="X130" s="274" t="str">
        <f t="shared" si="4"/>
        <v/>
      </c>
      <c r="Z130" s="274" t="str">
        <f>IF(Apr!H18="Major Injury",Apr!C18,"")</f>
        <v/>
      </c>
      <c r="AA130" s="274" t="str" cm="1">
        <f t="array" ref="AA130">IF(Z130="","",IF(COUNTIF($Z$5:Z130,Z130)&gt;1,"",ROUND(1+SUMPRODUCT(($Z$5:$Z$448&lt;&gt;"")*($Z$5:$Z$448&lt;Z130)/COUNTIF($Z$5:$Z$448,$Z$5:$Z$448&amp;"")),0)))</f>
        <v/>
      </c>
    </row>
    <row r="131" spans="2:27" x14ac:dyDescent="0.25">
      <c r="B131" s="160" t="str">
        <f>IFERROR(INDEX($V$5:$V$448,MATCH(ROWS($B$5:B131),$W$5:$W$448,0)),"")</f>
        <v/>
      </c>
      <c r="C131" s="265" t="str">
        <f>IF($B131="","",COUNTIF(Jan[Resident Name],$B131))</f>
        <v/>
      </c>
      <c r="D131" s="265" t="str">
        <f>IF($B131="","",COUNTIF(Feb[Resident Name],$B131))</f>
        <v/>
      </c>
      <c r="E131" s="265" t="str">
        <f>IF($B131="","",COUNTIF(Mar[Resident Name],$B131))</f>
        <v/>
      </c>
      <c r="F131" s="265" t="str">
        <f>IF($B131="","",COUNTIF(Apr[Resident Name],$B131))</f>
        <v/>
      </c>
      <c r="G131" s="265" t="str">
        <f>IF($B131="","",COUNTIF(May[Resident Name],$B131))</f>
        <v/>
      </c>
      <c r="H131" s="265" t="str">
        <f>IF($B131="","",COUNTIF(June[Resident Name],$B131))</f>
        <v/>
      </c>
      <c r="I131" s="265" t="str">
        <f>IF($B131="","",COUNTIF(July[Resident Name],$B131))</f>
        <v/>
      </c>
      <c r="J131" s="265" t="str">
        <f>IF($B131="","",COUNTIF(Aug[Resident Name],$B131))</f>
        <v/>
      </c>
      <c r="K131" s="265" t="str">
        <f>IF($B131="","",COUNTIF(Sept[Resident Name],$B131))</f>
        <v/>
      </c>
      <c r="L131" s="265" t="str">
        <f>IF($B131="","",COUNTIF(Oct[Resident Name],$B131))</f>
        <v/>
      </c>
      <c r="M131" s="265" t="str">
        <f>IF($B131="","",COUNTIF(Nov[Resident Name],$B131))</f>
        <v/>
      </c>
      <c r="N131" s="265" t="str">
        <f>IF($B131="","",COUNTIF(Dec[Resident Name],$B131))</f>
        <v/>
      </c>
      <c r="O131" s="265" t="str">
        <f t="shared" si="3"/>
        <v/>
      </c>
      <c r="P131" s="11"/>
      <c r="R131" s="160" t="str">
        <f>IFERROR(INDEX($B$5:$B$172,MATCH(ROWS($R$5:R131),$X$5:$X$172,0)),"")</f>
        <v/>
      </c>
      <c r="S131" s="76" t="str">
        <f>IF($R131="","",INDEX($O$5:$O$172,MATCH(ROWS($R$5:R131),$X$5:$X$172,0)))</f>
        <v/>
      </c>
      <c r="U131" s="160" t="str">
        <f>IFERROR(INDEX($Z$5:$Z$448,MATCH(ROWS($U$5:U131),$AA$5:$AA$448,0)),"")</f>
        <v/>
      </c>
      <c r="V131" s="274" t="str">
        <f>IF(Apr!C19="","",Apr!C19)</f>
        <v/>
      </c>
      <c r="W131" s="274" t="str" cm="1">
        <f t="array" ref="W131">IF(V131="","",IF(COUNTIF($V$5:V131,V131)&gt;1,"",ROUND(1+SUMPRODUCT(($V$5:$V$448&lt;&gt;"")*($V$5:$V$448&lt;V131)/COUNTIF($V$5:$V$448,$V$5:$V$448&amp;"")),0)))</f>
        <v/>
      </c>
      <c r="X131" s="274" t="str">
        <f t="shared" si="4"/>
        <v/>
      </c>
      <c r="Z131" s="274" t="str">
        <f>IF(Apr!H19="Major Injury",Apr!C19,"")</f>
        <v/>
      </c>
      <c r="AA131" s="274" t="str" cm="1">
        <f t="array" ref="AA131">IF(Z131="","",IF(COUNTIF($Z$5:Z131,Z131)&gt;1,"",ROUND(1+SUMPRODUCT(($Z$5:$Z$448&lt;&gt;"")*($Z$5:$Z$448&lt;Z131)/COUNTIF($Z$5:$Z$448,$Z$5:$Z$448&amp;"")),0)))</f>
        <v/>
      </c>
    </row>
    <row r="132" spans="2:27" x14ac:dyDescent="0.25">
      <c r="B132" s="160" t="str">
        <f>IFERROR(INDEX($V$5:$V$448,MATCH(ROWS($B$5:B132),$W$5:$W$448,0)),"")</f>
        <v/>
      </c>
      <c r="C132" s="265" t="str">
        <f>IF($B132="","",COUNTIF(Jan[Resident Name],$B132))</f>
        <v/>
      </c>
      <c r="D132" s="265" t="str">
        <f>IF($B132="","",COUNTIF(Feb[Resident Name],$B132))</f>
        <v/>
      </c>
      <c r="E132" s="265" t="str">
        <f>IF($B132="","",COUNTIF(Mar[Resident Name],$B132))</f>
        <v/>
      </c>
      <c r="F132" s="265" t="str">
        <f>IF($B132="","",COUNTIF(Apr[Resident Name],$B132))</f>
        <v/>
      </c>
      <c r="G132" s="265" t="str">
        <f>IF($B132="","",COUNTIF(May[Resident Name],$B132))</f>
        <v/>
      </c>
      <c r="H132" s="265" t="str">
        <f>IF($B132="","",COUNTIF(June[Resident Name],$B132))</f>
        <v/>
      </c>
      <c r="I132" s="265" t="str">
        <f>IF($B132="","",COUNTIF(July[Resident Name],$B132))</f>
        <v/>
      </c>
      <c r="J132" s="265" t="str">
        <f>IF($B132="","",COUNTIF(Aug[Resident Name],$B132))</f>
        <v/>
      </c>
      <c r="K132" s="265" t="str">
        <f>IF($B132="","",COUNTIF(Sept[Resident Name],$B132))</f>
        <v/>
      </c>
      <c r="L132" s="265" t="str">
        <f>IF($B132="","",COUNTIF(Oct[Resident Name],$B132))</f>
        <v/>
      </c>
      <c r="M132" s="265" t="str">
        <f>IF($B132="","",COUNTIF(Nov[Resident Name],$B132))</f>
        <v/>
      </c>
      <c r="N132" s="265" t="str">
        <f>IF($B132="","",COUNTIF(Dec[Resident Name],$B132))</f>
        <v/>
      </c>
      <c r="O132" s="265" t="str">
        <f t="shared" si="3"/>
        <v/>
      </c>
      <c r="P132" s="11"/>
      <c r="R132" s="160" t="str">
        <f>IFERROR(INDEX($B$5:$B$172,MATCH(ROWS($R$5:R132),$X$5:$X$172,0)),"")</f>
        <v/>
      </c>
      <c r="S132" s="76" t="str">
        <f>IF($R132="","",INDEX($O$5:$O$172,MATCH(ROWS($R$5:R132),$X$5:$X$172,0)))</f>
        <v/>
      </c>
      <c r="U132" s="160" t="str">
        <f>IFERROR(INDEX($Z$5:$Z$448,MATCH(ROWS($U$5:U132),$AA$5:$AA$448,0)),"")</f>
        <v/>
      </c>
      <c r="V132" s="274" t="str">
        <f>IF(Apr!C20="","",Apr!C20)</f>
        <v/>
      </c>
      <c r="W132" s="274" t="str" cm="1">
        <f t="array" ref="W132">IF(V132="","",IF(COUNTIF($V$5:V132,V132)&gt;1,"",ROUND(1+SUMPRODUCT(($V$5:$V$448&lt;&gt;"")*($V$5:$V$448&lt;V132)/COUNTIF($V$5:$V$448,$V$5:$V$448&amp;"")),0)))</f>
        <v/>
      </c>
      <c r="X132" s="274" t="str">
        <f t="shared" si="4"/>
        <v/>
      </c>
      <c r="Z132" s="274" t="str">
        <f>IF(Apr!H20="Major Injury",Apr!C20,"")</f>
        <v/>
      </c>
      <c r="AA132" s="274" t="str" cm="1">
        <f t="array" ref="AA132">IF(Z132="","",IF(COUNTIF($Z$5:Z132,Z132)&gt;1,"",ROUND(1+SUMPRODUCT(($Z$5:$Z$448&lt;&gt;"")*($Z$5:$Z$448&lt;Z132)/COUNTIF($Z$5:$Z$448,$Z$5:$Z$448&amp;"")),0)))</f>
        <v/>
      </c>
    </row>
    <row r="133" spans="2:27" x14ac:dyDescent="0.25">
      <c r="B133" s="160" t="str">
        <f>IFERROR(INDEX($V$5:$V$448,MATCH(ROWS($B$5:B133),$W$5:$W$448,0)),"")</f>
        <v/>
      </c>
      <c r="C133" s="265" t="str">
        <f>IF($B133="","",COUNTIF(Jan[Resident Name],$B133))</f>
        <v/>
      </c>
      <c r="D133" s="265" t="str">
        <f>IF($B133="","",COUNTIF(Feb[Resident Name],$B133))</f>
        <v/>
      </c>
      <c r="E133" s="265" t="str">
        <f>IF($B133="","",COUNTIF(Mar[Resident Name],$B133))</f>
        <v/>
      </c>
      <c r="F133" s="265" t="str">
        <f>IF($B133="","",COUNTIF(Apr[Resident Name],$B133))</f>
        <v/>
      </c>
      <c r="G133" s="265" t="str">
        <f>IF($B133="","",COUNTIF(May[Resident Name],$B133))</f>
        <v/>
      </c>
      <c r="H133" s="265" t="str">
        <f>IF($B133="","",COUNTIF(June[Resident Name],$B133))</f>
        <v/>
      </c>
      <c r="I133" s="265" t="str">
        <f>IF($B133="","",COUNTIF(July[Resident Name],$B133))</f>
        <v/>
      </c>
      <c r="J133" s="265" t="str">
        <f>IF($B133="","",COUNTIF(Aug[Resident Name],$B133))</f>
        <v/>
      </c>
      <c r="K133" s="265" t="str">
        <f>IF($B133="","",COUNTIF(Sept[Resident Name],$B133))</f>
        <v/>
      </c>
      <c r="L133" s="265" t="str">
        <f>IF($B133="","",COUNTIF(Oct[Resident Name],$B133))</f>
        <v/>
      </c>
      <c r="M133" s="265" t="str">
        <f>IF($B133="","",COUNTIF(Nov[Resident Name],$B133))</f>
        <v/>
      </c>
      <c r="N133" s="265" t="str">
        <f>IF($B133="","",COUNTIF(Dec[Resident Name],$B133))</f>
        <v/>
      </c>
      <c r="O133" s="265" t="str">
        <f t="shared" si="3"/>
        <v/>
      </c>
      <c r="P133" s="11"/>
      <c r="R133" s="160" t="str">
        <f>IFERROR(INDEX($B$5:$B$172,MATCH(ROWS($R$5:R133),$X$5:$X$172,0)),"")</f>
        <v/>
      </c>
      <c r="S133" s="76" t="str">
        <f>IF($R133="","",INDEX($O$5:$O$172,MATCH(ROWS($R$5:R133),$X$5:$X$172,0)))</f>
        <v/>
      </c>
      <c r="U133" s="160" t="str">
        <f>IFERROR(INDEX($Z$5:$Z$448,MATCH(ROWS($U$5:U133),$AA$5:$AA$448,0)),"")</f>
        <v/>
      </c>
      <c r="V133" s="274" t="str">
        <f>IF(Apr!C21="","",Apr!C21)</f>
        <v/>
      </c>
      <c r="W133" s="274" t="str" cm="1">
        <f t="array" ref="W133">IF(V133="","",IF(COUNTIF($V$5:V133,V133)&gt;1,"",ROUND(1+SUMPRODUCT(($V$5:$V$448&lt;&gt;"")*($V$5:$V$448&lt;V133)/COUNTIF($V$5:$V$448,$V$5:$V$448&amp;"")),0)))</f>
        <v/>
      </c>
      <c r="X133" s="274" t="str">
        <f t="shared" si="4"/>
        <v/>
      </c>
      <c r="Z133" s="274" t="str">
        <f>IF(Apr!H21="Major Injury",Apr!C21,"")</f>
        <v/>
      </c>
      <c r="AA133" s="274" t="str" cm="1">
        <f t="array" ref="AA133">IF(Z133="","",IF(COUNTIF($Z$5:Z133,Z133)&gt;1,"",ROUND(1+SUMPRODUCT(($Z$5:$Z$448&lt;&gt;"")*($Z$5:$Z$448&lt;Z133)/COUNTIF($Z$5:$Z$448,$Z$5:$Z$448&amp;"")),0)))</f>
        <v/>
      </c>
    </row>
    <row r="134" spans="2:27" x14ac:dyDescent="0.25">
      <c r="B134" s="160" t="str">
        <f>IFERROR(INDEX($V$5:$V$448,MATCH(ROWS($B$5:B134),$W$5:$W$448,0)),"")</f>
        <v/>
      </c>
      <c r="C134" s="265" t="str">
        <f>IF($B134="","",COUNTIF(Jan[Resident Name],$B134))</f>
        <v/>
      </c>
      <c r="D134" s="265" t="str">
        <f>IF($B134="","",COUNTIF(Feb[Resident Name],$B134))</f>
        <v/>
      </c>
      <c r="E134" s="265" t="str">
        <f>IF($B134="","",COUNTIF(Mar[Resident Name],$B134))</f>
        <v/>
      </c>
      <c r="F134" s="265" t="str">
        <f>IF($B134="","",COUNTIF(Apr[Resident Name],$B134))</f>
        <v/>
      </c>
      <c r="G134" s="265" t="str">
        <f>IF($B134="","",COUNTIF(May[Resident Name],$B134))</f>
        <v/>
      </c>
      <c r="H134" s="265" t="str">
        <f>IF($B134="","",COUNTIF(June[Resident Name],$B134))</f>
        <v/>
      </c>
      <c r="I134" s="265" t="str">
        <f>IF($B134="","",COUNTIF(July[Resident Name],$B134))</f>
        <v/>
      </c>
      <c r="J134" s="265" t="str">
        <f>IF($B134="","",COUNTIF(Aug[Resident Name],$B134))</f>
        <v/>
      </c>
      <c r="K134" s="265" t="str">
        <f>IF($B134="","",COUNTIF(Sept[Resident Name],$B134))</f>
        <v/>
      </c>
      <c r="L134" s="265" t="str">
        <f>IF($B134="","",COUNTIF(Oct[Resident Name],$B134))</f>
        <v/>
      </c>
      <c r="M134" s="265" t="str">
        <f>IF($B134="","",COUNTIF(Nov[Resident Name],$B134))</f>
        <v/>
      </c>
      <c r="N134" s="265" t="str">
        <f>IF($B134="","",COUNTIF(Dec[Resident Name],$B134))</f>
        <v/>
      </c>
      <c r="O134" s="265" t="str">
        <f t="shared" ref="O134:O172" si="5">IF($B134="","",SUM(C134:N134))</f>
        <v/>
      </c>
      <c r="P134" s="11"/>
      <c r="R134" s="160" t="str">
        <f>IFERROR(INDEX($B$5:$B$172,MATCH(ROWS($R$5:R134),$X$5:$X$172,0)),"")</f>
        <v/>
      </c>
      <c r="S134" s="76" t="str">
        <f>IF($R134="","",INDEX($O$5:$O$172,MATCH(ROWS($R$5:R134),$X$5:$X$172,0)))</f>
        <v/>
      </c>
      <c r="U134" s="160" t="str">
        <f>IFERROR(INDEX($Z$5:$Z$448,MATCH(ROWS($U$5:U134),$AA$5:$AA$448,0)),"")</f>
        <v/>
      </c>
      <c r="V134" s="274" t="str">
        <f>IF(Apr!C22="","",Apr!C22)</f>
        <v/>
      </c>
      <c r="W134" s="274" t="str" cm="1">
        <f t="array" ref="W134">IF(V134="","",IF(COUNTIF($V$5:V134,V134)&gt;1,"",ROUND(1+SUMPRODUCT(($V$5:$V$448&lt;&gt;"")*($V$5:$V$448&lt;V134)/COUNTIF($V$5:$V$448,$V$5:$V$448&amp;"")),0)))</f>
        <v/>
      </c>
      <c r="X134" s="274" t="str">
        <f t="shared" ref="X134:X172" si="6">IF($B134="","",1+COUNTIF($O$5:$O$172,"&gt;"&amp;$O134)+COUNTIFS($O$5:$O$172,$O134,$B$5:$B$172,"&lt;"&amp;$B134))</f>
        <v/>
      </c>
      <c r="Z134" s="274" t="str">
        <f>IF(Apr!H22="Major Injury",Apr!C22,"")</f>
        <v/>
      </c>
      <c r="AA134" s="274" t="str" cm="1">
        <f t="array" ref="AA134">IF(Z134="","",IF(COUNTIF($Z$5:Z134,Z134)&gt;1,"",ROUND(1+SUMPRODUCT(($Z$5:$Z$448&lt;&gt;"")*($Z$5:$Z$448&lt;Z134)/COUNTIF($Z$5:$Z$448,$Z$5:$Z$448&amp;"")),0)))</f>
        <v/>
      </c>
    </row>
    <row r="135" spans="2:27" x14ac:dyDescent="0.25">
      <c r="B135" s="160" t="str">
        <f>IFERROR(INDEX($V$5:$V$448,MATCH(ROWS($B$5:B135),$W$5:$W$448,0)),"")</f>
        <v/>
      </c>
      <c r="C135" s="265" t="str">
        <f>IF($B135="","",COUNTIF(Jan[Resident Name],$B135))</f>
        <v/>
      </c>
      <c r="D135" s="265" t="str">
        <f>IF($B135="","",COUNTIF(Feb[Resident Name],$B135))</f>
        <v/>
      </c>
      <c r="E135" s="265" t="str">
        <f>IF($B135="","",COUNTIF(Mar[Resident Name],$B135))</f>
        <v/>
      </c>
      <c r="F135" s="265" t="str">
        <f>IF($B135="","",COUNTIF(Apr[Resident Name],$B135))</f>
        <v/>
      </c>
      <c r="G135" s="265" t="str">
        <f>IF($B135="","",COUNTIF(May[Resident Name],$B135))</f>
        <v/>
      </c>
      <c r="H135" s="265" t="str">
        <f>IF($B135="","",COUNTIF(June[Resident Name],$B135))</f>
        <v/>
      </c>
      <c r="I135" s="265" t="str">
        <f>IF($B135="","",COUNTIF(July[Resident Name],$B135))</f>
        <v/>
      </c>
      <c r="J135" s="265" t="str">
        <f>IF($B135="","",COUNTIF(Aug[Resident Name],$B135))</f>
        <v/>
      </c>
      <c r="K135" s="265" t="str">
        <f>IF($B135="","",COUNTIF(Sept[Resident Name],$B135))</f>
        <v/>
      </c>
      <c r="L135" s="265" t="str">
        <f>IF($B135="","",COUNTIF(Oct[Resident Name],$B135))</f>
        <v/>
      </c>
      <c r="M135" s="265" t="str">
        <f>IF($B135="","",COUNTIF(Nov[Resident Name],$B135))</f>
        <v/>
      </c>
      <c r="N135" s="265" t="str">
        <f>IF($B135="","",COUNTIF(Dec[Resident Name],$B135))</f>
        <v/>
      </c>
      <c r="O135" s="265" t="str">
        <f t="shared" si="5"/>
        <v/>
      </c>
      <c r="P135" s="11"/>
      <c r="R135" s="160" t="str">
        <f>IFERROR(INDEX($B$5:$B$172,MATCH(ROWS($R$5:R135),$X$5:$X$172,0)),"")</f>
        <v/>
      </c>
      <c r="S135" s="76" t="str">
        <f>IF($R135="","",INDEX($O$5:$O$172,MATCH(ROWS($R$5:R135),$X$5:$X$172,0)))</f>
        <v/>
      </c>
      <c r="U135" s="160" t="str">
        <f>IFERROR(INDEX($Z$5:$Z$448,MATCH(ROWS($U$5:U135),$AA$5:$AA$448,0)),"")</f>
        <v/>
      </c>
      <c r="V135" s="274" t="str">
        <f>IF(Apr!C23="","",Apr!C23)</f>
        <v/>
      </c>
      <c r="W135" s="274" t="str" cm="1">
        <f t="array" ref="W135">IF(V135="","",IF(COUNTIF($V$5:V135,V135)&gt;1,"",ROUND(1+SUMPRODUCT(($V$5:$V$448&lt;&gt;"")*($V$5:$V$448&lt;V135)/COUNTIF($V$5:$V$448,$V$5:$V$448&amp;"")),0)))</f>
        <v/>
      </c>
      <c r="X135" s="274" t="str">
        <f t="shared" si="6"/>
        <v/>
      </c>
      <c r="Z135" s="274" t="str">
        <f>IF(Apr!H23="Major Injury",Apr!C23,"")</f>
        <v/>
      </c>
      <c r="AA135" s="274" t="str" cm="1">
        <f t="array" ref="AA135">IF(Z135="","",IF(COUNTIF($Z$5:Z135,Z135)&gt;1,"",ROUND(1+SUMPRODUCT(($Z$5:$Z$448&lt;&gt;"")*($Z$5:$Z$448&lt;Z135)/COUNTIF($Z$5:$Z$448,$Z$5:$Z$448&amp;"")),0)))</f>
        <v/>
      </c>
    </row>
    <row r="136" spans="2:27" x14ac:dyDescent="0.25">
      <c r="B136" s="160" t="str">
        <f>IFERROR(INDEX($V$5:$V$448,MATCH(ROWS($B$5:B136),$W$5:$W$448,0)),"")</f>
        <v/>
      </c>
      <c r="C136" s="265" t="str">
        <f>IF($B136="","",COUNTIF(Jan[Resident Name],$B136))</f>
        <v/>
      </c>
      <c r="D136" s="265" t="str">
        <f>IF($B136="","",COUNTIF(Feb[Resident Name],$B136))</f>
        <v/>
      </c>
      <c r="E136" s="265" t="str">
        <f>IF($B136="","",COUNTIF(Mar[Resident Name],$B136))</f>
        <v/>
      </c>
      <c r="F136" s="265" t="str">
        <f>IF($B136="","",COUNTIF(Apr[Resident Name],$B136))</f>
        <v/>
      </c>
      <c r="G136" s="265" t="str">
        <f>IF($B136="","",COUNTIF(May[Resident Name],$B136))</f>
        <v/>
      </c>
      <c r="H136" s="265" t="str">
        <f>IF($B136="","",COUNTIF(June[Resident Name],$B136))</f>
        <v/>
      </c>
      <c r="I136" s="265" t="str">
        <f>IF($B136="","",COUNTIF(July[Resident Name],$B136))</f>
        <v/>
      </c>
      <c r="J136" s="265" t="str">
        <f>IF($B136="","",COUNTIF(Aug[Resident Name],$B136))</f>
        <v/>
      </c>
      <c r="K136" s="265" t="str">
        <f>IF($B136="","",COUNTIF(Sept[Resident Name],$B136))</f>
        <v/>
      </c>
      <c r="L136" s="265" t="str">
        <f>IF($B136="","",COUNTIF(Oct[Resident Name],$B136))</f>
        <v/>
      </c>
      <c r="M136" s="265" t="str">
        <f>IF($B136="","",COUNTIF(Nov[Resident Name],$B136))</f>
        <v/>
      </c>
      <c r="N136" s="265" t="str">
        <f>IF($B136="","",COUNTIF(Dec[Resident Name],$B136))</f>
        <v/>
      </c>
      <c r="O136" s="265" t="str">
        <f t="shared" si="5"/>
        <v/>
      </c>
      <c r="P136" s="11"/>
      <c r="R136" s="160" t="str">
        <f>IFERROR(INDEX($B$5:$B$172,MATCH(ROWS($R$5:R136),$X$5:$X$172,0)),"")</f>
        <v/>
      </c>
      <c r="S136" s="76" t="str">
        <f>IF($R136="","",INDEX($O$5:$O$172,MATCH(ROWS($R$5:R136),$X$5:$X$172,0)))</f>
        <v/>
      </c>
      <c r="U136" s="160" t="str">
        <f>IFERROR(INDEX($Z$5:$Z$448,MATCH(ROWS($U$5:U136),$AA$5:$AA$448,0)),"")</f>
        <v/>
      </c>
      <c r="V136" s="274" t="str">
        <f>IF(Apr!C24="","",Apr!C24)</f>
        <v/>
      </c>
      <c r="W136" s="274" t="str" cm="1">
        <f t="array" ref="W136">IF(V136="","",IF(COUNTIF($V$5:V136,V136)&gt;1,"",ROUND(1+SUMPRODUCT(($V$5:$V$448&lt;&gt;"")*($V$5:$V$448&lt;V136)/COUNTIF($V$5:$V$448,$V$5:$V$448&amp;"")),0)))</f>
        <v/>
      </c>
      <c r="X136" s="274" t="str">
        <f t="shared" si="6"/>
        <v/>
      </c>
      <c r="Z136" s="274" t="str">
        <f>IF(Apr!H24="Major Injury",Apr!C24,"")</f>
        <v/>
      </c>
      <c r="AA136" s="274" t="str" cm="1">
        <f t="array" ref="AA136">IF(Z136="","",IF(COUNTIF($Z$5:Z136,Z136)&gt;1,"",ROUND(1+SUMPRODUCT(($Z$5:$Z$448&lt;&gt;"")*($Z$5:$Z$448&lt;Z136)/COUNTIF($Z$5:$Z$448,$Z$5:$Z$448&amp;"")),0)))</f>
        <v/>
      </c>
    </row>
    <row r="137" spans="2:27" x14ac:dyDescent="0.25">
      <c r="B137" s="160" t="str">
        <f>IFERROR(INDEX($V$5:$V$448,MATCH(ROWS($B$5:B137),$W$5:$W$448,0)),"")</f>
        <v/>
      </c>
      <c r="C137" s="265" t="str">
        <f>IF($B137="","",COUNTIF(Jan[Resident Name],$B137))</f>
        <v/>
      </c>
      <c r="D137" s="265" t="str">
        <f>IF($B137="","",COUNTIF(Feb[Resident Name],$B137))</f>
        <v/>
      </c>
      <c r="E137" s="265" t="str">
        <f>IF($B137="","",COUNTIF(Mar[Resident Name],$B137))</f>
        <v/>
      </c>
      <c r="F137" s="265" t="str">
        <f>IF($B137="","",COUNTIF(Apr[Resident Name],$B137))</f>
        <v/>
      </c>
      <c r="G137" s="265" t="str">
        <f>IF($B137="","",COUNTIF(May[Resident Name],$B137))</f>
        <v/>
      </c>
      <c r="H137" s="265" t="str">
        <f>IF($B137="","",COUNTIF(June[Resident Name],$B137))</f>
        <v/>
      </c>
      <c r="I137" s="265" t="str">
        <f>IF($B137="","",COUNTIF(July[Resident Name],$B137))</f>
        <v/>
      </c>
      <c r="J137" s="265" t="str">
        <f>IF($B137="","",COUNTIF(Aug[Resident Name],$B137))</f>
        <v/>
      </c>
      <c r="K137" s="265" t="str">
        <f>IF($B137="","",COUNTIF(Sept[Resident Name],$B137))</f>
        <v/>
      </c>
      <c r="L137" s="265" t="str">
        <f>IF($B137="","",COUNTIF(Oct[Resident Name],$B137))</f>
        <v/>
      </c>
      <c r="M137" s="265" t="str">
        <f>IF($B137="","",COUNTIF(Nov[Resident Name],$B137))</f>
        <v/>
      </c>
      <c r="N137" s="265" t="str">
        <f>IF($B137="","",COUNTIF(Dec[Resident Name],$B137))</f>
        <v/>
      </c>
      <c r="O137" s="265" t="str">
        <f t="shared" si="5"/>
        <v/>
      </c>
      <c r="P137" s="11"/>
      <c r="R137" s="160" t="str">
        <f>IFERROR(INDEX($B$5:$B$172,MATCH(ROWS($R$5:R137),$X$5:$X$172,0)),"")</f>
        <v/>
      </c>
      <c r="S137" s="76" t="str">
        <f>IF($R137="","",INDEX($O$5:$O$172,MATCH(ROWS($R$5:R137),$X$5:$X$172,0)))</f>
        <v/>
      </c>
      <c r="U137" s="160" t="str">
        <f>IFERROR(INDEX($Z$5:$Z$448,MATCH(ROWS($U$5:U137),$AA$5:$AA$448,0)),"")</f>
        <v/>
      </c>
      <c r="V137" s="274" t="str">
        <f>IF(Apr!C25="","",Apr!C25)</f>
        <v/>
      </c>
      <c r="W137" s="274" t="str" cm="1">
        <f t="array" ref="W137">IF(V137="","",IF(COUNTIF($V$5:V137,V137)&gt;1,"",ROUND(1+SUMPRODUCT(($V$5:$V$448&lt;&gt;"")*($V$5:$V$448&lt;V137)/COUNTIF($V$5:$V$448,$V$5:$V$448&amp;"")),0)))</f>
        <v/>
      </c>
      <c r="X137" s="274" t="str">
        <f t="shared" si="6"/>
        <v/>
      </c>
      <c r="Z137" s="274" t="str">
        <f>IF(Apr!H25="Major Injury",Apr!C25,"")</f>
        <v/>
      </c>
      <c r="AA137" s="274" t="str" cm="1">
        <f t="array" ref="AA137">IF(Z137="","",IF(COUNTIF($Z$5:Z137,Z137)&gt;1,"",ROUND(1+SUMPRODUCT(($Z$5:$Z$448&lt;&gt;"")*($Z$5:$Z$448&lt;Z137)/COUNTIF($Z$5:$Z$448,$Z$5:$Z$448&amp;"")),0)))</f>
        <v/>
      </c>
    </row>
    <row r="138" spans="2:27" x14ac:dyDescent="0.25">
      <c r="B138" s="160" t="str">
        <f>IFERROR(INDEX($V$5:$V$448,MATCH(ROWS($B$5:B138),$W$5:$W$448,0)),"")</f>
        <v/>
      </c>
      <c r="C138" s="265" t="str">
        <f>IF($B138="","",COUNTIF(Jan[Resident Name],$B138))</f>
        <v/>
      </c>
      <c r="D138" s="265" t="str">
        <f>IF($B138="","",COUNTIF(Feb[Resident Name],$B138))</f>
        <v/>
      </c>
      <c r="E138" s="265" t="str">
        <f>IF($B138="","",COUNTIF(Mar[Resident Name],$B138))</f>
        <v/>
      </c>
      <c r="F138" s="265" t="str">
        <f>IF($B138="","",COUNTIF(Apr[Resident Name],$B138))</f>
        <v/>
      </c>
      <c r="G138" s="265" t="str">
        <f>IF($B138="","",COUNTIF(May[Resident Name],$B138))</f>
        <v/>
      </c>
      <c r="H138" s="265" t="str">
        <f>IF($B138="","",COUNTIF(June[Resident Name],$B138))</f>
        <v/>
      </c>
      <c r="I138" s="265" t="str">
        <f>IF($B138="","",COUNTIF(July[Resident Name],$B138))</f>
        <v/>
      </c>
      <c r="J138" s="265" t="str">
        <f>IF($B138="","",COUNTIF(Aug[Resident Name],$B138))</f>
        <v/>
      </c>
      <c r="K138" s="265" t="str">
        <f>IF($B138="","",COUNTIF(Sept[Resident Name],$B138))</f>
        <v/>
      </c>
      <c r="L138" s="265" t="str">
        <f>IF($B138="","",COUNTIF(Oct[Resident Name],$B138))</f>
        <v/>
      </c>
      <c r="M138" s="265" t="str">
        <f>IF($B138="","",COUNTIF(Nov[Resident Name],$B138))</f>
        <v/>
      </c>
      <c r="N138" s="265" t="str">
        <f>IF($B138="","",COUNTIF(Dec[Resident Name],$B138))</f>
        <v/>
      </c>
      <c r="O138" s="265" t="str">
        <f t="shared" si="5"/>
        <v/>
      </c>
      <c r="P138" s="11"/>
      <c r="R138" s="160" t="str">
        <f>IFERROR(INDEX($B$5:$B$172,MATCH(ROWS($R$5:R138),$X$5:$X$172,0)),"")</f>
        <v/>
      </c>
      <c r="S138" s="76" t="str">
        <f>IF($R138="","",INDEX($O$5:$O$172,MATCH(ROWS($R$5:R138),$X$5:$X$172,0)))</f>
        <v/>
      </c>
      <c r="U138" s="160" t="str">
        <f>IFERROR(INDEX($Z$5:$Z$448,MATCH(ROWS($U$5:U138),$AA$5:$AA$448,0)),"")</f>
        <v/>
      </c>
      <c r="V138" s="274" t="str">
        <f>IF(Apr!C26="","",Apr!C26)</f>
        <v/>
      </c>
      <c r="W138" s="274" t="str" cm="1">
        <f t="array" ref="W138">IF(V138="","",IF(COUNTIF($V$5:V138,V138)&gt;1,"",ROUND(1+SUMPRODUCT(($V$5:$V$448&lt;&gt;"")*($V$5:$V$448&lt;V138)/COUNTIF($V$5:$V$448,$V$5:$V$448&amp;"")),0)))</f>
        <v/>
      </c>
      <c r="X138" s="274" t="str">
        <f t="shared" si="6"/>
        <v/>
      </c>
      <c r="Z138" s="274" t="str">
        <f>IF(Apr!H26="Major Injury",Apr!C26,"")</f>
        <v/>
      </c>
      <c r="AA138" s="274" t="str" cm="1">
        <f t="array" ref="AA138">IF(Z138="","",IF(COUNTIF($Z$5:Z138,Z138)&gt;1,"",ROUND(1+SUMPRODUCT(($Z$5:$Z$448&lt;&gt;"")*($Z$5:$Z$448&lt;Z138)/COUNTIF($Z$5:$Z$448,$Z$5:$Z$448&amp;"")),0)))</f>
        <v/>
      </c>
    </row>
    <row r="139" spans="2:27" x14ac:dyDescent="0.25">
      <c r="B139" s="160" t="str">
        <f>IFERROR(INDEX($V$5:$V$448,MATCH(ROWS($B$5:B139),$W$5:$W$448,0)),"")</f>
        <v/>
      </c>
      <c r="C139" s="265" t="str">
        <f>IF($B139="","",COUNTIF(Jan[Resident Name],$B139))</f>
        <v/>
      </c>
      <c r="D139" s="265" t="str">
        <f>IF($B139="","",COUNTIF(Feb[Resident Name],$B139))</f>
        <v/>
      </c>
      <c r="E139" s="265" t="str">
        <f>IF($B139="","",COUNTIF(Mar[Resident Name],$B139))</f>
        <v/>
      </c>
      <c r="F139" s="265" t="str">
        <f>IF($B139="","",COUNTIF(Apr[Resident Name],$B139))</f>
        <v/>
      </c>
      <c r="G139" s="265" t="str">
        <f>IF($B139="","",COUNTIF(May[Resident Name],$B139))</f>
        <v/>
      </c>
      <c r="H139" s="265" t="str">
        <f>IF($B139="","",COUNTIF(June[Resident Name],$B139))</f>
        <v/>
      </c>
      <c r="I139" s="265" t="str">
        <f>IF($B139="","",COUNTIF(July[Resident Name],$B139))</f>
        <v/>
      </c>
      <c r="J139" s="265" t="str">
        <f>IF($B139="","",COUNTIF(Aug[Resident Name],$B139))</f>
        <v/>
      </c>
      <c r="K139" s="265" t="str">
        <f>IF($B139="","",COUNTIF(Sept[Resident Name],$B139))</f>
        <v/>
      </c>
      <c r="L139" s="265" t="str">
        <f>IF($B139="","",COUNTIF(Oct[Resident Name],$B139))</f>
        <v/>
      </c>
      <c r="M139" s="265" t="str">
        <f>IF($B139="","",COUNTIF(Nov[Resident Name],$B139))</f>
        <v/>
      </c>
      <c r="N139" s="265" t="str">
        <f>IF($B139="","",COUNTIF(Dec[Resident Name],$B139))</f>
        <v/>
      </c>
      <c r="O139" s="265" t="str">
        <f t="shared" si="5"/>
        <v/>
      </c>
      <c r="P139" s="11"/>
      <c r="R139" s="160" t="str">
        <f>IFERROR(INDEX($B$5:$B$172,MATCH(ROWS($R$5:R139),$X$5:$X$172,0)),"")</f>
        <v/>
      </c>
      <c r="S139" s="76" t="str">
        <f>IF($R139="","",INDEX($O$5:$O$172,MATCH(ROWS($R$5:R139),$X$5:$X$172,0)))</f>
        <v/>
      </c>
      <c r="U139" s="160" t="str">
        <f>IFERROR(INDEX($Z$5:$Z$448,MATCH(ROWS($U$5:U139),$AA$5:$AA$448,0)),"")</f>
        <v/>
      </c>
      <c r="V139" s="274" t="str">
        <f>IF(Apr!C27="","",Apr!C27)</f>
        <v/>
      </c>
      <c r="W139" s="274" t="str" cm="1">
        <f t="array" ref="W139">IF(V139="","",IF(COUNTIF($V$5:V139,V139)&gt;1,"",ROUND(1+SUMPRODUCT(($V$5:$V$448&lt;&gt;"")*($V$5:$V$448&lt;V139)/COUNTIF($V$5:$V$448,$V$5:$V$448&amp;"")),0)))</f>
        <v/>
      </c>
      <c r="X139" s="274" t="str">
        <f t="shared" si="6"/>
        <v/>
      </c>
      <c r="Z139" s="274" t="str">
        <f>IF(Apr!H27="Major Injury",Apr!C27,"")</f>
        <v/>
      </c>
      <c r="AA139" s="274" t="str" cm="1">
        <f t="array" ref="AA139">IF(Z139="","",IF(COUNTIF($Z$5:Z139,Z139)&gt;1,"",ROUND(1+SUMPRODUCT(($Z$5:$Z$448&lt;&gt;"")*($Z$5:$Z$448&lt;Z139)/COUNTIF($Z$5:$Z$448,$Z$5:$Z$448&amp;"")),0)))</f>
        <v/>
      </c>
    </row>
    <row r="140" spans="2:27" x14ac:dyDescent="0.25">
      <c r="B140" s="160" t="str">
        <f>IFERROR(INDEX($V$5:$V$448,MATCH(ROWS($B$5:B140),$W$5:$W$448,0)),"")</f>
        <v/>
      </c>
      <c r="C140" s="265" t="str">
        <f>IF($B140="","",COUNTIF(Jan[Resident Name],$B140))</f>
        <v/>
      </c>
      <c r="D140" s="265" t="str">
        <f>IF($B140="","",COUNTIF(Feb[Resident Name],$B140))</f>
        <v/>
      </c>
      <c r="E140" s="265" t="str">
        <f>IF($B140="","",COUNTIF(Mar[Resident Name],$B140))</f>
        <v/>
      </c>
      <c r="F140" s="265" t="str">
        <f>IF($B140="","",COUNTIF(Apr[Resident Name],$B140))</f>
        <v/>
      </c>
      <c r="G140" s="265" t="str">
        <f>IF($B140="","",COUNTIF(May[Resident Name],$B140))</f>
        <v/>
      </c>
      <c r="H140" s="265" t="str">
        <f>IF($B140="","",COUNTIF(June[Resident Name],$B140))</f>
        <v/>
      </c>
      <c r="I140" s="265" t="str">
        <f>IF($B140="","",COUNTIF(July[Resident Name],$B140))</f>
        <v/>
      </c>
      <c r="J140" s="265" t="str">
        <f>IF($B140="","",COUNTIF(Aug[Resident Name],$B140))</f>
        <v/>
      </c>
      <c r="K140" s="265" t="str">
        <f>IF($B140="","",COUNTIF(Sept[Resident Name],$B140))</f>
        <v/>
      </c>
      <c r="L140" s="265" t="str">
        <f>IF($B140="","",COUNTIF(Oct[Resident Name],$B140))</f>
        <v/>
      </c>
      <c r="M140" s="265" t="str">
        <f>IF($B140="","",COUNTIF(Nov[Resident Name],$B140))</f>
        <v/>
      </c>
      <c r="N140" s="265" t="str">
        <f>IF($B140="","",COUNTIF(Dec[Resident Name],$B140))</f>
        <v/>
      </c>
      <c r="O140" s="265" t="str">
        <f t="shared" si="5"/>
        <v/>
      </c>
      <c r="P140" s="11"/>
      <c r="R140" s="160" t="str">
        <f>IFERROR(INDEX($B$5:$B$172,MATCH(ROWS($R$5:R140),$X$5:$X$172,0)),"")</f>
        <v/>
      </c>
      <c r="S140" s="76" t="str">
        <f>IF($R140="","",INDEX($O$5:$O$172,MATCH(ROWS($R$5:R140),$X$5:$X$172,0)))</f>
        <v/>
      </c>
      <c r="U140" s="160" t="str">
        <f>IFERROR(INDEX($Z$5:$Z$448,MATCH(ROWS($U$5:U140),$AA$5:$AA$448,0)),"")</f>
        <v/>
      </c>
      <c r="V140" s="274" t="str">
        <f>IF(Apr!C28="","",Apr!C28)</f>
        <v/>
      </c>
      <c r="W140" s="274" t="str" cm="1">
        <f t="array" ref="W140">IF(V140="","",IF(COUNTIF($V$5:V140,V140)&gt;1,"",ROUND(1+SUMPRODUCT(($V$5:$V$448&lt;&gt;"")*($V$5:$V$448&lt;V140)/COUNTIF($V$5:$V$448,$V$5:$V$448&amp;"")),0)))</f>
        <v/>
      </c>
      <c r="X140" s="274" t="str">
        <f t="shared" si="6"/>
        <v/>
      </c>
      <c r="Z140" s="274" t="str">
        <f>IF(Apr!H28="Major Injury",Apr!C28,"")</f>
        <v/>
      </c>
      <c r="AA140" s="274" t="str" cm="1">
        <f t="array" ref="AA140">IF(Z140="","",IF(COUNTIF($Z$5:Z140,Z140)&gt;1,"",ROUND(1+SUMPRODUCT(($Z$5:$Z$448&lt;&gt;"")*($Z$5:$Z$448&lt;Z140)/COUNTIF($Z$5:$Z$448,$Z$5:$Z$448&amp;"")),0)))</f>
        <v/>
      </c>
    </row>
    <row r="141" spans="2:27" x14ac:dyDescent="0.25">
      <c r="B141" s="160" t="str">
        <f>IFERROR(INDEX($V$5:$V$448,MATCH(ROWS($B$5:B141),$W$5:$W$448,0)),"")</f>
        <v/>
      </c>
      <c r="C141" s="265" t="str">
        <f>IF($B141="","",COUNTIF(Jan[Resident Name],$B141))</f>
        <v/>
      </c>
      <c r="D141" s="265" t="str">
        <f>IF($B141="","",COUNTIF(Feb[Resident Name],$B141))</f>
        <v/>
      </c>
      <c r="E141" s="265" t="str">
        <f>IF($B141="","",COUNTIF(Mar[Resident Name],$B141))</f>
        <v/>
      </c>
      <c r="F141" s="265" t="str">
        <f>IF($B141="","",COUNTIF(Apr[Resident Name],$B141))</f>
        <v/>
      </c>
      <c r="G141" s="265" t="str">
        <f>IF($B141="","",COUNTIF(May[Resident Name],$B141))</f>
        <v/>
      </c>
      <c r="H141" s="265" t="str">
        <f>IF($B141="","",COUNTIF(June[Resident Name],$B141))</f>
        <v/>
      </c>
      <c r="I141" s="265" t="str">
        <f>IF($B141="","",COUNTIF(July[Resident Name],$B141))</f>
        <v/>
      </c>
      <c r="J141" s="265" t="str">
        <f>IF($B141="","",COUNTIF(Aug[Resident Name],$B141))</f>
        <v/>
      </c>
      <c r="K141" s="265" t="str">
        <f>IF($B141="","",COUNTIF(Sept[Resident Name],$B141))</f>
        <v/>
      </c>
      <c r="L141" s="265" t="str">
        <f>IF($B141="","",COUNTIF(Oct[Resident Name],$B141))</f>
        <v/>
      </c>
      <c r="M141" s="265" t="str">
        <f>IF($B141="","",COUNTIF(Nov[Resident Name],$B141))</f>
        <v/>
      </c>
      <c r="N141" s="265" t="str">
        <f>IF($B141="","",COUNTIF(Dec[Resident Name],$B141))</f>
        <v/>
      </c>
      <c r="O141" s="265" t="str">
        <f t="shared" si="5"/>
        <v/>
      </c>
      <c r="P141" s="11"/>
      <c r="R141" s="160" t="str">
        <f>IFERROR(INDEX($B$5:$B$172,MATCH(ROWS($R$5:R141),$X$5:$X$172,0)),"")</f>
        <v/>
      </c>
      <c r="S141" s="76" t="str">
        <f>IF($R141="","",INDEX($O$5:$O$172,MATCH(ROWS($R$5:R141),$X$5:$X$172,0)))</f>
        <v/>
      </c>
      <c r="U141" s="160" t="str">
        <f>IFERROR(INDEX($Z$5:$Z$448,MATCH(ROWS($U$5:U141),$AA$5:$AA$448,0)),"")</f>
        <v/>
      </c>
      <c r="V141" s="274" t="str">
        <f>IF(Apr!C29="","",Apr!C29)</f>
        <v/>
      </c>
      <c r="W141" s="274" t="str" cm="1">
        <f t="array" ref="W141">IF(V141="","",IF(COUNTIF($V$5:V141,V141)&gt;1,"",ROUND(1+SUMPRODUCT(($V$5:$V$448&lt;&gt;"")*($V$5:$V$448&lt;V141)/COUNTIF($V$5:$V$448,$V$5:$V$448&amp;"")),0)))</f>
        <v/>
      </c>
      <c r="X141" s="274" t="str">
        <f t="shared" si="6"/>
        <v/>
      </c>
      <c r="Z141" s="274" t="str">
        <f>IF(Apr!H29="Major Injury",Apr!C29,"")</f>
        <v/>
      </c>
      <c r="AA141" s="274" t="str" cm="1">
        <f t="array" ref="AA141">IF(Z141="","",IF(COUNTIF($Z$5:Z141,Z141)&gt;1,"",ROUND(1+SUMPRODUCT(($Z$5:$Z$448&lt;&gt;"")*($Z$5:$Z$448&lt;Z141)/COUNTIF($Z$5:$Z$448,$Z$5:$Z$448&amp;"")),0)))</f>
        <v/>
      </c>
    </row>
    <row r="142" spans="2:27" x14ac:dyDescent="0.25">
      <c r="B142" s="160" t="str">
        <f>IFERROR(INDEX($V$5:$V$448,MATCH(ROWS($B$5:B142),$W$5:$W$448,0)),"")</f>
        <v/>
      </c>
      <c r="C142" s="265" t="str">
        <f>IF($B142="","",COUNTIF(Jan[Resident Name],$B142))</f>
        <v/>
      </c>
      <c r="D142" s="265" t="str">
        <f>IF($B142="","",COUNTIF(Feb[Resident Name],$B142))</f>
        <v/>
      </c>
      <c r="E142" s="265" t="str">
        <f>IF($B142="","",COUNTIF(Mar[Resident Name],$B142))</f>
        <v/>
      </c>
      <c r="F142" s="265" t="str">
        <f>IF($B142="","",COUNTIF(Apr[Resident Name],$B142))</f>
        <v/>
      </c>
      <c r="G142" s="265" t="str">
        <f>IF($B142="","",COUNTIF(May[Resident Name],$B142))</f>
        <v/>
      </c>
      <c r="H142" s="265" t="str">
        <f>IF($B142="","",COUNTIF(June[Resident Name],$B142))</f>
        <v/>
      </c>
      <c r="I142" s="265" t="str">
        <f>IF($B142="","",COUNTIF(July[Resident Name],$B142))</f>
        <v/>
      </c>
      <c r="J142" s="265" t="str">
        <f>IF($B142="","",COUNTIF(Aug[Resident Name],$B142))</f>
        <v/>
      </c>
      <c r="K142" s="265" t="str">
        <f>IF($B142="","",COUNTIF(Sept[Resident Name],$B142))</f>
        <v/>
      </c>
      <c r="L142" s="265" t="str">
        <f>IF($B142="","",COUNTIF(Oct[Resident Name],$B142))</f>
        <v/>
      </c>
      <c r="M142" s="265" t="str">
        <f>IF($B142="","",COUNTIF(Nov[Resident Name],$B142))</f>
        <v/>
      </c>
      <c r="N142" s="265" t="str">
        <f>IF($B142="","",COUNTIF(Dec[Resident Name],$B142))</f>
        <v/>
      </c>
      <c r="O142" s="265" t="str">
        <f t="shared" si="5"/>
        <v/>
      </c>
      <c r="P142" s="11"/>
      <c r="R142" s="160" t="str">
        <f>IFERROR(INDEX($B$5:$B$172,MATCH(ROWS($R$5:R142),$X$5:$X$172,0)),"")</f>
        <v/>
      </c>
      <c r="S142" s="76" t="str">
        <f>IF($R142="","",INDEX($O$5:$O$172,MATCH(ROWS($R$5:R142),$X$5:$X$172,0)))</f>
        <v/>
      </c>
      <c r="U142" s="160" t="str">
        <f>IFERROR(INDEX($Z$5:$Z$448,MATCH(ROWS($U$5:U142),$AA$5:$AA$448,0)),"")</f>
        <v/>
      </c>
      <c r="V142" s="274" t="str">
        <f>IF(Apr!C30="","",Apr!C30)</f>
        <v/>
      </c>
      <c r="W142" s="274" t="str" cm="1">
        <f t="array" ref="W142">IF(V142="","",IF(COUNTIF($V$5:V142,V142)&gt;1,"",ROUND(1+SUMPRODUCT(($V$5:$V$448&lt;&gt;"")*($V$5:$V$448&lt;V142)/COUNTIF($V$5:$V$448,$V$5:$V$448&amp;"")),0)))</f>
        <v/>
      </c>
      <c r="X142" s="274" t="str">
        <f t="shared" si="6"/>
        <v/>
      </c>
      <c r="Z142" s="274" t="str">
        <f>IF(Apr!H30="Major Injury",Apr!C30,"")</f>
        <v/>
      </c>
      <c r="AA142" s="274" t="str" cm="1">
        <f t="array" ref="AA142">IF(Z142="","",IF(COUNTIF($Z$5:Z142,Z142)&gt;1,"",ROUND(1+SUMPRODUCT(($Z$5:$Z$448&lt;&gt;"")*($Z$5:$Z$448&lt;Z142)/COUNTIF($Z$5:$Z$448,$Z$5:$Z$448&amp;"")),0)))</f>
        <v/>
      </c>
    </row>
    <row r="143" spans="2:27" x14ac:dyDescent="0.25">
      <c r="B143" s="160" t="str">
        <f>IFERROR(INDEX($V$5:$V$448,MATCH(ROWS($B$5:B143),$W$5:$W$448,0)),"")</f>
        <v/>
      </c>
      <c r="C143" s="265" t="str">
        <f>IF($B143="","",COUNTIF(Jan[Resident Name],$B143))</f>
        <v/>
      </c>
      <c r="D143" s="265" t="str">
        <f>IF($B143="","",COUNTIF(Feb[Resident Name],$B143))</f>
        <v/>
      </c>
      <c r="E143" s="265" t="str">
        <f>IF($B143="","",COUNTIF(Mar[Resident Name],$B143))</f>
        <v/>
      </c>
      <c r="F143" s="265" t="str">
        <f>IF($B143="","",COUNTIF(Apr[Resident Name],$B143))</f>
        <v/>
      </c>
      <c r="G143" s="265" t="str">
        <f>IF($B143="","",COUNTIF(May[Resident Name],$B143))</f>
        <v/>
      </c>
      <c r="H143" s="265" t="str">
        <f>IF($B143="","",COUNTIF(June[Resident Name],$B143))</f>
        <v/>
      </c>
      <c r="I143" s="265" t="str">
        <f>IF($B143="","",COUNTIF(July[Resident Name],$B143))</f>
        <v/>
      </c>
      <c r="J143" s="265" t="str">
        <f>IF($B143="","",COUNTIF(Aug[Resident Name],$B143))</f>
        <v/>
      </c>
      <c r="K143" s="265" t="str">
        <f>IF($B143="","",COUNTIF(Sept[Resident Name],$B143))</f>
        <v/>
      </c>
      <c r="L143" s="265" t="str">
        <f>IF($B143="","",COUNTIF(Oct[Resident Name],$B143))</f>
        <v/>
      </c>
      <c r="M143" s="265" t="str">
        <f>IF($B143="","",COUNTIF(Nov[Resident Name],$B143))</f>
        <v/>
      </c>
      <c r="N143" s="265" t="str">
        <f>IF($B143="","",COUNTIF(Dec[Resident Name],$B143))</f>
        <v/>
      </c>
      <c r="O143" s="265" t="str">
        <f t="shared" si="5"/>
        <v/>
      </c>
      <c r="P143" s="11"/>
      <c r="R143" s="160" t="str">
        <f>IFERROR(INDEX($B$5:$B$172,MATCH(ROWS($R$5:R143),$X$5:$X$172,0)),"")</f>
        <v/>
      </c>
      <c r="S143" s="76" t="str">
        <f>IF($R143="","",INDEX($O$5:$O$172,MATCH(ROWS($R$5:R143),$X$5:$X$172,0)))</f>
        <v/>
      </c>
      <c r="U143" s="160" t="str">
        <f>IFERROR(INDEX($Z$5:$Z$448,MATCH(ROWS($U$5:U143),$AA$5:$AA$448,0)),"")</f>
        <v/>
      </c>
      <c r="V143" s="274" t="str">
        <f>IF(Apr!C31="","",Apr!C31)</f>
        <v/>
      </c>
      <c r="W143" s="274" t="str" cm="1">
        <f t="array" ref="W143">IF(V143="","",IF(COUNTIF($V$5:V143,V143)&gt;1,"",ROUND(1+SUMPRODUCT(($V$5:$V$448&lt;&gt;"")*($V$5:$V$448&lt;V143)/COUNTIF($V$5:$V$448,$V$5:$V$448&amp;"")),0)))</f>
        <v/>
      </c>
      <c r="X143" s="274" t="str">
        <f t="shared" si="6"/>
        <v/>
      </c>
      <c r="Z143" s="274" t="str">
        <f>IF(Apr!H31="Major Injury",Apr!C31,"")</f>
        <v/>
      </c>
      <c r="AA143" s="274" t="str" cm="1">
        <f t="array" ref="AA143">IF(Z143="","",IF(COUNTIF($Z$5:Z143,Z143)&gt;1,"",ROUND(1+SUMPRODUCT(($Z$5:$Z$448&lt;&gt;"")*($Z$5:$Z$448&lt;Z143)/COUNTIF($Z$5:$Z$448,$Z$5:$Z$448&amp;"")),0)))</f>
        <v/>
      </c>
    </row>
    <row r="144" spans="2:27" x14ac:dyDescent="0.25">
      <c r="B144" s="160" t="str">
        <f>IFERROR(INDEX($V$5:$V$448,MATCH(ROWS($B$5:B144),$W$5:$W$448,0)),"")</f>
        <v/>
      </c>
      <c r="C144" s="265" t="str">
        <f>IF($B144="","",COUNTIF(Jan[Resident Name],$B144))</f>
        <v/>
      </c>
      <c r="D144" s="265" t="str">
        <f>IF($B144="","",COUNTIF(Feb[Resident Name],$B144))</f>
        <v/>
      </c>
      <c r="E144" s="265" t="str">
        <f>IF($B144="","",COUNTIF(Mar[Resident Name],$B144))</f>
        <v/>
      </c>
      <c r="F144" s="265" t="str">
        <f>IF($B144="","",COUNTIF(Apr[Resident Name],$B144))</f>
        <v/>
      </c>
      <c r="G144" s="265" t="str">
        <f>IF($B144="","",COUNTIF(May[Resident Name],$B144))</f>
        <v/>
      </c>
      <c r="H144" s="265" t="str">
        <f>IF($B144="","",COUNTIF(June[Resident Name],$B144))</f>
        <v/>
      </c>
      <c r="I144" s="265" t="str">
        <f>IF($B144="","",COUNTIF(July[Resident Name],$B144))</f>
        <v/>
      </c>
      <c r="J144" s="265" t="str">
        <f>IF($B144="","",COUNTIF(Aug[Resident Name],$B144))</f>
        <v/>
      </c>
      <c r="K144" s="265" t="str">
        <f>IF($B144="","",COUNTIF(Sept[Resident Name],$B144))</f>
        <v/>
      </c>
      <c r="L144" s="265" t="str">
        <f>IF($B144="","",COUNTIF(Oct[Resident Name],$B144))</f>
        <v/>
      </c>
      <c r="M144" s="265" t="str">
        <f>IF($B144="","",COUNTIF(Nov[Resident Name],$B144))</f>
        <v/>
      </c>
      <c r="N144" s="265" t="str">
        <f>IF($B144="","",COUNTIF(Dec[Resident Name],$B144))</f>
        <v/>
      </c>
      <c r="O144" s="265" t="str">
        <f t="shared" si="5"/>
        <v/>
      </c>
      <c r="P144" s="11"/>
      <c r="R144" s="160" t="str">
        <f>IFERROR(INDEX($B$5:$B$172,MATCH(ROWS($R$5:R144),$X$5:$X$172,0)),"")</f>
        <v/>
      </c>
      <c r="S144" s="76" t="str">
        <f>IF($R144="","",INDEX($O$5:$O$172,MATCH(ROWS($R$5:R144),$X$5:$X$172,0)))</f>
        <v/>
      </c>
      <c r="U144" s="160" t="str">
        <f>IFERROR(INDEX($Z$5:$Z$448,MATCH(ROWS($U$5:U144),$AA$5:$AA$448,0)),"")</f>
        <v/>
      </c>
      <c r="V144" s="274" t="str">
        <f>IF(Apr!C32="","",Apr!C32)</f>
        <v/>
      </c>
      <c r="W144" s="274" t="str" cm="1">
        <f t="array" ref="W144">IF(V144="","",IF(COUNTIF($V$5:V144,V144)&gt;1,"",ROUND(1+SUMPRODUCT(($V$5:$V$448&lt;&gt;"")*($V$5:$V$448&lt;V144)/COUNTIF($V$5:$V$448,$V$5:$V$448&amp;"")),0)))</f>
        <v/>
      </c>
      <c r="X144" s="274" t="str">
        <f t="shared" si="6"/>
        <v/>
      </c>
      <c r="Z144" s="274" t="str">
        <f>IF(Apr!H32="Major Injury",Apr!C32,"")</f>
        <v/>
      </c>
      <c r="AA144" s="274" t="str" cm="1">
        <f t="array" ref="AA144">IF(Z144="","",IF(COUNTIF($Z$5:Z144,Z144)&gt;1,"",ROUND(1+SUMPRODUCT(($Z$5:$Z$448&lt;&gt;"")*($Z$5:$Z$448&lt;Z144)/COUNTIF($Z$5:$Z$448,$Z$5:$Z$448&amp;"")),0)))</f>
        <v/>
      </c>
    </row>
    <row r="145" spans="2:27" x14ac:dyDescent="0.25">
      <c r="B145" s="160" t="str">
        <f>IFERROR(INDEX($V$5:$V$448,MATCH(ROWS($B$5:B145),$W$5:$W$448,0)),"")</f>
        <v/>
      </c>
      <c r="C145" s="265" t="str">
        <f>IF($B145="","",COUNTIF(Jan[Resident Name],$B145))</f>
        <v/>
      </c>
      <c r="D145" s="265" t="str">
        <f>IF($B145="","",COUNTIF(Feb[Resident Name],$B145))</f>
        <v/>
      </c>
      <c r="E145" s="265" t="str">
        <f>IF($B145="","",COUNTIF(Mar[Resident Name],$B145))</f>
        <v/>
      </c>
      <c r="F145" s="265" t="str">
        <f>IF($B145="","",COUNTIF(Apr[Resident Name],$B145))</f>
        <v/>
      </c>
      <c r="G145" s="265" t="str">
        <f>IF($B145="","",COUNTIF(May[Resident Name],$B145))</f>
        <v/>
      </c>
      <c r="H145" s="265" t="str">
        <f>IF($B145="","",COUNTIF(June[Resident Name],$B145))</f>
        <v/>
      </c>
      <c r="I145" s="265" t="str">
        <f>IF($B145="","",COUNTIF(July[Resident Name],$B145))</f>
        <v/>
      </c>
      <c r="J145" s="265" t="str">
        <f>IF($B145="","",COUNTIF(Aug[Resident Name],$B145))</f>
        <v/>
      </c>
      <c r="K145" s="265" t="str">
        <f>IF($B145="","",COUNTIF(Sept[Resident Name],$B145))</f>
        <v/>
      </c>
      <c r="L145" s="265" t="str">
        <f>IF($B145="","",COUNTIF(Oct[Resident Name],$B145))</f>
        <v/>
      </c>
      <c r="M145" s="265" t="str">
        <f>IF($B145="","",COUNTIF(Nov[Resident Name],$B145))</f>
        <v/>
      </c>
      <c r="N145" s="265" t="str">
        <f>IF($B145="","",COUNTIF(Dec[Resident Name],$B145))</f>
        <v/>
      </c>
      <c r="O145" s="265" t="str">
        <f t="shared" si="5"/>
        <v/>
      </c>
      <c r="P145" s="11"/>
      <c r="R145" s="160" t="str">
        <f>IFERROR(INDEX($B$5:$B$172,MATCH(ROWS($R$5:R145),$X$5:$X$172,0)),"")</f>
        <v/>
      </c>
      <c r="S145" s="76" t="str">
        <f>IF($R145="","",INDEX($O$5:$O$172,MATCH(ROWS($R$5:R145),$X$5:$X$172,0)))</f>
        <v/>
      </c>
      <c r="U145" s="160" t="str">
        <f>IFERROR(INDEX($Z$5:$Z$448,MATCH(ROWS($U$5:U145),$AA$5:$AA$448,0)),"")</f>
        <v/>
      </c>
      <c r="V145" s="274" t="str">
        <f>IF(Apr!C33="","",Apr!C33)</f>
        <v/>
      </c>
      <c r="W145" s="274" t="str" cm="1">
        <f t="array" ref="W145">IF(V145="","",IF(COUNTIF($V$5:V145,V145)&gt;1,"",ROUND(1+SUMPRODUCT(($V$5:$V$448&lt;&gt;"")*($V$5:$V$448&lt;V145)/COUNTIF($V$5:$V$448,$V$5:$V$448&amp;"")),0)))</f>
        <v/>
      </c>
      <c r="X145" s="274" t="str">
        <f t="shared" si="6"/>
        <v/>
      </c>
      <c r="Z145" s="274" t="str">
        <f>IF(Apr!H33="Major Injury",Apr!C33,"")</f>
        <v/>
      </c>
      <c r="AA145" s="274" t="str" cm="1">
        <f t="array" ref="AA145">IF(Z145="","",IF(COUNTIF($Z$5:Z145,Z145)&gt;1,"",ROUND(1+SUMPRODUCT(($Z$5:$Z$448&lt;&gt;"")*($Z$5:$Z$448&lt;Z145)/COUNTIF($Z$5:$Z$448,$Z$5:$Z$448&amp;"")),0)))</f>
        <v/>
      </c>
    </row>
    <row r="146" spans="2:27" x14ac:dyDescent="0.25">
      <c r="B146" s="160" t="str">
        <f>IFERROR(INDEX($V$5:$V$448,MATCH(ROWS($B$5:B146),$W$5:$W$448,0)),"")</f>
        <v/>
      </c>
      <c r="C146" s="265" t="str">
        <f>IF($B146="","",COUNTIF(Jan[Resident Name],$B146))</f>
        <v/>
      </c>
      <c r="D146" s="265" t="str">
        <f>IF($B146="","",COUNTIF(Feb[Resident Name],$B146))</f>
        <v/>
      </c>
      <c r="E146" s="265" t="str">
        <f>IF($B146="","",COUNTIF(Mar[Resident Name],$B146))</f>
        <v/>
      </c>
      <c r="F146" s="265" t="str">
        <f>IF($B146="","",COUNTIF(Apr[Resident Name],$B146))</f>
        <v/>
      </c>
      <c r="G146" s="265" t="str">
        <f>IF($B146="","",COUNTIF(May[Resident Name],$B146))</f>
        <v/>
      </c>
      <c r="H146" s="265" t="str">
        <f>IF($B146="","",COUNTIF(June[Resident Name],$B146))</f>
        <v/>
      </c>
      <c r="I146" s="265" t="str">
        <f>IF($B146="","",COUNTIF(July[Resident Name],$B146))</f>
        <v/>
      </c>
      <c r="J146" s="265" t="str">
        <f>IF($B146="","",COUNTIF(Aug[Resident Name],$B146))</f>
        <v/>
      </c>
      <c r="K146" s="265" t="str">
        <f>IF($B146="","",COUNTIF(Sept[Resident Name],$B146))</f>
        <v/>
      </c>
      <c r="L146" s="265" t="str">
        <f>IF($B146="","",COUNTIF(Oct[Resident Name],$B146))</f>
        <v/>
      </c>
      <c r="M146" s="265" t="str">
        <f>IF($B146="","",COUNTIF(Nov[Resident Name],$B146))</f>
        <v/>
      </c>
      <c r="N146" s="265" t="str">
        <f>IF($B146="","",COUNTIF(Dec[Resident Name],$B146))</f>
        <v/>
      </c>
      <c r="O146" s="265" t="str">
        <f t="shared" si="5"/>
        <v/>
      </c>
      <c r="P146" s="11"/>
      <c r="R146" s="160" t="str">
        <f>IFERROR(INDEX($B$5:$B$172,MATCH(ROWS($R$5:R146),$X$5:$X$172,0)),"")</f>
        <v/>
      </c>
      <c r="S146" s="76" t="str">
        <f>IF($R146="","",INDEX($O$5:$O$172,MATCH(ROWS($R$5:R146),$X$5:$X$172,0)))</f>
        <v/>
      </c>
      <c r="U146" s="160" t="str">
        <f>IFERROR(INDEX($Z$5:$Z$448,MATCH(ROWS($U$5:U146),$AA$5:$AA$448,0)),"")</f>
        <v/>
      </c>
      <c r="V146" s="274" t="str">
        <f>IF(Apr!C34="","",Apr!C34)</f>
        <v/>
      </c>
      <c r="W146" s="274" t="str" cm="1">
        <f t="array" ref="W146">IF(V146="","",IF(COUNTIF($V$5:V146,V146)&gt;1,"",ROUND(1+SUMPRODUCT(($V$5:$V$448&lt;&gt;"")*($V$5:$V$448&lt;V146)/COUNTIF($V$5:$V$448,$V$5:$V$448&amp;"")),0)))</f>
        <v/>
      </c>
      <c r="X146" s="274" t="str">
        <f t="shared" si="6"/>
        <v/>
      </c>
      <c r="Z146" s="274" t="str">
        <f>IF(Apr!H34="Major Injury",Apr!C34,"")</f>
        <v/>
      </c>
      <c r="AA146" s="274" t="str" cm="1">
        <f t="array" ref="AA146">IF(Z146="","",IF(COUNTIF($Z$5:Z146,Z146)&gt;1,"",ROUND(1+SUMPRODUCT(($Z$5:$Z$448&lt;&gt;"")*($Z$5:$Z$448&lt;Z146)/COUNTIF($Z$5:$Z$448,$Z$5:$Z$448&amp;"")),0)))</f>
        <v/>
      </c>
    </row>
    <row r="147" spans="2:27" x14ac:dyDescent="0.25">
      <c r="B147" s="160" t="str">
        <f>IFERROR(INDEX($V$5:$V$448,MATCH(ROWS($B$5:B147),$W$5:$W$448,0)),"")</f>
        <v/>
      </c>
      <c r="C147" s="265" t="str">
        <f>IF($B147="","",COUNTIF(Jan[Resident Name],$B147))</f>
        <v/>
      </c>
      <c r="D147" s="265" t="str">
        <f>IF($B147="","",COUNTIF(Feb[Resident Name],$B147))</f>
        <v/>
      </c>
      <c r="E147" s="265" t="str">
        <f>IF($B147="","",COUNTIF(Mar[Resident Name],$B147))</f>
        <v/>
      </c>
      <c r="F147" s="265" t="str">
        <f>IF($B147="","",COUNTIF(Apr[Resident Name],$B147))</f>
        <v/>
      </c>
      <c r="G147" s="265" t="str">
        <f>IF($B147="","",COUNTIF(May[Resident Name],$B147))</f>
        <v/>
      </c>
      <c r="H147" s="265" t="str">
        <f>IF($B147="","",COUNTIF(June[Resident Name],$B147))</f>
        <v/>
      </c>
      <c r="I147" s="265" t="str">
        <f>IF($B147="","",COUNTIF(July[Resident Name],$B147))</f>
        <v/>
      </c>
      <c r="J147" s="265" t="str">
        <f>IF($B147="","",COUNTIF(Aug[Resident Name],$B147))</f>
        <v/>
      </c>
      <c r="K147" s="265" t="str">
        <f>IF($B147="","",COUNTIF(Sept[Resident Name],$B147))</f>
        <v/>
      </c>
      <c r="L147" s="265" t="str">
        <f>IF($B147="","",COUNTIF(Oct[Resident Name],$B147))</f>
        <v/>
      </c>
      <c r="M147" s="265" t="str">
        <f>IF($B147="","",COUNTIF(Nov[Resident Name],$B147))</f>
        <v/>
      </c>
      <c r="N147" s="265" t="str">
        <f>IF($B147="","",COUNTIF(Dec[Resident Name],$B147))</f>
        <v/>
      </c>
      <c r="O147" s="265" t="str">
        <f t="shared" si="5"/>
        <v/>
      </c>
      <c r="P147" s="11"/>
      <c r="R147" s="160" t="str">
        <f>IFERROR(INDEX($B$5:$B$172,MATCH(ROWS($R$5:R147),$X$5:$X$172,0)),"")</f>
        <v/>
      </c>
      <c r="S147" s="76" t="str">
        <f>IF($R147="","",INDEX($O$5:$O$172,MATCH(ROWS($R$5:R147),$X$5:$X$172,0)))</f>
        <v/>
      </c>
      <c r="U147" s="160" t="str">
        <f>IFERROR(INDEX($Z$5:$Z$448,MATCH(ROWS($U$5:U147),$AA$5:$AA$448,0)),"")</f>
        <v/>
      </c>
      <c r="V147" s="274" t="str">
        <f>IF(Apr!C35="","",Apr!C35)</f>
        <v/>
      </c>
      <c r="W147" s="274" t="str" cm="1">
        <f t="array" ref="W147">IF(V147="","",IF(COUNTIF($V$5:V147,V147)&gt;1,"",ROUND(1+SUMPRODUCT(($V$5:$V$448&lt;&gt;"")*($V$5:$V$448&lt;V147)/COUNTIF($V$5:$V$448,$V$5:$V$448&amp;"")),0)))</f>
        <v/>
      </c>
      <c r="X147" s="274" t="str">
        <f t="shared" si="6"/>
        <v/>
      </c>
      <c r="Z147" s="274" t="str">
        <f>IF(Apr!H35="Major Injury",Apr!C35,"")</f>
        <v/>
      </c>
      <c r="AA147" s="274" t="str" cm="1">
        <f t="array" ref="AA147">IF(Z147="","",IF(COUNTIF($Z$5:Z147,Z147)&gt;1,"",ROUND(1+SUMPRODUCT(($Z$5:$Z$448&lt;&gt;"")*($Z$5:$Z$448&lt;Z147)/COUNTIF($Z$5:$Z$448,$Z$5:$Z$448&amp;"")),0)))</f>
        <v/>
      </c>
    </row>
    <row r="148" spans="2:27" x14ac:dyDescent="0.25">
      <c r="B148" s="160" t="str">
        <f>IFERROR(INDEX($V$5:$V$448,MATCH(ROWS($B$5:B148),$W$5:$W$448,0)),"")</f>
        <v/>
      </c>
      <c r="C148" s="265" t="str">
        <f>IF($B148="","",COUNTIF(Jan[Resident Name],$B148))</f>
        <v/>
      </c>
      <c r="D148" s="265" t="str">
        <f>IF($B148="","",COUNTIF(Feb[Resident Name],$B148))</f>
        <v/>
      </c>
      <c r="E148" s="265" t="str">
        <f>IF($B148="","",COUNTIF(Mar[Resident Name],$B148))</f>
        <v/>
      </c>
      <c r="F148" s="265" t="str">
        <f>IF($B148="","",COUNTIF(Apr[Resident Name],$B148))</f>
        <v/>
      </c>
      <c r="G148" s="265" t="str">
        <f>IF($B148="","",COUNTIF(May[Resident Name],$B148))</f>
        <v/>
      </c>
      <c r="H148" s="265" t="str">
        <f>IF($B148="","",COUNTIF(June[Resident Name],$B148))</f>
        <v/>
      </c>
      <c r="I148" s="265" t="str">
        <f>IF($B148="","",COUNTIF(July[Resident Name],$B148))</f>
        <v/>
      </c>
      <c r="J148" s="265" t="str">
        <f>IF($B148="","",COUNTIF(Aug[Resident Name],$B148))</f>
        <v/>
      </c>
      <c r="K148" s="265" t="str">
        <f>IF($B148="","",COUNTIF(Sept[Resident Name],$B148))</f>
        <v/>
      </c>
      <c r="L148" s="265" t="str">
        <f>IF($B148="","",COUNTIF(Oct[Resident Name],$B148))</f>
        <v/>
      </c>
      <c r="M148" s="265" t="str">
        <f>IF($B148="","",COUNTIF(Nov[Resident Name],$B148))</f>
        <v/>
      </c>
      <c r="N148" s="265" t="str">
        <f>IF($B148="","",COUNTIF(Dec[Resident Name],$B148))</f>
        <v/>
      </c>
      <c r="O148" s="265" t="str">
        <f t="shared" si="5"/>
        <v/>
      </c>
      <c r="P148" s="11"/>
      <c r="R148" s="160" t="str">
        <f>IFERROR(INDEX($B$5:$B$172,MATCH(ROWS($R$5:R148),$X$5:$X$172,0)),"")</f>
        <v/>
      </c>
      <c r="S148" s="76" t="str">
        <f>IF($R148="","",INDEX($O$5:$O$172,MATCH(ROWS($R$5:R148),$X$5:$X$172,0)))</f>
        <v/>
      </c>
      <c r="U148" s="160" t="str">
        <f>IFERROR(INDEX($Z$5:$Z$448,MATCH(ROWS($U$5:U148),$AA$5:$AA$448,0)),"")</f>
        <v/>
      </c>
      <c r="V148" s="274" t="str">
        <f>IF(Apr!C36="","",Apr!C36)</f>
        <v/>
      </c>
      <c r="W148" s="274" t="str" cm="1">
        <f t="array" ref="W148">IF(V148="","",IF(COUNTIF($V$5:V148,V148)&gt;1,"",ROUND(1+SUMPRODUCT(($V$5:$V$448&lt;&gt;"")*($V$5:$V$448&lt;V148)/COUNTIF($V$5:$V$448,$V$5:$V$448&amp;"")),0)))</f>
        <v/>
      </c>
      <c r="X148" s="274" t="str">
        <f t="shared" si="6"/>
        <v/>
      </c>
      <c r="Z148" s="274" t="str">
        <f>IF(Apr!H36="Major Injury",Apr!C36,"")</f>
        <v/>
      </c>
      <c r="AA148" s="274" t="str" cm="1">
        <f t="array" ref="AA148">IF(Z148="","",IF(COUNTIF($Z$5:Z148,Z148)&gt;1,"",ROUND(1+SUMPRODUCT(($Z$5:$Z$448&lt;&gt;"")*($Z$5:$Z$448&lt;Z148)/COUNTIF($Z$5:$Z$448,$Z$5:$Z$448&amp;"")),0)))</f>
        <v/>
      </c>
    </row>
    <row r="149" spans="2:27" x14ac:dyDescent="0.25">
      <c r="B149" s="160" t="str">
        <f>IFERROR(INDEX($V$5:$V$448,MATCH(ROWS($B$5:B149),$W$5:$W$448,0)),"")</f>
        <v/>
      </c>
      <c r="C149" s="265" t="str">
        <f>IF($B149="","",COUNTIF(Jan[Resident Name],$B149))</f>
        <v/>
      </c>
      <c r="D149" s="265" t="str">
        <f>IF($B149="","",COUNTIF(Feb[Resident Name],$B149))</f>
        <v/>
      </c>
      <c r="E149" s="265" t="str">
        <f>IF($B149="","",COUNTIF(Mar[Resident Name],$B149))</f>
        <v/>
      </c>
      <c r="F149" s="265" t="str">
        <f>IF($B149="","",COUNTIF(Apr[Resident Name],$B149))</f>
        <v/>
      </c>
      <c r="G149" s="265" t="str">
        <f>IF($B149="","",COUNTIF(May[Resident Name],$B149))</f>
        <v/>
      </c>
      <c r="H149" s="265" t="str">
        <f>IF($B149="","",COUNTIF(June[Resident Name],$B149))</f>
        <v/>
      </c>
      <c r="I149" s="265" t="str">
        <f>IF($B149="","",COUNTIF(July[Resident Name],$B149))</f>
        <v/>
      </c>
      <c r="J149" s="265" t="str">
        <f>IF($B149="","",COUNTIF(Aug[Resident Name],$B149))</f>
        <v/>
      </c>
      <c r="K149" s="265" t="str">
        <f>IF($B149="","",COUNTIF(Sept[Resident Name],$B149))</f>
        <v/>
      </c>
      <c r="L149" s="265" t="str">
        <f>IF($B149="","",COUNTIF(Oct[Resident Name],$B149))</f>
        <v/>
      </c>
      <c r="M149" s="265" t="str">
        <f>IF($B149="","",COUNTIF(Nov[Resident Name],$B149))</f>
        <v/>
      </c>
      <c r="N149" s="265" t="str">
        <f>IF($B149="","",COUNTIF(Dec[Resident Name],$B149))</f>
        <v/>
      </c>
      <c r="O149" s="265" t="str">
        <f t="shared" si="5"/>
        <v/>
      </c>
      <c r="P149" s="11"/>
      <c r="R149" s="160" t="str">
        <f>IFERROR(INDEX($B$5:$B$172,MATCH(ROWS($R$5:R149),$X$5:$X$172,0)),"")</f>
        <v/>
      </c>
      <c r="S149" s="76" t="str">
        <f>IF($R149="","",INDEX($O$5:$O$172,MATCH(ROWS($R$5:R149),$X$5:$X$172,0)))</f>
        <v/>
      </c>
      <c r="U149" s="160" t="str">
        <f>IFERROR(INDEX($Z$5:$Z$448,MATCH(ROWS($U$5:U149),$AA$5:$AA$448,0)),"")</f>
        <v/>
      </c>
      <c r="V149" s="274" t="str">
        <f>IF(Apr!C37="","",Apr!C37)</f>
        <v/>
      </c>
      <c r="W149" s="274" t="str" cm="1">
        <f t="array" ref="W149">IF(V149="","",IF(COUNTIF($V$5:V149,V149)&gt;1,"",ROUND(1+SUMPRODUCT(($V$5:$V$448&lt;&gt;"")*($V$5:$V$448&lt;V149)/COUNTIF($V$5:$V$448,$V$5:$V$448&amp;"")),0)))</f>
        <v/>
      </c>
      <c r="X149" s="274" t="str">
        <f t="shared" si="6"/>
        <v/>
      </c>
      <c r="Z149" s="274" t="str">
        <f>IF(Apr!H37="Major Injury",Apr!C37,"")</f>
        <v/>
      </c>
      <c r="AA149" s="274" t="str" cm="1">
        <f t="array" ref="AA149">IF(Z149="","",IF(COUNTIF($Z$5:Z149,Z149)&gt;1,"",ROUND(1+SUMPRODUCT(($Z$5:$Z$448&lt;&gt;"")*($Z$5:$Z$448&lt;Z149)/COUNTIF($Z$5:$Z$448,$Z$5:$Z$448&amp;"")),0)))</f>
        <v/>
      </c>
    </row>
    <row r="150" spans="2:27" x14ac:dyDescent="0.25">
      <c r="B150" s="160" t="str">
        <f>IFERROR(INDEX($V$5:$V$448,MATCH(ROWS($B$5:B150),$W$5:$W$448,0)),"")</f>
        <v/>
      </c>
      <c r="C150" s="265" t="str">
        <f>IF($B150="","",COUNTIF(Jan[Resident Name],$B150))</f>
        <v/>
      </c>
      <c r="D150" s="265" t="str">
        <f>IF($B150="","",COUNTIF(Feb[Resident Name],$B150))</f>
        <v/>
      </c>
      <c r="E150" s="265" t="str">
        <f>IF($B150="","",COUNTIF(Mar[Resident Name],$B150))</f>
        <v/>
      </c>
      <c r="F150" s="265" t="str">
        <f>IF($B150="","",COUNTIF(Apr[Resident Name],$B150))</f>
        <v/>
      </c>
      <c r="G150" s="265" t="str">
        <f>IF($B150="","",COUNTIF(May[Resident Name],$B150))</f>
        <v/>
      </c>
      <c r="H150" s="265" t="str">
        <f>IF($B150="","",COUNTIF(June[Resident Name],$B150))</f>
        <v/>
      </c>
      <c r="I150" s="265" t="str">
        <f>IF($B150="","",COUNTIF(July[Resident Name],$B150))</f>
        <v/>
      </c>
      <c r="J150" s="265" t="str">
        <f>IF($B150="","",COUNTIF(Aug[Resident Name],$B150))</f>
        <v/>
      </c>
      <c r="K150" s="265" t="str">
        <f>IF($B150="","",COUNTIF(Sept[Resident Name],$B150))</f>
        <v/>
      </c>
      <c r="L150" s="265" t="str">
        <f>IF($B150="","",COUNTIF(Oct[Resident Name],$B150))</f>
        <v/>
      </c>
      <c r="M150" s="265" t="str">
        <f>IF($B150="","",COUNTIF(Nov[Resident Name],$B150))</f>
        <v/>
      </c>
      <c r="N150" s="265" t="str">
        <f>IF($B150="","",COUNTIF(Dec[Resident Name],$B150))</f>
        <v/>
      </c>
      <c r="O150" s="265" t="str">
        <f t="shared" si="5"/>
        <v/>
      </c>
      <c r="P150" s="11"/>
      <c r="R150" s="160" t="str">
        <f>IFERROR(INDEX($B$5:$B$172,MATCH(ROWS($R$5:R150),$X$5:$X$172,0)),"")</f>
        <v/>
      </c>
      <c r="S150" s="76" t="str">
        <f>IF($R150="","",INDEX($O$5:$O$172,MATCH(ROWS($R$5:R150),$X$5:$X$172,0)))</f>
        <v/>
      </c>
      <c r="U150" s="160" t="str">
        <f>IFERROR(INDEX($Z$5:$Z$448,MATCH(ROWS($U$5:U150),$AA$5:$AA$448,0)),"")</f>
        <v/>
      </c>
      <c r="V150" s="274" t="str">
        <f>IF(Apr!C38="","",Apr!C38)</f>
        <v/>
      </c>
      <c r="W150" s="274" t="str" cm="1">
        <f t="array" ref="W150">IF(V150="","",IF(COUNTIF($V$5:V150,V150)&gt;1,"",ROUND(1+SUMPRODUCT(($V$5:$V$448&lt;&gt;"")*($V$5:$V$448&lt;V150)/COUNTIF($V$5:$V$448,$V$5:$V$448&amp;"")),0)))</f>
        <v/>
      </c>
      <c r="X150" s="274" t="str">
        <f t="shared" si="6"/>
        <v/>
      </c>
      <c r="Z150" s="274" t="str">
        <f>IF(Apr!H38="Major Injury",Apr!C38,"")</f>
        <v/>
      </c>
      <c r="AA150" s="274" t="str" cm="1">
        <f t="array" ref="AA150">IF(Z150="","",IF(COUNTIF($Z$5:Z150,Z150)&gt;1,"",ROUND(1+SUMPRODUCT(($Z$5:$Z$448&lt;&gt;"")*($Z$5:$Z$448&lt;Z150)/COUNTIF($Z$5:$Z$448,$Z$5:$Z$448&amp;"")),0)))</f>
        <v/>
      </c>
    </row>
    <row r="151" spans="2:27" x14ac:dyDescent="0.25">
      <c r="B151" s="160" t="str">
        <f>IFERROR(INDEX($V$5:$V$448,MATCH(ROWS($B$5:B151),$W$5:$W$448,0)),"")</f>
        <v/>
      </c>
      <c r="C151" s="265" t="str">
        <f>IF($B151="","",COUNTIF(Jan[Resident Name],$B151))</f>
        <v/>
      </c>
      <c r="D151" s="265" t="str">
        <f>IF($B151="","",COUNTIF(Feb[Resident Name],$B151))</f>
        <v/>
      </c>
      <c r="E151" s="265" t="str">
        <f>IF($B151="","",COUNTIF(Mar[Resident Name],$B151))</f>
        <v/>
      </c>
      <c r="F151" s="265" t="str">
        <f>IF($B151="","",COUNTIF(Apr[Resident Name],$B151))</f>
        <v/>
      </c>
      <c r="G151" s="265" t="str">
        <f>IF($B151="","",COUNTIF(May[Resident Name],$B151))</f>
        <v/>
      </c>
      <c r="H151" s="265" t="str">
        <f>IF($B151="","",COUNTIF(June[Resident Name],$B151))</f>
        <v/>
      </c>
      <c r="I151" s="265" t="str">
        <f>IF($B151="","",COUNTIF(July[Resident Name],$B151))</f>
        <v/>
      </c>
      <c r="J151" s="265" t="str">
        <f>IF($B151="","",COUNTIF(Aug[Resident Name],$B151))</f>
        <v/>
      </c>
      <c r="K151" s="265" t="str">
        <f>IF($B151="","",COUNTIF(Sept[Resident Name],$B151))</f>
        <v/>
      </c>
      <c r="L151" s="265" t="str">
        <f>IF($B151="","",COUNTIF(Oct[Resident Name],$B151))</f>
        <v/>
      </c>
      <c r="M151" s="265" t="str">
        <f>IF($B151="","",COUNTIF(Nov[Resident Name],$B151))</f>
        <v/>
      </c>
      <c r="N151" s="265" t="str">
        <f>IF($B151="","",COUNTIF(Dec[Resident Name],$B151))</f>
        <v/>
      </c>
      <c r="O151" s="265" t="str">
        <f t="shared" si="5"/>
        <v/>
      </c>
      <c r="P151" s="11"/>
      <c r="R151" s="160" t="str">
        <f>IFERROR(INDEX($B$5:$B$172,MATCH(ROWS($R$5:R151),$X$5:$X$172,0)),"")</f>
        <v/>
      </c>
      <c r="S151" s="76" t="str">
        <f>IF($R151="","",INDEX($O$5:$O$172,MATCH(ROWS($R$5:R151),$X$5:$X$172,0)))</f>
        <v/>
      </c>
      <c r="U151" s="160" t="str">
        <f>IFERROR(INDEX($Z$5:$Z$448,MATCH(ROWS($U$5:U151),$AA$5:$AA$448,0)),"")</f>
        <v/>
      </c>
      <c r="V151" s="274" t="str">
        <f>IF(Apr!C39="","",Apr!C39)</f>
        <v/>
      </c>
      <c r="W151" s="274" t="str" cm="1">
        <f t="array" ref="W151">IF(V151="","",IF(COUNTIF($V$5:V151,V151)&gt;1,"",ROUND(1+SUMPRODUCT(($V$5:$V$448&lt;&gt;"")*($V$5:$V$448&lt;V151)/COUNTIF($V$5:$V$448,$V$5:$V$448&amp;"")),0)))</f>
        <v/>
      </c>
      <c r="X151" s="274" t="str">
        <f t="shared" si="6"/>
        <v/>
      </c>
      <c r="Z151" s="274" t="str">
        <f>IF(Apr!H39="Major Injury",Apr!C39,"")</f>
        <v/>
      </c>
      <c r="AA151" s="274" t="str" cm="1">
        <f t="array" ref="AA151">IF(Z151="","",IF(COUNTIF($Z$5:Z151,Z151)&gt;1,"",ROUND(1+SUMPRODUCT(($Z$5:$Z$448&lt;&gt;"")*($Z$5:$Z$448&lt;Z151)/COUNTIF($Z$5:$Z$448,$Z$5:$Z$448&amp;"")),0)))</f>
        <v/>
      </c>
    </row>
    <row r="152" spans="2:27" x14ac:dyDescent="0.25">
      <c r="B152" s="160" t="str">
        <f>IFERROR(INDEX($V$5:$V$448,MATCH(ROWS($B$5:B152),$W$5:$W$448,0)),"")</f>
        <v/>
      </c>
      <c r="C152" s="265" t="str">
        <f>IF($B152="","",COUNTIF(Jan[Resident Name],$B152))</f>
        <v/>
      </c>
      <c r="D152" s="265" t="str">
        <f>IF($B152="","",COUNTIF(Feb[Resident Name],$B152))</f>
        <v/>
      </c>
      <c r="E152" s="265" t="str">
        <f>IF($B152="","",COUNTIF(Mar[Resident Name],$B152))</f>
        <v/>
      </c>
      <c r="F152" s="265" t="str">
        <f>IF($B152="","",COUNTIF(Apr[Resident Name],$B152))</f>
        <v/>
      </c>
      <c r="G152" s="265" t="str">
        <f>IF($B152="","",COUNTIF(May[Resident Name],$B152))</f>
        <v/>
      </c>
      <c r="H152" s="265" t="str">
        <f>IF($B152="","",COUNTIF(June[Resident Name],$B152))</f>
        <v/>
      </c>
      <c r="I152" s="265" t="str">
        <f>IF($B152="","",COUNTIF(July[Resident Name],$B152))</f>
        <v/>
      </c>
      <c r="J152" s="265" t="str">
        <f>IF($B152="","",COUNTIF(Aug[Resident Name],$B152))</f>
        <v/>
      </c>
      <c r="K152" s="265" t="str">
        <f>IF($B152="","",COUNTIF(Sept[Resident Name],$B152))</f>
        <v/>
      </c>
      <c r="L152" s="265" t="str">
        <f>IF($B152="","",COUNTIF(Oct[Resident Name],$B152))</f>
        <v/>
      </c>
      <c r="M152" s="265" t="str">
        <f>IF($B152="","",COUNTIF(Nov[Resident Name],$B152))</f>
        <v/>
      </c>
      <c r="N152" s="265" t="str">
        <f>IF($B152="","",COUNTIF(Dec[Resident Name],$B152))</f>
        <v/>
      </c>
      <c r="O152" s="265" t="str">
        <f t="shared" si="5"/>
        <v/>
      </c>
      <c r="P152" s="11"/>
      <c r="R152" s="160" t="str">
        <f>IFERROR(INDEX($B$5:$B$172,MATCH(ROWS($R$5:R152),$X$5:$X$172,0)),"")</f>
        <v/>
      </c>
      <c r="S152" s="76" t="str">
        <f>IF($R152="","",INDEX($O$5:$O$172,MATCH(ROWS($R$5:R152),$X$5:$X$172,0)))</f>
        <v/>
      </c>
      <c r="U152" s="160" t="str">
        <f>IFERROR(INDEX($Z$5:$Z$448,MATCH(ROWS($U$5:U152),$AA$5:$AA$448,0)),"")</f>
        <v/>
      </c>
      <c r="V152" s="274" t="str">
        <f>IF(Apr!C40="","",Apr!C40)</f>
        <v/>
      </c>
      <c r="W152" s="274" t="str" cm="1">
        <f t="array" ref="W152">IF(V152="","",IF(COUNTIF($V$5:V152,V152)&gt;1,"",ROUND(1+SUMPRODUCT(($V$5:$V$448&lt;&gt;"")*($V$5:$V$448&lt;V152)/COUNTIF($V$5:$V$448,$V$5:$V$448&amp;"")),0)))</f>
        <v/>
      </c>
      <c r="X152" s="274" t="str">
        <f t="shared" si="6"/>
        <v/>
      </c>
      <c r="Z152" s="274" t="str">
        <f>IF(Apr!H40="Major Injury",Apr!C40,"")</f>
        <v/>
      </c>
      <c r="AA152" s="274" t="str" cm="1">
        <f t="array" ref="AA152">IF(Z152="","",IF(COUNTIF($Z$5:Z152,Z152)&gt;1,"",ROUND(1+SUMPRODUCT(($Z$5:$Z$448&lt;&gt;"")*($Z$5:$Z$448&lt;Z152)/COUNTIF($Z$5:$Z$448,$Z$5:$Z$448&amp;"")),0)))</f>
        <v/>
      </c>
    </row>
    <row r="153" spans="2:27" x14ac:dyDescent="0.25">
      <c r="B153" s="160" t="str">
        <f>IFERROR(INDEX($V$5:$V$448,MATCH(ROWS($B$5:B153),$W$5:$W$448,0)),"")</f>
        <v/>
      </c>
      <c r="C153" s="265" t="str">
        <f>IF($B153="","",COUNTIF(Jan[Resident Name],$B153))</f>
        <v/>
      </c>
      <c r="D153" s="265" t="str">
        <f>IF($B153="","",COUNTIF(Feb[Resident Name],$B153))</f>
        <v/>
      </c>
      <c r="E153" s="265" t="str">
        <f>IF($B153="","",COUNTIF(Mar[Resident Name],$B153))</f>
        <v/>
      </c>
      <c r="F153" s="265" t="str">
        <f>IF($B153="","",COUNTIF(Apr[Resident Name],$B153))</f>
        <v/>
      </c>
      <c r="G153" s="265" t="str">
        <f>IF($B153="","",COUNTIF(May[Resident Name],$B153))</f>
        <v/>
      </c>
      <c r="H153" s="265" t="str">
        <f>IF($B153="","",COUNTIF(June[Resident Name],$B153))</f>
        <v/>
      </c>
      <c r="I153" s="265" t="str">
        <f>IF($B153="","",COUNTIF(July[Resident Name],$B153))</f>
        <v/>
      </c>
      <c r="J153" s="265" t="str">
        <f>IF($B153="","",COUNTIF(Aug[Resident Name],$B153))</f>
        <v/>
      </c>
      <c r="K153" s="265" t="str">
        <f>IF($B153="","",COUNTIF(Sept[Resident Name],$B153))</f>
        <v/>
      </c>
      <c r="L153" s="265" t="str">
        <f>IF($B153="","",COUNTIF(Oct[Resident Name],$B153))</f>
        <v/>
      </c>
      <c r="M153" s="265" t="str">
        <f>IF($B153="","",COUNTIF(Nov[Resident Name],$B153))</f>
        <v/>
      </c>
      <c r="N153" s="265" t="str">
        <f>IF($B153="","",COUNTIF(Dec[Resident Name],$B153))</f>
        <v/>
      </c>
      <c r="O153" s="265" t="str">
        <f t="shared" si="5"/>
        <v/>
      </c>
      <c r="P153" s="11"/>
      <c r="R153" s="160" t="str">
        <f>IFERROR(INDEX($B$5:$B$172,MATCH(ROWS($R$5:R153),$X$5:$X$172,0)),"")</f>
        <v/>
      </c>
      <c r="S153" s="76" t="str">
        <f>IF($R153="","",INDEX($O$5:$O$172,MATCH(ROWS($R$5:R153),$X$5:$X$172,0)))</f>
        <v/>
      </c>
      <c r="U153" s="160" t="str">
        <f>IFERROR(INDEX($Z$5:$Z$448,MATCH(ROWS($U$5:U153),$AA$5:$AA$448,0)),"")</f>
        <v/>
      </c>
      <c r="V153" s="274" t="str">
        <f>IF(May!C4="","",May!C4)</f>
        <v/>
      </c>
      <c r="W153" s="274" t="str" cm="1">
        <f t="array" ref="W153">IF(V153="","",IF(COUNTIF($V$5:V153,V153)&gt;1,"",ROUND(1+SUMPRODUCT(($V$5:$V$448&lt;&gt;"")*($V$5:$V$448&lt;V153)/COUNTIF($V$5:$V$448,$V$5:$V$448&amp;"")),0)))</f>
        <v/>
      </c>
      <c r="X153" s="274" t="str">
        <f t="shared" si="6"/>
        <v/>
      </c>
      <c r="Z153" s="274" t="str">
        <f>IF(May!H4="Major Injury",May!C4,"")</f>
        <v/>
      </c>
      <c r="AA153" s="274" t="str" cm="1">
        <f t="array" ref="AA153">IF(Z153="","",IF(COUNTIF($Z$5:Z153,Z153)&gt;1,"",ROUND(1+SUMPRODUCT(($Z$5:$Z$448&lt;&gt;"")*($Z$5:$Z$448&lt;Z153)/COUNTIF($Z$5:$Z$448,$Z$5:$Z$448&amp;"")),0)))</f>
        <v/>
      </c>
    </row>
    <row r="154" spans="2:27" x14ac:dyDescent="0.25">
      <c r="B154" s="160" t="str">
        <f>IFERROR(INDEX($V$5:$V$448,MATCH(ROWS($B$5:B154),$W$5:$W$448,0)),"")</f>
        <v/>
      </c>
      <c r="C154" s="265" t="str">
        <f>IF($B154="","",COUNTIF(Jan[Resident Name],$B154))</f>
        <v/>
      </c>
      <c r="D154" s="265" t="str">
        <f>IF($B154="","",COUNTIF(Feb[Resident Name],$B154))</f>
        <v/>
      </c>
      <c r="E154" s="265" t="str">
        <f>IF($B154="","",COUNTIF(Mar[Resident Name],$B154))</f>
        <v/>
      </c>
      <c r="F154" s="265" t="str">
        <f>IF($B154="","",COUNTIF(Apr[Resident Name],$B154))</f>
        <v/>
      </c>
      <c r="G154" s="265" t="str">
        <f>IF($B154="","",COUNTIF(May[Resident Name],$B154))</f>
        <v/>
      </c>
      <c r="H154" s="265" t="str">
        <f>IF($B154="","",COUNTIF(June[Resident Name],$B154))</f>
        <v/>
      </c>
      <c r="I154" s="265" t="str">
        <f>IF($B154="","",COUNTIF(July[Resident Name],$B154))</f>
        <v/>
      </c>
      <c r="J154" s="265" t="str">
        <f>IF($B154="","",COUNTIF(Aug[Resident Name],$B154))</f>
        <v/>
      </c>
      <c r="K154" s="265" t="str">
        <f>IF($B154="","",COUNTIF(Sept[Resident Name],$B154))</f>
        <v/>
      </c>
      <c r="L154" s="265" t="str">
        <f>IF($B154="","",COUNTIF(Oct[Resident Name],$B154))</f>
        <v/>
      </c>
      <c r="M154" s="265" t="str">
        <f>IF($B154="","",COUNTIF(Nov[Resident Name],$B154))</f>
        <v/>
      </c>
      <c r="N154" s="265" t="str">
        <f>IF($B154="","",COUNTIF(Dec[Resident Name],$B154))</f>
        <v/>
      </c>
      <c r="O154" s="265" t="str">
        <f t="shared" si="5"/>
        <v/>
      </c>
      <c r="P154" s="11"/>
      <c r="R154" s="160" t="str">
        <f>IFERROR(INDEX($B$5:$B$172,MATCH(ROWS($R$5:R154),$X$5:$X$172,0)),"")</f>
        <v/>
      </c>
      <c r="S154" s="76" t="str">
        <f>IF($R154="","",INDEX($O$5:$O$172,MATCH(ROWS($R$5:R154),$X$5:$X$172,0)))</f>
        <v/>
      </c>
      <c r="U154" s="160" t="str">
        <f>IFERROR(INDEX($Z$5:$Z$448,MATCH(ROWS($U$5:U154),$AA$5:$AA$448,0)),"")</f>
        <v/>
      </c>
      <c r="V154" s="274" t="str">
        <f>IF(May!C5="","",May!C5)</f>
        <v/>
      </c>
      <c r="W154" s="274" t="str" cm="1">
        <f t="array" ref="W154">IF(V154="","",IF(COUNTIF($V$5:V154,V154)&gt;1,"",ROUND(1+SUMPRODUCT(($V$5:$V$448&lt;&gt;"")*($V$5:$V$448&lt;V154)/COUNTIF($V$5:$V$448,$V$5:$V$448&amp;"")),0)))</f>
        <v/>
      </c>
      <c r="X154" s="274" t="str">
        <f t="shared" si="6"/>
        <v/>
      </c>
      <c r="Z154" s="274" t="str">
        <f>IF(May!H5="Major Injury",May!C5,"")</f>
        <v/>
      </c>
      <c r="AA154" s="274" t="str" cm="1">
        <f t="array" ref="AA154">IF(Z154="","",IF(COUNTIF($Z$5:Z154,Z154)&gt;1,"",ROUND(1+SUMPRODUCT(($Z$5:$Z$448&lt;&gt;"")*($Z$5:$Z$448&lt;Z154)/COUNTIF($Z$5:$Z$448,$Z$5:$Z$448&amp;"")),0)))</f>
        <v/>
      </c>
    </row>
    <row r="155" spans="2:27" x14ac:dyDescent="0.25">
      <c r="B155" s="160" t="str">
        <f>IFERROR(INDEX($V$5:$V$448,MATCH(ROWS($B$5:B155),$W$5:$W$448,0)),"")</f>
        <v/>
      </c>
      <c r="C155" s="265" t="str">
        <f>IF($B155="","",COUNTIF(Jan[Resident Name],$B155))</f>
        <v/>
      </c>
      <c r="D155" s="265" t="str">
        <f>IF($B155="","",COUNTIF(Feb[Resident Name],$B155))</f>
        <v/>
      </c>
      <c r="E155" s="265" t="str">
        <f>IF($B155="","",COUNTIF(Mar[Resident Name],$B155))</f>
        <v/>
      </c>
      <c r="F155" s="265" t="str">
        <f>IF($B155="","",COUNTIF(Apr[Resident Name],$B155))</f>
        <v/>
      </c>
      <c r="G155" s="265" t="str">
        <f>IF($B155="","",COUNTIF(May[Resident Name],$B155))</f>
        <v/>
      </c>
      <c r="H155" s="265" t="str">
        <f>IF($B155="","",COUNTIF(June[Resident Name],$B155))</f>
        <v/>
      </c>
      <c r="I155" s="265" t="str">
        <f>IF($B155="","",COUNTIF(July[Resident Name],$B155))</f>
        <v/>
      </c>
      <c r="J155" s="265" t="str">
        <f>IF($B155="","",COUNTIF(Aug[Resident Name],$B155))</f>
        <v/>
      </c>
      <c r="K155" s="265" t="str">
        <f>IF($B155="","",COUNTIF(Sept[Resident Name],$B155))</f>
        <v/>
      </c>
      <c r="L155" s="265" t="str">
        <f>IF($B155="","",COUNTIF(Oct[Resident Name],$B155))</f>
        <v/>
      </c>
      <c r="M155" s="265" t="str">
        <f>IF($B155="","",COUNTIF(Nov[Resident Name],$B155))</f>
        <v/>
      </c>
      <c r="N155" s="265" t="str">
        <f>IF($B155="","",COUNTIF(Dec[Resident Name],$B155))</f>
        <v/>
      </c>
      <c r="O155" s="265" t="str">
        <f t="shared" si="5"/>
        <v/>
      </c>
      <c r="P155" s="11"/>
      <c r="R155" s="160" t="str">
        <f>IFERROR(INDEX($B$5:$B$172,MATCH(ROWS($R$5:R155),$X$5:$X$172,0)),"")</f>
        <v/>
      </c>
      <c r="S155" s="76" t="str">
        <f>IF($R155="","",INDEX($O$5:$O$172,MATCH(ROWS($R$5:R155),$X$5:$X$172,0)))</f>
        <v/>
      </c>
      <c r="U155" s="160" t="str">
        <f>IFERROR(INDEX($Z$5:$Z$448,MATCH(ROWS($U$5:U155),$AA$5:$AA$448,0)),"")</f>
        <v/>
      </c>
      <c r="V155" s="274" t="str">
        <f>IF(May!C6="","",May!C6)</f>
        <v/>
      </c>
      <c r="W155" s="274" t="str" cm="1">
        <f t="array" ref="W155">IF(V155="","",IF(COUNTIF($V$5:V155,V155)&gt;1,"",ROUND(1+SUMPRODUCT(($V$5:$V$448&lt;&gt;"")*($V$5:$V$448&lt;V155)/COUNTIF($V$5:$V$448,$V$5:$V$448&amp;"")),0)))</f>
        <v/>
      </c>
      <c r="X155" s="274" t="str">
        <f t="shared" si="6"/>
        <v/>
      </c>
      <c r="Z155" s="274" t="str">
        <f>IF(May!H6="Major Injury",May!C6,"")</f>
        <v/>
      </c>
      <c r="AA155" s="274" t="str" cm="1">
        <f t="array" ref="AA155">IF(Z155="","",IF(COUNTIF($Z$5:Z155,Z155)&gt;1,"",ROUND(1+SUMPRODUCT(($Z$5:$Z$448&lt;&gt;"")*($Z$5:$Z$448&lt;Z155)/COUNTIF($Z$5:$Z$448,$Z$5:$Z$448&amp;"")),0)))</f>
        <v/>
      </c>
    </row>
    <row r="156" spans="2:27" x14ac:dyDescent="0.25">
      <c r="B156" s="160" t="str">
        <f>IFERROR(INDEX($V$5:$V$448,MATCH(ROWS($B$5:B156),$W$5:$W$448,0)),"")</f>
        <v/>
      </c>
      <c r="C156" s="265" t="str">
        <f>IF($B156="","",COUNTIF(Jan[Resident Name],$B156))</f>
        <v/>
      </c>
      <c r="D156" s="265" t="str">
        <f>IF($B156="","",COUNTIF(Feb[Resident Name],$B156))</f>
        <v/>
      </c>
      <c r="E156" s="265" t="str">
        <f>IF($B156="","",COUNTIF(Mar[Resident Name],$B156))</f>
        <v/>
      </c>
      <c r="F156" s="265" t="str">
        <f>IF($B156="","",COUNTIF(Apr[Resident Name],$B156))</f>
        <v/>
      </c>
      <c r="G156" s="265" t="str">
        <f>IF($B156="","",COUNTIF(May[Resident Name],$B156))</f>
        <v/>
      </c>
      <c r="H156" s="265" t="str">
        <f>IF($B156="","",COUNTIF(June[Resident Name],$B156))</f>
        <v/>
      </c>
      <c r="I156" s="265" t="str">
        <f>IF($B156="","",COUNTIF(July[Resident Name],$B156))</f>
        <v/>
      </c>
      <c r="J156" s="265" t="str">
        <f>IF($B156="","",COUNTIF(Aug[Resident Name],$B156))</f>
        <v/>
      </c>
      <c r="K156" s="265" t="str">
        <f>IF($B156="","",COUNTIF(Sept[Resident Name],$B156))</f>
        <v/>
      </c>
      <c r="L156" s="265" t="str">
        <f>IF($B156="","",COUNTIF(Oct[Resident Name],$B156))</f>
        <v/>
      </c>
      <c r="M156" s="265" t="str">
        <f>IF($B156="","",COUNTIF(Nov[Resident Name],$B156))</f>
        <v/>
      </c>
      <c r="N156" s="265" t="str">
        <f>IF($B156="","",COUNTIF(Dec[Resident Name],$B156))</f>
        <v/>
      </c>
      <c r="O156" s="265" t="str">
        <f t="shared" si="5"/>
        <v/>
      </c>
      <c r="P156" s="11"/>
      <c r="R156" s="160" t="str">
        <f>IFERROR(INDEX($B$5:$B$172,MATCH(ROWS($R$5:R156),$X$5:$X$172,0)),"")</f>
        <v/>
      </c>
      <c r="S156" s="76" t="str">
        <f>IF($R156="","",INDEX($O$5:$O$172,MATCH(ROWS($R$5:R156),$X$5:$X$172,0)))</f>
        <v/>
      </c>
      <c r="U156" s="160" t="str">
        <f>IFERROR(INDEX($Z$5:$Z$448,MATCH(ROWS($U$5:U156),$AA$5:$AA$448,0)),"")</f>
        <v/>
      </c>
      <c r="V156" s="274" t="str">
        <f>IF(May!C7="","",May!C7)</f>
        <v/>
      </c>
      <c r="W156" s="274" t="str" cm="1">
        <f t="array" ref="W156">IF(V156="","",IF(COUNTIF($V$5:V156,V156)&gt;1,"",ROUND(1+SUMPRODUCT(($V$5:$V$448&lt;&gt;"")*($V$5:$V$448&lt;V156)/COUNTIF($V$5:$V$448,$V$5:$V$448&amp;"")),0)))</f>
        <v/>
      </c>
      <c r="X156" s="274" t="str">
        <f t="shared" si="6"/>
        <v/>
      </c>
      <c r="Z156" s="274" t="str">
        <f>IF(May!H7="Major Injury",May!C7,"")</f>
        <v/>
      </c>
      <c r="AA156" s="274" t="str" cm="1">
        <f t="array" ref="AA156">IF(Z156="","",IF(COUNTIF($Z$5:Z156,Z156)&gt;1,"",ROUND(1+SUMPRODUCT(($Z$5:$Z$448&lt;&gt;"")*($Z$5:$Z$448&lt;Z156)/COUNTIF($Z$5:$Z$448,$Z$5:$Z$448&amp;"")),0)))</f>
        <v/>
      </c>
    </row>
    <row r="157" spans="2:27" x14ac:dyDescent="0.25">
      <c r="B157" s="160" t="str">
        <f>IFERROR(INDEX($V$5:$V$448,MATCH(ROWS($B$5:B157),$W$5:$W$448,0)),"")</f>
        <v/>
      </c>
      <c r="C157" s="265" t="str">
        <f>IF($B157="","",COUNTIF(Jan[Resident Name],$B157))</f>
        <v/>
      </c>
      <c r="D157" s="265" t="str">
        <f>IF($B157="","",COUNTIF(Feb[Resident Name],$B157))</f>
        <v/>
      </c>
      <c r="E157" s="265" t="str">
        <f>IF($B157="","",COUNTIF(Mar[Resident Name],$B157))</f>
        <v/>
      </c>
      <c r="F157" s="265" t="str">
        <f>IF($B157="","",COUNTIF(Apr[Resident Name],$B157))</f>
        <v/>
      </c>
      <c r="G157" s="265" t="str">
        <f>IF($B157="","",COUNTIF(May[Resident Name],$B157))</f>
        <v/>
      </c>
      <c r="H157" s="265" t="str">
        <f>IF($B157="","",COUNTIF(June[Resident Name],$B157))</f>
        <v/>
      </c>
      <c r="I157" s="265" t="str">
        <f>IF($B157="","",COUNTIF(July[Resident Name],$B157))</f>
        <v/>
      </c>
      <c r="J157" s="265" t="str">
        <f>IF($B157="","",COUNTIF(Aug[Resident Name],$B157))</f>
        <v/>
      </c>
      <c r="K157" s="265" t="str">
        <f>IF($B157="","",COUNTIF(Sept[Resident Name],$B157))</f>
        <v/>
      </c>
      <c r="L157" s="265" t="str">
        <f>IF($B157="","",COUNTIF(Oct[Resident Name],$B157))</f>
        <v/>
      </c>
      <c r="M157" s="265" t="str">
        <f>IF($B157="","",COUNTIF(Nov[Resident Name],$B157))</f>
        <v/>
      </c>
      <c r="N157" s="265" t="str">
        <f>IF($B157="","",COUNTIF(Dec[Resident Name],$B157))</f>
        <v/>
      </c>
      <c r="O157" s="265" t="str">
        <f t="shared" si="5"/>
        <v/>
      </c>
      <c r="P157" s="11"/>
      <c r="R157" s="160" t="str">
        <f>IFERROR(INDEX($B$5:$B$172,MATCH(ROWS($R$5:R157),$X$5:$X$172,0)),"")</f>
        <v/>
      </c>
      <c r="S157" s="76" t="str">
        <f>IF($R157="","",INDEX($O$5:$O$172,MATCH(ROWS($R$5:R157),$X$5:$X$172,0)))</f>
        <v/>
      </c>
      <c r="U157" s="160" t="str">
        <f>IFERROR(INDEX($Z$5:$Z$448,MATCH(ROWS($U$5:U157),$AA$5:$AA$448,0)),"")</f>
        <v/>
      </c>
      <c r="V157" s="274" t="str">
        <f>IF(May!C8="","",May!C8)</f>
        <v/>
      </c>
      <c r="W157" s="274" t="str" cm="1">
        <f t="array" ref="W157">IF(V157="","",IF(COUNTIF($V$5:V157,V157)&gt;1,"",ROUND(1+SUMPRODUCT(($V$5:$V$448&lt;&gt;"")*($V$5:$V$448&lt;V157)/COUNTIF($V$5:$V$448,$V$5:$V$448&amp;"")),0)))</f>
        <v/>
      </c>
      <c r="X157" s="274" t="str">
        <f t="shared" si="6"/>
        <v/>
      </c>
      <c r="Z157" s="274" t="str">
        <f>IF(May!H8="Major Injury",May!C8,"")</f>
        <v/>
      </c>
      <c r="AA157" s="274" t="str" cm="1">
        <f t="array" ref="AA157">IF(Z157="","",IF(COUNTIF($Z$5:Z157,Z157)&gt;1,"",ROUND(1+SUMPRODUCT(($Z$5:$Z$448&lt;&gt;"")*($Z$5:$Z$448&lt;Z157)/COUNTIF($Z$5:$Z$448,$Z$5:$Z$448&amp;"")),0)))</f>
        <v/>
      </c>
    </row>
    <row r="158" spans="2:27" x14ac:dyDescent="0.25">
      <c r="B158" s="160" t="str">
        <f>IFERROR(INDEX($V$5:$V$448,MATCH(ROWS($B$5:B158),$W$5:$W$448,0)),"")</f>
        <v/>
      </c>
      <c r="C158" s="265" t="str">
        <f>IF($B158="","",COUNTIF(Jan[Resident Name],$B158))</f>
        <v/>
      </c>
      <c r="D158" s="265" t="str">
        <f>IF($B158="","",COUNTIF(Feb[Resident Name],$B158))</f>
        <v/>
      </c>
      <c r="E158" s="265" t="str">
        <f>IF($B158="","",COUNTIF(Mar[Resident Name],$B158))</f>
        <v/>
      </c>
      <c r="F158" s="265" t="str">
        <f>IF($B158="","",COUNTIF(Apr[Resident Name],$B158))</f>
        <v/>
      </c>
      <c r="G158" s="265" t="str">
        <f>IF($B158="","",COUNTIF(May[Resident Name],$B158))</f>
        <v/>
      </c>
      <c r="H158" s="265" t="str">
        <f>IF($B158="","",COUNTIF(June[Resident Name],$B158))</f>
        <v/>
      </c>
      <c r="I158" s="265" t="str">
        <f>IF($B158="","",COUNTIF(July[Resident Name],$B158))</f>
        <v/>
      </c>
      <c r="J158" s="265" t="str">
        <f>IF($B158="","",COUNTIF(Aug[Resident Name],$B158))</f>
        <v/>
      </c>
      <c r="K158" s="265" t="str">
        <f>IF($B158="","",COUNTIF(Sept[Resident Name],$B158))</f>
        <v/>
      </c>
      <c r="L158" s="265" t="str">
        <f>IF($B158="","",COUNTIF(Oct[Resident Name],$B158))</f>
        <v/>
      </c>
      <c r="M158" s="265" t="str">
        <f>IF($B158="","",COUNTIF(Nov[Resident Name],$B158))</f>
        <v/>
      </c>
      <c r="N158" s="265" t="str">
        <f>IF($B158="","",COUNTIF(Dec[Resident Name],$B158))</f>
        <v/>
      </c>
      <c r="O158" s="265" t="str">
        <f t="shared" si="5"/>
        <v/>
      </c>
      <c r="P158" s="11"/>
      <c r="R158" s="160" t="str">
        <f>IFERROR(INDEX($B$5:$B$172,MATCH(ROWS($R$5:R158),$X$5:$X$172,0)),"")</f>
        <v/>
      </c>
      <c r="S158" s="76" t="str">
        <f>IF($R158="","",INDEX($O$5:$O$172,MATCH(ROWS($R$5:R158),$X$5:$X$172,0)))</f>
        <v/>
      </c>
      <c r="U158" s="160" t="str">
        <f>IFERROR(INDEX($Z$5:$Z$448,MATCH(ROWS($U$5:U158),$AA$5:$AA$448,0)),"")</f>
        <v/>
      </c>
      <c r="V158" s="274" t="str">
        <f>IF(May!C9="","",May!C9)</f>
        <v/>
      </c>
      <c r="W158" s="274" t="str" cm="1">
        <f t="array" ref="W158">IF(V158="","",IF(COUNTIF($V$5:V158,V158)&gt;1,"",ROUND(1+SUMPRODUCT(($V$5:$V$448&lt;&gt;"")*($V$5:$V$448&lt;V158)/COUNTIF($V$5:$V$448,$V$5:$V$448&amp;"")),0)))</f>
        <v/>
      </c>
      <c r="X158" s="274" t="str">
        <f t="shared" si="6"/>
        <v/>
      </c>
      <c r="Z158" s="274" t="str">
        <f>IF(May!H9="Major Injury",May!C9,"")</f>
        <v/>
      </c>
      <c r="AA158" s="274" t="str" cm="1">
        <f t="array" ref="AA158">IF(Z158="","",IF(COUNTIF($Z$5:Z158,Z158)&gt;1,"",ROUND(1+SUMPRODUCT(($Z$5:$Z$448&lt;&gt;"")*($Z$5:$Z$448&lt;Z158)/COUNTIF($Z$5:$Z$448,$Z$5:$Z$448&amp;"")),0)))</f>
        <v/>
      </c>
    </row>
    <row r="159" spans="2:27" x14ac:dyDescent="0.25">
      <c r="B159" s="160" t="str">
        <f>IFERROR(INDEX($V$5:$V$448,MATCH(ROWS($B$5:B159),$W$5:$W$448,0)),"")</f>
        <v/>
      </c>
      <c r="C159" s="265" t="str">
        <f>IF($B159="","",COUNTIF(Jan[Resident Name],$B159))</f>
        <v/>
      </c>
      <c r="D159" s="265" t="str">
        <f>IF($B159="","",COUNTIF(Feb[Resident Name],$B159))</f>
        <v/>
      </c>
      <c r="E159" s="265" t="str">
        <f>IF($B159="","",COUNTIF(Mar[Resident Name],$B159))</f>
        <v/>
      </c>
      <c r="F159" s="265" t="str">
        <f>IF($B159="","",COUNTIF(Apr[Resident Name],$B159))</f>
        <v/>
      </c>
      <c r="G159" s="265" t="str">
        <f>IF($B159="","",COUNTIF(May[Resident Name],$B159))</f>
        <v/>
      </c>
      <c r="H159" s="265" t="str">
        <f>IF($B159="","",COUNTIF(June[Resident Name],$B159))</f>
        <v/>
      </c>
      <c r="I159" s="265" t="str">
        <f>IF($B159="","",COUNTIF(July[Resident Name],$B159))</f>
        <v/>
      </c>
      <c r="J159" s="265" t="str">
        <f>IF($B159="","",COUNTIF(Aug[Resident Name],$B159))</f>
        <v/>
      </c>
      <c r="K159" s="265" t="str">
        <f>IF($B159="","",COUNTIF(Sept[Resident Name],$B159))</f>
        <v/>
      </c>
      <c r="L159" s="265" t="str">
        <f>IF($B159="","",COUNTIF(Oct[Resident Name],$B159))</f>
        <v/>
      </c>
      <c r="M159" s="265" t="str">
        <f>IF($B159="","",COUNTIF(Nov[Resident Name],$B159))</f>
        <v/>
      </c>
      <c r="N159" s="265" t="str">
        <f>IF($B159="","",COUNTIF(Dec[Resident Name],$B159))</f>
        <v/>
      </c>
      <c r="O159" s="265" t="str">
        <f t="shared" si="5"/>
        <v/>
      </c>
      <c r="P159" s="11"/>
      <c r="R159" s="160" t="str">
        <f>IFERROR(INDEX($B$5:$B$172,MATCH(ROWS($R$5:R159),$X$5:$X$172,0)),"")</f>
        <v/>
      </c>
      <c r="S159" s="76" t="str">
        <f>IF($R159="","",INDEX($O$5:$O$172,MATCH(ROWS($R$5:R159),$X$5:$X$172,0)))</f>
        <v/>
      </c>
      <c r="U159" s="160" t="str">
        <f>IFERROR(INDEX($Z$5:$Z$448,MATCH(ROWS($U$5:U159),$AA$5:$AA$448,0)),"")</f>
        <v/>
      </c>
      <c r="V159" s="274" t="str">
        <f>IF(May!C10="","",May!C10)</f>
        <v/>
      </c>
      <c r="W159" s="274" t="str" cm="1">
        <f t="array" ref="W159">IF(V159="","",IF(COUNTIF($V$5:V159,V159)&gt;1,"",ROUND(1+SUMPRODUCT(($V$5:$V$448&lt;&gt;"")*($V$5:$V$448&lt;V159)/COUNTIF($V$5:$V$448,$V$5:$V$448&amp;"")),0)))</f>
        <v/>
      </c>
      <c r="X159" s="274" t="str">
        <f t="shared" si="6"/>
        <v/>
      </c>
      <c r="Z159" s="274" t="str">
        <f>IF(May!H10="Major Injury",May!C10,"")</f>
        <v/>
      </c>
      <c r="AA159" s="274" t="str" cm="1">
        <f t="array" ref="AA159">IF(Z159="","",IF(COUNTIF($Z$5:Z159,Z159)&gt;1,"",ROUND(1+SUMPRODUCT(($Z$5:$Z$448&lt;&gt;"")*($Z$5:$Z$448&lt;Z159)/COUNTIF($Z$5:$Z$448,$Z$5:$Z$448&amp;"")),0)))</f>
        <v/>
      </c>
    </row>
    <row r="160" spans="2:27" x14ac:dyDescent="0.25">
      <c r="B160" s="160" t="str">
        <f>IFERROR(INDEX($V$5:$V$448,MATCH(ROWS($B$5:B160),$W$5:$W$448,0)),"")</f>
        <v/>
      </c>
      <c r="C160" s="265" t="str">
        <f>IF($B160="","",COUNTIF(Jan[Resident Name],$B160))</f>
        <v/>
      </c>
      <c r="D160" s="265" t="str">
        <f>IF($B160="","",COUNTIF(Feb[Resident Name],$B160))</f>
        <v/>
      </c>
      <c r="E160" s="265" t="str">
        <f>IF($B160="","",COUNTIF(Mar[Resident Name],$B160))</f>
        <v/>
      </c>
      <c r="F160" s="265" t="str">
        <f>IF($B160="","",COUNTIF(Apr[Resident Name],$B160))</f>
        <v/>
      </c>
      <c r="G160" s="265" t="str">
        <f>IF($B160="","",COUNTIF(May[Resident Name],$B160))</f>
        <v/>
      </c>
      <c r="H160" s="265" t="str">
        <f>IF($B160="","",COUNTIF(June[Resident Name],$B160))</f>
        <v/>
      </c>
      <c r="I160" s="265" t="str">
        <f>IF($B160="","",COUNTIF(July[Resident Name],$B160))</f>
        <v/>
      </c>
      <c r="J160" s="265" t="str">
        <f>IF($B160="","",COUNTIF(Aug[Resident Name],$B160))</f>
        <v/>
      </c>
      <c r="K160" s="265" t="str">
        <f>IF($B160="","",COUNTIF(Sept[Resident Name],$B160))</f>
        <v/>
      </c>
      <c r="L160" s="265" t="str">
        <f>IF($B160="","",COUNTIF(Oct[Resident Name],$B160))</f>
        <v/>
      </c>
      <c r="M160" s="265" t="str">
        <f>IF($B160="","",COUNTIF(Nov[Resident Name],$B160))</f>
        <v/>
      </c>
      <c r="N160" s="265" t="str">
        <f>IF($B160="","",COUNTIF(Dec[Resident Name],$B160))</f>
        <v/>
      </c>
      <c r="O160" s="265" t="str">
        <f t="shared" si="5"/>
        <v/>
      </c>
      <c r="P160" s="11"/>
      <c r="R160" s="160" t="str">
        <f>IFERROR(INDEX($B$5:$B$172,MATCH(ROWS($R$5:R160),$X$5:$X$172,0)),"")</f>
        <v/>
      </c>
      <c r="S160" s="76" t="str">
        <f>IF($R160="","",INDEX($O$5:$O$172,MATCH(ROWS($R$5:R160),$X$5:$X$172,0)))</f>
        <v/>
      </c>
      <c r="U160" s="160" t="str">
        <f>IFERROR(INDEX($Z$5:$Z$448,MATCH(ROWS($U$5:U160),$AA$5:$AA$448,0)),"")</f>
        <v/>
      </c>
      <c r="V160" s="274" t="str">
        <f>IF(May!C11="","",May!C11)</f>
        <v/>
      </c>
      <c r="W160" s="274" t="str" cm="1">
        <f t="array" ref="W160">IF(V160="","",IF(COUNTIF($V$5:V160,V160)&gt;1,"",ROUND(1+SUMPRODUCT(($V$5:$V$448&lt;&gt;"")*($V$5:$V$448&lt;V160)/COUNTIF($V$5:$V$448,$V$5:$V$448&amp;"")),0)))</f>
        <v/>
      </c>
      <c r="X160" s="274" t="str">
        <f t="shared" si="6"/>
        <v/>
      </c>
      <c r="Z160" s="274" t="str">
        <f>IF(May!H11="Major Injury",May!C11,"")</f>
        <v/>
      </c>
      <c r="AA160" s="274" t="str" cm="1">
        <f t="array" ref="AA160">IF(Z160="","",IF(COUNTIF($Z$5:Z160,Z160)&gt;1,"",ROUND(1+SUMPRODUCT(($Z$5:$Z$448&lt;&gt;"")*($Z$5:$Z$448&lt;Z160)/COUNTIF($Z$5:$Z$448,$Z$5:$Z$448&amp;"")),0)))</f>
        <v/>
      </c>
    </row>
    <row r="161" spans="2:27" x14ac:dyDescent="0.25">
      <c r="B161" s="160" t="str">
        <f>IFERROR(INDEX($V$5:$V$448,MATCH(ROWS($B$5:B161),$W$5:$W$448,0)),"")</f>
        <v/>
      </c>
      <c r="C161" s="265" t="str">
        <f>IF($B161="","",COUNTIF(Jan[Resident Name],$B161))</f>
        <v/>
      </c>
      <c r="D161" s="265" t="str">
        <f>IF($B161="","",COUNTIF(Feb[Resident Name],$B161))</f>
        <v/>
      </c>
      <c r="E161" s="265" t="str">
        <f>IF($B161="","",COUNTIF(Mar[Resident Name],$B161))</f>
        <v/>
      </c>
      <c r="F161" s="265" t="str">
        <f>IF($B161="","",COUNTIF(Apr[Resident Name],$B161))</f>
        <v/>
      </c>
      <c r="G161" s="265" t="str">
        <f>IF($B161="","",COUNTIF(May[Resident Name],$B161))</f>
        <v/>
      </c>
      <c r="H161" s="265" t="str">
        <f>IF($B161="","",COUNTIF(June[Resident Name],$B161))</f>
        <v/>
      </c>
      <c r="I161" s="265" t="str">
        <f>IF($B161="","",COUNTIF(July[Resident Name],$B161))</f>
        <v/>
      </c>
      <c r="J161" s="265" t="str">
        <f>IF($B161="","",COUNTIF(Aug[Resident Name],$B161))</f>
        <v/>
      </c>
      <c r="K161" s="265" t="str">
        <f>IF($B161="","",COUNTIF(Sept[Resident Name],$B161))</f>
        <v/>
      </c>
      <c r="L161" s="265" t="str">
        <f>IF($B161="","",COUNTIF(Oct[Resident Name],$B161))</f>
        <v/>
      </c>
      <c r="M161" s="265" t="str">
        <f>IF($B161="","",COUNTIF(Nov[Resident Name],$B161))</f>
        <v/>
      </c>
      <c r="N161" s="265" t="str">
        <f>IF($B161="","",COUNTIF(Dec[Resident Name],$B161))</f>
        <v/>
      </c>
      <c r="O161" s="265" t="str">
        <f t="shared" si="5"/>
        <v/>
      </c>
      <c r="P161" s="11"/>
      <c r="R161" s="160" t="str">
        <f>IFERROR(INDEX($B$5:$B$172,MATCH(ROWS($R$5:R161),$X$5:$X$172,0)),"")</f>
        <v/>
      </c>
      <c r="S161" s="76" t="str">
        <f>IF($R161="","",INDEX($O$5:$O$172,MATCH(ROWS($R$5:R161),$X$5:$X$172,0)))</f>
        <v/>
      </c>
      <c r="U161" s="160" t="str">
        <f>IFERROR(INDEX($Z$5:$Z$448,MATCH(ROWS($U$5:U161),$AA$5:$AA$448,0)),"")</f>
        <v/>
      </c>
      <c r="V161" s="274" t="str">
        <f>IF(May!C12="","",May!C12)</f>
        <v/>
      </c>
      <c r="W161" s="274" t="str" cm="1">
        <f t="array" ref="W161">IF(V161="","",IF(COUNTIF($V$5:V161,V161)&gt;1,"",ROUND(1+SUMPRODUCT(($V$5:$V$448&lt;&gt;"")*($V$5:$V$448&lt;V161)/COUNTIF($V$5:$V$448,$V$5:$V$448&amp;"")),0)))</f>
        <v/>
      </c>
      <c r="X161" s="274" t="str">
        <f t="shared" si="6"/>
        <v/>
      </c>
      <c r="Z161" s="274" t="str">
        <f>IF(May!H12="Major Injury",May!C12,"")</f>
        <v/>
      </c>
      <c r="AA161" s="274" t="str" cm="1">
        <f t="array" ref="AA161">IF(Z161="","",IF(COUNTIF($Z$5:Z161,Z161)&gt;1,"",ROUND(1+SUMPRODUCT(($Z$5:$Z$448&lt;&gt;"")*($Z$5:$Z$448&lt;Z161)/COUNTIF($Z$5:$Z$448,$Z$5:$Z$448&amp;"")),0)))</f>
        <v/>
      </c>
    </row>
    <row r="162" spans="2:27" x14ac:dyDescent="0.25">
      <c r="B162" s="160" t="str">
        <f>IFERROR(INDEX($V$5:$V$448,MATCH(ROWS($B$5:B162),$W$5:$W$448,0)),"")</f>
        <v/>
      </c>
      <c r="C162" s="265" t="str">
        <f>IF($B162="","",COUNTIF(Jan[Resident Name],$B162))</f>
        <v/>
      </c>
      <c r="D162" s="265" t="str">
        <f>IF($B162="","",COUNTIF(Feb[Resident Name],$B162))</f>
        <v/>
      </c>
      <c r="E162" s="265" t="str">
        <f>IF($B162="","",COUNTIF(Mar[Resident Name],$B162))</f>
        <v/>
      </c>
      <c r="F162" s="265" t="str">
        <f>IF($B162="","",COUNTIF(Apr[Resident Name],$B162))</f>
        <v/>
      </c>
      <c r="G162" s="265" t="str">
        <f>IF($B162="","",COUNTIF(May[Resident Name],$B162))</f>
        <v/>
      </c>
      <c r="H162" s="265" t="str">
        <f>IF($B162="","",COUNTIF(June[Resident Name],$B162))</f>
        <v/>
      </c>
      <c r="I162" s="265" t="str">
        <f>IF($B162="","",COUNTIF(July[Resident Name],$B162))</f>
        <v/>
      </c>
      <c r="J162" s="265" t="str">
        <f>IF($B162="","",COUNTIF(Aug[Resident Name],$B162))</f>
        <v/>
      </c>
      <c r="K162" s="265" t="str">
        <f>IF($B162="","",COUNTIF(Sept[Resident Name],$B162))</f>
        <v/>
      </c>
      <c r="L162" s="265" t="str">
        <f>IF($B162="","",COUNTIF(Oct[Resident Name],$B162))</f>
        <v/>
      </c>
      <c r="M162" s="265" t="str">
        <f>IF($B162="","",COUNTIF(Nov[Resident Name],$B162))</f>
        <v/>
      </c>
      <c r="N162" s="265" t="str">
        <f>IF($B162="","",COUNTIF(Dec[Resident Name],$B162))</f>
        <v/>
      </c>
      <c r="O162" s="265" t="str">
        <f t="shared" si="5"/>
        <v/>
      </c>
      <c r="P162" s="11"/>
      <c r="R162" s="160" t="str">
        <f>IFERROR(INDEX($B$5:$B$172,MATCH(ROWS($R$5:R162),$X$5:$X$172,0)),"")</f>
        <v/>
      </c>
      <c r="S162" s="76" t="str">
        <f>IF($R162="","",INDEX($O$5:$O$172,MATCH(ROWS($R$5:R162),$X$5:$X$172,0)))</f>
        <v/>
      </c>
      <c r="U162" s="160" t="str">
        <f>IFERROR(INDEX($Z$5:$Z$448,MATCH(ROWS($U$5:U162),$AA$5:$AA$448,0)),"")</f>
        <v/>
      </c>
      <c r="V162" s="274" t="str">
        <f>IF(May!C13="","",May!C13)</f>
        <v/>
      </c>
      <c r="W162" s="274" t="str" cm="1">
        <f t="array" ref="W162">IF(V162="","",IF(COUNTIF($V$5:V162,V162)&gt;1,"",ROUND(1+SUMPRODUCT(($V$5:$V$448&lt;&gt;"")*($V$5:$V$448&lt;V162)/COUNTIF($V$5:$V$448,$V$5:$V$448&amp;"")),0)))</f>
        <v/>
      </c>
      <c r="X162" s="274" t="str">
        <f t="shared" si="6"/>
        <v/>
      </c>
      <c r="Z162" s="274" t="str">
        <f>IF(May!H13="Major Injury",May!C13,"")</f>
        <v/>
      </c>
      <c r="AA162" s="274" t="str" cm="1">
        <f t="array" ref="AA162">IF(Z162="","",IF(COUNTIF($Z$5:Z162,Z162)&gt;1,"",ROUND(1+SUMPRODUCT(($Z$5:$Z$448&lt;&gt;"")*($Z$5:$Z$448&lt;Z162)/COUNTIF($Z$5:$Z$448,$Z$5:$Z$448&amp;"")),0)))</f>
        <v/>
      </c>
    </row>
    <row r="163" spans="2:27" x14ac:dyDescent="0.25">
      <c r="B163" s="160" t="str">
        <f>IFERROR(INDEX($V$5:$V$448,MATCH(ROWS($B$5:B163),$W$5:$W$448,0)),"")</f>
        <v/>
      </c>
      <c r="C163" s="265" t="str">
        <f>IF($B163="","",COUNTIF(Jan[Resident Name],$B163))</f>
        <v/>
      </c>
      <c r="D163" s="265" t="str">
        <f>IF($B163="","",COUNTIF(Feb[Resident Name],$B163))</f>
        <v/>
      </c>
      <c r="E163" s="265" t="str">
        <f>IF($B163="","",COUNTIF(Mar[Resident Name],$B163))</f>
        <v/>
      </c>
      <c r="F163" s="265" t="str">
        <f>IF($B163="","",COUNTIF(Apr[Resident Name],$B163))</f>
        <v/>
      </c>
      <c r="G163" s="265" t="str">
        <f>IF($B163="","",COUNTIF(May[Resident Name],$B163))</f>
        <v/>
      </c>
      <c r="H163" s="265" t="str">
        <f>IF($B163="","",COUNTIF(June[Resident Name],$B163))</f>
        <v/>
      </c>
      <c r="I163" s="265" t="str">
        <f>IF($B163="","",COUNTIF(July[Resident Name],$B163))</f>
        <v/>
      </c>
      <c r="J163" s="265" t="str">
        <f>IF($B163="","",COUNTIF(Aug[Resident Name],$B163))</f>
        <v/>
      </c>
      <c r="K163" s="265" t="str">
        <f>IF($B163="","",COUNTIF(Sept[Resident Name],$B163))</f>
        <v/>
      </c>
      <c r="L163" s="265" t="str">
        <f>IF($B163="","",COUNTIF(Oct[Resident Name],$B163))</f>
        <v/>
      </c>
      <c r="M163" s="265" t="str">
        <f>IF($B163="","",COUNTIF(Nov[Resident Name],$B163))</f>
        <v/>
      </c>
      <c r="N163" s="265" t="str">
        <f>IF($B163="","",COUNTIF(Dec[Resident Name],$B163))</f>
        <v/>
      </c>
      <c r="O163" s="265" t="str">
        <f t="shared" si="5"/>
        <v/>
      </c>
      <c r="P163" s="11"/>
      <c r="R163" s="160" t="str">
        <f>IFERROR(INDEX($B$5:$B$172,MATCH(ROWS($R$5:R163),$X$5:$X$172,0)),"")</f>
        <v/>
      </c>
      <c r="S163" s="76" t="str">
        <f>IF($R163="","",INDEX($O$5:$O$172,MATCH(ROWS($R$5:R163),$X$5:$X$172,0)))</f>
        <v/>
      </c>
      <c r="U163" s="160" t="str">
        <f>IFERROR(INDEX($Z$5:$Z$448,MATCH(ROWS($U$5:U163),$AA$5:$AA$448,0)),"")</f>
        <v/>
      </c>
      <c r="V163" s="274" t="str">
        <f>IF(May!C14="","",May!C14)</f>
        <v/>
      </c>
      <c r="W163" s="274" t="str" cm="1">
        <f t="array" ref="W163">IF(V163="","",IF(COUNTIF($V$5:V163,V163)&gt;1,"",ROUND(1+SUMPRODUCT(($V$5:$V$448&lt;&gt;"")*($V$5:$V$448&lt;V163)/COUNTIF($V$5:$V$448,$V$5:$V$448&amp;"")),0)))</f>
        <v/>
      </c>
      <c r="X163" s="274" t="str">
        <f t="shared" si="6"/>
        <v/>
      </c>
      <c r="Z163" s="274" t="str">
        <f>IF(May!H14="Major Injury",May!C14,"")</f>
        <v/>
      </c>
      <c r="AA163" s="274" t="str" cm="1">
        <f t="array" ref="AA163">IF(Z163="","",IF(COUNTIF($Z$5:Z163,Z163)&gt;1,"",ROUND(1+SUMPRODUCT(($Z$5:$Z$448&lt;&gt;"")*($Z$5:$Z$448&lt;Z163)/COUNTIF($Z$5:$Z$448,$Z$5:$Z$448&amp;"")),0)))</f>
        <v/>
      </c>
    </row>
    <row r="164" spans="2:27" x14ac:dyDescent="0.25">
      <c r="B164" s="160" t="str">
        <f>IFERROR(INDEX($V$5:$V$448,MATCH(ROWS($B$5:B164),$W$5:$W$448,0)),"")</f>
        <v/>
      </c>
      <c r="C164" s="265" t="str">
        <f>IF($B164="","",COUNTIF(Jan[Resident Name],$B164))</f>
        <v/>
      </c>
      <c r="D164" s="265" t="str">
        <f>IF($B164="","",COUNTIF(Feb[Resident Name],$B164))</f>
        <v/>
      </c>
      <c r="E164" s="265" t="str">
        <f>IF($B164="","",COUNTIF(Mar[Resident Name],$B164))</f>
        <v/>
      </c>
      <c r="F164" s="265" t="str">
        <f>IF($B164="","",COUNTIF(Apr[Resident Name],$B164))</f>
        <v/>
      </c>
      <c r="G164" s="265" t="str">
        <f>IF($B164="","",COUNTIF(May[Resident Name],$B164))</f>
        <v/>
      </c>
      <c r="H164" s="265" t="str">
        <f>IF($B164="","",COUNTIF(June[Resident Name],$B164))</f>
        <v/>
      </c>
      <c r="I164" s="265" t="str">
        <f>IF($B164="","",COUNTIF(July[Resident Name],$B164))</f>
        <v/>
      </c>
      <c r="J164" s="265" t="str">
        <f>IF($B164="","",COUNTIF(Aug[Resident Name],$B164))</f>
        <v/>
      </c>
      <c r="K164" s="265" t="str">
        <f>IF($B164="","",COUNTIF(Sept[Resident Name],$B164))</f>
        <v/>
      </c>
      <c r="L164" s="265" t="str">
        <f>IF($B164="","",COUNTIF(Oct[Resident Name],$B164))</f>
        <v/>
      </c>
      <c r="M164" s="265" t="str">
        <f>IF($B164="","",COUNTIF(Nov[Resident Name],$B164))</f>
        <v/>
      </c>
      <c r="N164" s="265" t="str">
        <f>IF($B164="","",COUNTIF(Dec[Resident Name],$B164))</f>
        <v/>
      </c>
      <c r="O164" s="265" t="str">
        <f t="shared" si="5"/>
        <v/>
      </c>
      <c r="P164" s="11"/>
      <c r="R164" s="160" t="str">
        <f>IFERROR(INDEX($B$5:$B$172,MATCH(ROWS($R$5:R164),$X$5:$X$172,0)),"")</f>
        <v/>
      </c>
      <c r="S164" s="76" t="str">
        <f>IF($R164="","",INDEX($O$5:$O$172,MATCH(ROWS($R$5:R164),$X$5:$X$172,0)))</f>
        <v/>
      </c>
      <c r="U164" s="160" t="str">
        <f>IFERROR(INDEX($Z$5:$Z$448,MATCH(ROWS($U$5:U164),$AA$5:$AA$448,0)),"")</f>
        <v/>
      </c>
      <c r="V164" s="274" t="str">
        <f>IF(May!C15="","",May!C15)</f>
        <v/>
      </c>
      <c r="W164" s="274" t="str" cm="1">
        <f t="array" ref="W164">IF(V164="","",IF(COUNTIF($V$5:V164,V164)&gt;1,"",ROUND(1+SUMPRODUCT(($V$5:$V$448&lt;&gt;"")*($V$5:$V$448&lt;V164)/COUNTIF($V$5:$V$448,$V$5:$V$448&amp;"")),0)))</f>
        <v/>
      </c>
      <c r="X164" s="274" t="str">
        <f t="shared" si="6"/>
        <v/>
      </c>
      <c r="Z164" s="274" t="str">
        <f>IF(May!H15="Major Injury",May!C15,"")</f>
        <v/>
      </c>
      <c r="AA164" s="274" t="str" cm="1">
        <f t="array" ref="AA164">IF(Z164="","",IF(COUNTIF($Z$5:Z164,Z164)&gt;1,"",ROUND(1+SUMPRODUCT(($Z$5:$Z$448&lt;&gt;"")*($Z$5:$Z$448&lt;Z164)/COUNTIF($Z$5:$Z$448,$Z$5:$Z$448&amp;"")),0)))</f>
        <v/>
      </c>
    </row>
    <row r="165" spans="2:27" x14ac:dyDescent="0.25">
      <c r="B165" s="160" t="str">
        <f>IFERROR(INDEX($V$5:$V$448,MATCH(ROWS($B$5:B165),$W$5:$W$448,0)),"")</f>
        <v/>
      </c>
      <c r="C165" s="265" t="str">
        <f>IF($B165="","",COUNTIF(Jan[Resident Name],$B165))</f>
        <v/>
      </c>
      <c r="D165" s="265" t="str">
        <f>IF($B165="","",COUNTIF(Feb[Resident Name],$B165))</f>
        <v/>
      </c>
      <c r="E165" s="265" t="str">
        <f>IF($B165="","",COUNTIF(Mar[Resident Name],$B165))</f>
        <v/>
      </c>
      <c r="F165" s="265" t="str">
        <f>IF($B165="","",COUNTIF(Apr[Resident Name],$B165))</f>
        <v/>
      </c>
      <c r="G165" s="265" t="str">
        <f>IF($B165="","",COUNTIF(May[Resident Name],$B165))</f>
        <v/>
      </c>
      <c r="H165" s="265" t="str">
        <f>IF($B165="","",COUNTIF(June[Resident Name],$B165))</f>
        <v/>
      </c>
      <c r="I165" s="265" t="str">
        <f>IF($B165="","",COUNTIF(July[Resident Name],$B165))</f>
        <v/>
      </c>
      <c r="J165" s="265" t="str">
        <f>IF($B165="","",COUNTIF(Aug[Resident Name],$B165))</f>
        <v/>
      </c>
      <c r="K165" s="265" t="str">
        <f>IF($B165="","",COUNTIF(Sept[Resident Name],$B165))</f>
        <v/>
      </c>
      <c r="L165" s="265" t="str">
        <f>IF($B165="","",COUNTIF(Oct[Resident Name],$B165))</f>
        <v/>
      </c>
      <c r="M165" s="265" t="str">
        <f>IF($B165="","",COUNTIF(Nov[Resident Name],$B165))</f>
        <v/>
      </c>
      <c r="N165" s="265" t="str">
        <f>IF($B165="","",COUNTIF(Dec[Resident Name],$B165))</f>
        <v/>
      </c>
      <c r="O165" s="265" t="str">
        <f t="shared" si="5"/>
        <v/>
      </c>
      <c r="P165" s="11"/>
      <c r="R165" s="160" t="str">
        <f>IFERROR(INDEX($B$5:$B$172,MATCH(ROWS($R$5:R165),$X$5:$X$172,0)),"")</f>
        <v/>
      </c>
      <c r="S165" s="76" t="str">
        <f>IF($R165="","",INDEX($O$5:$O$172,MATCH(ROWS($R$5:R165),$X$5:$X$172,0)))</f>
        <v/>
      </c>
      <c r="U165" s="160" t="str">
        <f>IFERROR(INDEX($Z$5:$Z$448,MATCH(ROWS($U$5:U165),$AA$5:$AA$448,0)),"")</f>
        <v/>
      </c>
      <c r="V165" s="274" t="str">
        <f>IF(May!C16="","",May!C16)</f>
        <v/>
      </c>
      <c r="W165" s="274" t="str" cm="1">
        <f t="array" ref="W165">IF(V165="","",IF(COUNTIF($V$5:V165,V165)&gt;1,"",ROUND(1+SUMPRODUCT(($V$5:$V$448&lt;&gt;"")*($V$5:$V$448&lt;V165)/COUNTIF($V$5:$V$448,$V$5:$V$448&amp;"")),0)))</f>
        <v/>
      </c>
      <c r="X165" s="274" t="str">
        <f t="shared" si="6"/>
        <v/>
      </c>
      <c r="Z165" s="274" t="str">
        <f>IF(May!H16="Major Injury",May!C16,"")</f>
        <v/>
      </c>
      <c r="AA165" s="274" t="str" cm="1">
        <f t="array" ref="AA165">IF(Z165="","",IF(COUNTIF($Z$5:Z165,Z165)&gt;1,"",ROUND(1+SUMPRODUCT(($Z$5:$Z$448&lt;&gt;"")*($Z$5:$Z$448&lt;Z165)/COUNTIF($Z$5:$Z$448,$Z$5:$Z$448&amp;"")),0)))</f>
        <v/>
      </c>
    </row>
    <row r="166" spans="2:27" x14ac:dyDescent="0.25">
      <c r="B166" s="160" t="str">
        <f>IFERROR(INDEX($V$5:$V$448,MATCH(ROWS($B$5:B166),$W$5:$W$448,0)),"")</f>
        <v/>
      </c>
      <c r="C166" s="265" t="str">
        <f>IF($B166="","",COUNTIF(Jan[Resident Name],$B166))</f>
        <v/>
      </c>
      <c r="D166" s="265" t="str">
        <f>IF($B166="","",COUNTIF(Feb[Resident Name],$B166))</f>
        <v/>
      </c>
      <c r="E166" s="265" t="str">
        <f>IF($B166="","",COUNTIF(Mar[Resident Name],$B166))</f>
        <v/>
      </c>
      <c r="F166" s="265" t="str">
        <f>IF($B166="","",COUNTIF(Apr[Resident Name],$B166))</f>
        <v/>
      </c>
      <c r="G166" s="265" t="str">
        <f>IF($B166="","",COUNTIF(May[Resident Name],$B166))</f>
        <v/>
      </c>
      <c r="H166" s="265" t="str">
        <f>IF($B166="","",COUNTIF(June[Resident Name],$B166))</f>
        <v/>
      </c>
      <c r="I166" s="265" t="str">
        <f>IF($B166="","",COUNTIF(July[Resident Name],$B166))</f>
        <v/>
      </c>
      <c r="J166" s="265" t="str">
        <f>IF($B166="","",COUNTIF(Aug[Resident Name],$B166))</f>
        <v/>
      </c>
      <c r="K166" s="265" t="str">
        <f>IF($B166="","",COUNTIF(Sept[Resident Name],$B166))</f>
        <v/>
      </c>
      <c r="L166" s="265" t="str">
        <f>IF($B166="","",COUNTIF(Oct[Resident Name],$B166))</f>
        <v/>
      </c>
      <c r="M166" s="265" t="str">
        <f>IF($B166="","",COUNTIF(Nov[Resident Name],$B166))</f>
        <v/>
      </c>
      <c r="N166" s="265" t="str">
        <f>IF($B166="","",COUNTIF(Dec[Resident Name],$B166))</f>
        <v/>
      </c>
      <c r="O166" s="265" t="str">
        <f t="shared" si="5"/>
        <v/>
      </c>
      <c r="P166" s="11"/>
      <c r="R166" s="160" t="str">
        <f>IFERROR(INDEX($B$5:$B$172,MATCH(ROWS($R$5:R166),$X$5:$X$172,0)),"")</f>
        <v/>
      </c>
      <c r="S166" s="76" t="str">
        <f>IF($R166="","",INDEX($O$5:$O$172,MATCH(ROWS($R$5:R166),$X$5:$X$172,0)))</f>
        <v/>
      </c>
      <c r="U166" s="160" t="str">
        <f>IFERROR(INDEX($Z$5:$Z$448,MATCH(ROWS($U$5:U166),$AA$5:$AA$448,0)),"")</f>
        <v/>
      </c>
      <c r="V166" s="274" t="str">
        <f>IF(May!C17="","",May!C17)</f>
        <v/>
      </c>
      <c r="W166" s="274" t="str" cm="1">
        <f t="array" ref="W166">IF(V166="","",IF(COUNTIF($V$5:V166,V166)&gt;1,"",ROUND(1+SUMPRODUCT(($V$5:$V$448&lt;&gt;"")*($V$5:$V$448&lt;V166)/COUNTIF($V$5:$V$448,$V$5:$V$448&amp;"")),0)))</f>
        <v/>
      </c>
      <c r="X166" s="274" t="str">
        <f t="shared" si="6"/>
        <v/>
      </c>
      <c r="Z166" s="274" t="str">
        <f>IF(May!H17="Major Injury",May!C17,"")</f>
        <v/>
      </c>
      <c r="AA166" s="274" t="str" cm="1">
        <f t="array" ref="AA166">IF(Z166="","",IF(COUNTIF($Z$5:Z166,Z166)&gt;1,"",ROUND(1+SUMPRODUCT(($Z$5:$Z$448&lt;&gt;"")*($Z$5:$Z$448&lt;Z166)/COUNTIF($Z$5:$Z$448,$Z$5:$Z$448&amp;"")),0)))</f>
        <v/>
      </c>
    </row>
    <row r="167" spans="2:27" x14ac:dyDescent="0.25">
      <c r="B167" s="160" t="str">
        <f>IFERROR(INDEX($V$5:$V$448,MATCH(ROWS($B$5:B167),$W$5:$W$448,0)),"")</f>
        <v/>
      </c>
      <c r="C167" s="265" t="str">
        <f>IF($B167="","",COUNTIF(Jan[Resident Name],$B167))</f>
        <v/>
      </c>
      <c r="D167" s="265" t="str">
        <f>IF($B167="","",COUNTIF(Feb[Resident Name],$B167))</f>
        <v/>
      </c>
      <c r="E167" s="265" t="str">
        <f>IF($B167="","",COUNTIF(Mar[Resident Name],$B167))</f>
        <v/>
      </c>
      <c r="F167" s="265" t="str">
        <f>IF($B167="","",COUNTIF(Apr[Resident Name],$B167))</f>
        <v/>
      </c>
      <c r="G167" s="265" t="str">
        <f>IF($B167="","",COUNTIF(May[Resident Name],$B167))</f>
        <v/>
      </c>
      <c r="H167" s="265" t="str">
        <f>IF($B167="","",COUNTIF(June[Resident Name],$B167))</f>
        <v/>
      </c>
      <c r="I167" s="265" t="str">
        <f>IF($B167="","",COUNTIF(July[Resident Name],$B167))</f>
        <v/>
      </c>
      <c r="J167" s="265" t="str">
        <f>IF($B167="","",COUNTIF(Aug[Resident Name],$B167))</f>
        <v/>
      </c>
      <c r="K167" s="265" t="str">
        <f>IF($B167="","",COUNTIF(Sept[Resident Name],$B167))</f>
        <v/>
      </c>
      <c r="L167" s="265" t="str">
        <f>IF($B167="","",COUNTIF(Oct[Resident Name],$B167))</f>
        <v/>
      </c>
      <c r="M167" s="265" t="str">
        <f>IF($B167="","",COUNTIF(Nov[Resident Name],$B167))</f>
        <v/>
      </c>
      <c r="N167" s="265" t="str">
        <f>IF($B167="","",COUNTIF(Dec[Resident Name],$B167))</f>
        <v/>
      </c>
      <c r="O167" s="265" t="str">
        <f t="shared" si="5"/>
        <v/>
      </c>
      <c r="P167" s="11"/>
      <c r="R167" s="160" t="str">
        <f>IFERROR(INDEX($B$5:$B$172,MATCH(ROWS($R$5:R167),$X$5:$X$172,0)),"")</f>
        <v/>
      </c>
      <c r="S167" s="76" t="str">
        <f>IF($R167="","",INDEX($O$5:$O$172,MATCH(ROWS($R$5:R167),$X$5:$X$172,0)))</f>
        <v/>
      </c>
      <c r="U167" s="160" t="str">
        <f>IFERROR(INDEX($Z$5:$Z$448,MATCH(ROWS($U$5:U167),$AA$5:$AA$448,0)),"")</f>
        <v/>
      </c>
      <c r="V167" s="274" t="str">
        <f>IF(May!C18="","",May!C18)</f>
        <v/>
      </c>
      <c r="W167" s="274" t="str" cm="1">
        <f t="array" ref="W167">IF(V167="","",IF(COUNTIF($V$5:V167,V167)&gt;1,"",ROUND(1+SUMPRODUCT(($V$5:$V$448&lt;&gt;"")*($V$5:$V$448&lt;V167)/COUNTIF($V$5:$V$448,$V$5:$V$448&amp;"")),0)))</f>
        <v/>
      </c>
      <c r="X167" s="274" t="str">
        <f t="shared" si="6"/>
        <v/>
      </c>
      <c r="Z167" s="274" t="str">
        <f>IF(May!H18="Major Injury",May!C18,"")</f>
        <v/>
      </c>
      <c r="AA167" s="274" t="str" cm="1">
        <f t="array" ref="AA167">IF(Z167="","",IF(COUNTIF($Z$5:Z167,Z167)&gt;1,"",ROUND(1+SUMPRODUCT(($Z$5:$Z$448&lt;&gt;"")*($Z$5:$Z$448&lt;Z167)/COUNTIF($Z$5:$Z$448,$Z$5:$Z$448&amp;"")),0)))</f>
        <v/>
      </c>
    </row>
    <row r="168" spans="2:27" x14ac:dyDescent="0.25">
      <c r="B168" s="160" t="str">
        <f>IFERROR(INDEX($V$5:$V$448,MATCH(ROWS($B$5:B168),$W$5:$W$448,0)),"")</f>
        <v/>
      </c>
      <c r="C168" s="265" t="str">
        <f>IF($B168="","",COUNTIF(Jan[Resident Name],$B168))</f>
        <v/>
      </c>
      <c r="D168" s="265" t="str">
        <f>IF($B168="","",COUNTIF(Feb[Resident Name],$B168))</f>
        <v/>
      </c>
      <c r="E168" s="265" t="str">
        <f>IF($B168="","",COUNTIF(Mar[Resident Name],$B168))</f>
        <v/>
      </c>
      <c r="F168" s="265" t="str">
        <f>IF($B168="","",COUNTIF(Apr[Resident Name],$B168))</f>
        <v/>
      </c>
      <c r="G168" s="265" t="str">
        <f>IF($B168="","",COUNTIF(May[Resident Name],$B168))</f>
        <v/>
      </c>
      <c r="H168" s="265" t="str">
        <f>IF($B168="","",COUNTIF(June[Resident Name],$B168))</f>
        <v/>
      </c>
      <c r="I168" s="265" t="str">
        <f>IF($B168="","",COUNTIF(July[Resident Name],$B168))</f>
        <v/>
      </c>
      <c r="J168" s="265" t="str">
        <f>IF($B168="","",COUNTIF(Aug[Resident Name],$B168))</f>
        <v/>
      </c>
      <c r="K168" s="265" t="str">
        <f>IF($B168="","",COUNTIF(Sept[Resident Name],$B168))</f>
        <v/>
      </c>
      <c r="L168" s="265" t="str">
        <f>IF($B168="","",COUNTIF(Oct[Resident Name],$B168))</f>
        <v/>
      </c>
      <c r="M168" s="265" t="str">
        <f>IF($B168="","",COUNTIF(Nov[Resident Name],$B168))</f>
        <v/>
      </c>
      <c r="N168" s="265" t="str">
        <f>IF($B168="","",COUNTIF(Dec[Resident Name],$B168))</f>
        <v/>
      </c>
      <c r="O168" s="265" t="str">
        <f t="shared" si="5"/>
        <v/>
      </c>
      <c r="P168" s="11"/>
      <c r="R168" s="160" t="str">
        <f>IFERROR(INDEX($B$5:$B$172,MATCH(ROWS($R$5:R168),$X$5:$X$172,0)),"")</f>
        <v/>
      </c>
      <c r="S168" s="76" t="str">
        <f>IF($R168="","",INDEX($O$5:$O$172,MATCH(ROWS($R$5:R168),$X$5:$X$172,0)))</f>
        <v/>
      </c>
      <c r="U168" s="160" t="str">
        <f>IFERROR(INDEX($Z$5:$Z$448,MATCH(ROWS($U$5:U168),$AA$5:$AA$448,0)),"")</f>
        <v/>
      </c>
      <c r="V168" s="274" t="str">
        <f>IF(May!C19="","",May!C19)</f>
        <v/>
      </c>
      <c r="W168" s="274" t="str" cm="1">
        <f t="array" ref="W168">IF(V168="","",IF(COUNTIF($V$5:V168,V168)&gt;1,"",ROUND(1+SUMPRODUCT(($V$5:$V$448&lt;&gt;"")*($V$5:$V$448&lt;V168)/COUNTIF($V$5:$V$448,$V$5:$V$448&amp;"")),0)))</f>
        <v/>
      </c>
      <c r="X168" s="274" t="str">
        <f t="shared" si="6"/>
        <v/>
      </c>
      <c r="Z168" s="274" t="str">
        <f>IF(May!H19="Major Injury",May!C19,"")</f>
        <v/>
      </c>
      <c r="AA168" s="274" t="str" cm="1">
        <f t="array" ref="AA168">IF(Z168="","",IF(COUNTIF($Z$5:Z168,Z168)&gt;1,"",ROUND(1+SUMPRODUCT(($Z$5:$Z$448&lt;&gt;"")*($Z$5:$Z$448&lt;Z168)/COUNTIF($Z$5:$Z$448,$Z$5:$Z$448&amp;"")),0)))</f>
        <v/>
      </c>
    </row>
    <row r="169" spans="2:27" x14ac:dyDescent="0.25">
      <c r="B169" s="160" t="str">
        <f>IFERROR(INDEX($V$5:$V$448,MATCH(ROWS($B$5:B169),$W$5:$W$448,0)),"")</f>
        <v/>
      </c>
      <c r="C169" s="265" t="str">
        <f>IF($B169="","",COUNTIF(Jan[Resident Name],$B169))</f>
        <v/>
      </c>
      <c r="D169" s="265" t="str">
        <f>IF($B169="","",COUNTIF(Feb[Resident Name],$B169))</f>
        <v/>
      </c>
      <c r="E169" s="265" t="str">
        <f>IF($B169="","",COUNTIF(Mar[Resident Name],$B169))</f>
        <v/>
      </c>
      <c r="F169" s="265" t="str">
        <f>IF($B169="","",COUNTIF(Apr[Resident Name],$B169))</f>
        <v/>
      </c>
      <c r="G169" s="265" t="str">
        <f>IF($B169="","",COUNTIF(May[Resident Name],$B169))</f>
        <v/>
      </c>
      <c r="H169" s="265" t="str">
        <f>IF($B169="","",COUNTIF(June[Resident Name],$B169))</f>
        <v/>
      </c>
      <c r="I169" s="265" t="str">
        <f>IF($B169="","",COUNTIF(July[Resident Name],$B169))</f>
        <v/>
      </c>
      <c r="J169" s="265" t="str">
        <f>IF($B169="","",COUNTIF(Aug[Resident Name],$B169))</f>
        <v/>
      </c>
      <c r="K169" s="265" t="str">
        <f>IF($B169="","",COUNTIF(Sept[Resident Name],$B169))</f>
        <v/>
      </c>
      <c r="L169" s="265" t="str">
        <f>IF($B169="","",COUNTIF(Oct[Resident Name],$B169))</f>
        <v/>
      </c>
      <c r="M169" s="265" t="str">
        <f>IF($B169="","",COUNTIF(Nov[Resident Name],$B169))</f>
        <v/>
      </c>
      <c r="N169" s="265" t="str">
        <f>IF($B169="","",COUNTIF(Dec[Resident Name],$B169))</f>
        <v/>
      </c>
      <c r="O169" s="265" t="str">
        <f t="shared" si="5"/>
        <v/>
      </c>
      <c r="P169" s="11"/>
      <c r="R169" s="160" t="str">
        <f>IFERROR(INDEX($B$5:$B$172,MATCH(ROWS($R$5:R169),$X$5:$X$172,0)),"")</f>
        <v/>
      </c>
      <c r="S169" s="76" t="str">
        <f>IF($R169="","",INDEX($O$5:$O$172,MATCH(ROWS($R$5:R169),$X$5:$X$172,0)))</f>
        <v/>
      </c>
      <c r="U169" s="160" t="str">
        <f>IFERROR(INDEX($Z$5:$Z$448,MATCH(ROWS($U$5:U169),$AA$5:$AA$448,0)),"")</f>
        <v/>
      </c>
      <c r="V169" s="274" t="str">
        <f>IF(May!C20="","",May!C20)</f>
        <v/>
      </c>
      <c r="W169" s="274" t="str" cm="1">
        <f t="array" ref="W169">IF(V169="","",IF(COUNTIF($V$5:V169,V169)&gt;1,"",ROUND(1+SUMPRODUCT(($V$5:$V$448&lt;&gt;"")*($V$5:$V$448&lt;V169)/COUNTIF($V$5:$V$448,$V$5:$V$448&amp;"")),0)))</f>
        <v/>
      </c>
      <c r="X169" s="274" t="str">
        <f t="shared" si="6"/>
        <v/>
      </c>
      <c r="Z169" s="274" t="str">
        <f>IF(May!H20="Major Injury",May!C20,"")</f>
        <v/>
      </c>
      <c r="AA169" s="274" t="str" cm="1">
        <f t="array" ref="AA169">IF(Z169="","",IF(COUNTIF($Z$5:Z169,Z169)&gt;1,"",ROUND(1+SUMPRODUCT(($Z$5:$Z$448&lt;&gt;"")*($Z$5:$Z$448&lt;Z169)/COUNTIF($Z$5:$Z$448,$Z$5:$Z$448&amp;"")),0)))</f>
        <v/>
      </c>
    </row>
    <row r="170" spans="2:27" x14ac:dyDescent="0.25">
      <c r="B170" s="160" t="str">
        <f>IFERROR(INDEX($V$5:$V$448,MATCH(ROWS($B$5:B170),$W$5:$W$448,0)),"")</f>
        <v/>
      </c>
      <c r="C170" s="265" t="str">
        <f>IF($B170="","",COUNTIF(Jan[Resident Name],$B170))</f>
        <v/>
      </c>
      <c r="D170" s="265" t="str">
        <f>IF($B170="","",COUNTIF(Feb[Resident Name],$B170))</f>
        <v/>
      </c>
      <c r="E170" s="265" t="str">
        <f>IF($B170="","",COUNTIF(Mar[Resident Name],$B170))</f>
        <v/>
      </c>
      <c r="F170" s="265" t="str">
        <f>IF($B170="","",COUNTIF(Apr[Resident Name],$B170))</f>
        <v/>
      </c>
      <c r="G170" s="265" t="str">
        <f>IF($B170="","",COUNTIF(May[Resident Name],$B170))</f>
        <v/>
      </c>
      <c r="H170" s="265" t="str">
        <f>IF($B170="","",COUNTIF(June[Resident Name],$B170))</f>
        <v/>
      </c>
      <c r="I170" s="265" t="str">
        <f>IF($B170="","",COUNTIF(July[Resident Name],$B170))</f>
        <v/>
      </c>
      <c r="J170" s="265" t="str">
        <f>IF($B170="","",COUNTIF(Aug[Resident Name],$B170))</f>
        <v/>
      </c>
      <c r="K170" s="265" t="str">
        <f>IF($B170="","",COUNTIF(Sept[Resident Name],$B170))</f>
        <v/>
      </c>
      <c r="L170" s="265" t="str">
        <f>IF($B170="","",COUNTIF(Oct[Resident Name],$B170))</f>
        <v/>
      </c>
      <c r="M170" s="265" t="str">
        <f>IF($B170="","",COUNTIF(Nov[Resident Name],$B170))</f>
        <v/>
      </c>
      <c r="N170" s="265" t="str">
        <f>IF($B170="","",COUNTIF(Dec[Resident Name],$B170))</f>
        <v/>
      </c>
      <c r="O170" s="265" t="str">
        <f t="shared" si="5"/>
        <v/>
      </c>
      <c r="P170" s="11"/>
      <c r="R170" s="160" t="str">
        <f>IFERROR(INDEX($B$5:$B$172,MATCH(ROWS($R$5:R170),$X$5:$X$172,0)),"")</f>
        <v/>
      </c>
      <c r="S170" s="76" t="str">
        <f>IF($R170="","",INDEX($O$5:$O$172,MATCH(ROWS($R$5:R170),$X$5:$X$172,0)))</f>
        <v/>
      </c>
      <c r="U170" s="160" t="str">
        <f>IFERROR(INDEX($Z$5:$Z$448,MATCH(ROWS($U$5:U170),$AA$5:$AA$448,0)),"")</f>
        <v/>
      </c>
      <c r="V170" s="274" t="str">
        <f>IF(May!C21="","",May!C21)</f>
        <v/>
      </c>
      <c r="W170" s="274" t="str" cm="1">
        <f t="array" ref="W170">IF(V170="","",IF(COUNTIF($V$5:V170,V170)&gt;1,"",ROUND(1+SUMPRODUCT(($V$5:$V$448&lt;&gt;"")*($V$5:$V$448&lt;V170)/COUNTIF($V$5:$V$448,$V$5:$V$448&amp;"")),0)))</f>
        <v/>
      </c>
      <c r="X170" s="274" t="str">
        <f t="shared" si="6"/>
        <v/>
      </c>
      <c r="Z170" s="274" t="str">
        <f>IF(May!H21="Major Injury",May!C21,"")</f>
        <v/>
      </c>
      <c r="AA170" s="274" t="str" cm="1">
        <f t="array" ref="AA170">IF(Z170="","",IF(COUNTIF($Z$5:Z170,Z170)&gt;1,"",ROUND(1+SUMPRODUCT(($Z$5:$Z$448&lt;&gt;"")*($Z$5:$Z$448&lt;Z170)/COUNTIF($Z$5:$Z$448,$Z$5:$Z$448&amp;"")),0)))</f>
        <v/>
      </c>
    </row>
    <row r="171" spans="2:27" x14ac:dyDescent="0.25">
      <c r="B171" s="160" t="str">
        <f>IFERROR(INDEX($V$5:$V$448,MATCH(ROWS($B$5:B171),$W$5:$W$448,0)),"")</f>
        <v/>
      </c>
      <c r="C171" s="265" t="str">
        <f>IF($B171="","",COUNTIF(Jan[Resident Name],$B171))</f>
        <v/>
      </c>
      <c r="D171" s="265" t="str">
        <f>IF($B171="","",COUNTIF(Feb[Resident Name],$B171))</f>
        <v/>
      </c>
      <c r="E171" s="265" t="str">
        <f>IF($B171="","",COUNTIF(Mar[Resident Name],$B171))</f>
        <v/>
      </c>
      <c r="F171" s="265" t="str">
        <f>IF($B171="","",COUNTIF(Apr[Resident Name],$B171))</f>
        <v/>
      </c>
      <c r="G171" s="265" t="str">
        <f>IF($B171="","",COUNTIF(May[Resident Name],$B171))</f>
        <v/>
      </c>
      <c r="H171" s="265" t="str">
        <f>IF($B171="","",COUNTIF(June[Resident Name],$B171))</f>
        <v/>
      </c>
      <c r="I171" s="265" t="str">
        <f>IF($B171="","",COUNTIF(July[Resident Name],$B171))</f>
        <v/>
      </c>
      <c r="J171" s="265" t="str">
        <f>IF($B171="","",COUNTIF(Aug[Resident Name],$B171))</f>
        <v/>
      </c>
      <c r="K171" s="265" t="str">
        <f>IF($B171="","",COUNTIF(Sept[Resident Name],$B171))</f>
        <v/>
      </c>
      <c r="L171" s="265" t="str">
        <f>IF($B171="","",COUNTIF(Oct[Resident Name],$B171))</f>
        <v/>
      </c>
      <c r="M171" s="265" t="str">
        <f>IF($B171="","",COUNTIF(Nov[Resident Name],$B171))</f>
        <v/>
      </c>
      <c r="N171" s="265" t="str">
        <f>IF($B171="","",COUNTIF(Dec[Resident Name],$B171))</f>
        <v/>
      </c>
      <c r="O171" s="265" t="str">
        <f t="shared" si="5"/>
        <v/>
      </c>
      <c r="P171" s="11"/>
      <c r="R171" s="160" t="str">
        <f>IFERROR(INDEX($B$5:$B$172,MATCH(ROWS($R$5:R171),$X$5:$X$172,0)),"")</f>
        <v/>
      </c>
      <c r="S171" s="76" t="str">
        <f>IF($R171="","",INDEX($O$5:$O$172,MATCH(ROWS($R$5:R171),$X$5:$X$172,0)))</f>
        <v/>
      </c>
      <c r="U171" s="160" t="str">
        <f>IFERROR(INDEX($Z$5:$Z$448,MATCH(ROWS($U$5:U171),$AA$5:$AA$448,0)),"")</f>
        <v/>
      </c>
      <c r="V171" s="274" t="str">
        <f>IF(May!C22="","",May!C22)</f>
        <v/>
      </c>
      <c r="W171" s="274" t="str" cm="1">
        <f t="array" ref="W171">IF(V171="","",IF(COUNTIF($V$5:V171,V171)&gt;1,"",ROUND(1+SUMPRODUCT(($V$5:$V$448&lt;&gt;"")*($V$5:$V$448&lt;V171)/COUNTIF($V$5:$V$448,$V$5:$V$448&amp;"")),0)))</f>
        <v/>
      </c>
      <c r="X171" s="274" t="str">
        <f t="shared" si="6"/>
        <v/>
      </c>
      <c r="Z171" s="274" t="str">
        <f>IF(May!H22="Major Injury",May!C22,"")</f>
        <v/>
      </c>
      <c r="AA171" s="274" t="str" cm="1">
        <f t="array" ref="AA171">IF(Z171="","",IF(COUNTIF($Z$5:Z171,Z171)&gt;1,"",ROUND(1+SUMPRODUCT(($Z$5:$Z$448&lt;&gt;"")*($Z$5:$Z$448&lt;Z171)/COUNTIF($Z$5:$Z$448,$Z$5:$Z$448&amp;"")),0)))</f>
        <v/>
      </c>
    </row>
    <row r="172" spans="2:27" x14ac:dyDescent="0.25">
      <c r="B172" s="160" t="str">
        <f>IFERROR(INDEX($V$5:$V$448,MATCH(ROWS($B$5:B172),$W$5:$W$448,0)),"")</f>
        <v/>
      </c>
      <c r="C172" s="265" t="str">
        <f>IF($B172="","",COUNTIF(Jan[Resident Name],$B172))</f>
        <v/>
      </c>
      <c r="D172" s="265" t="str">
        <f>IF($B172="","",COUNTIF(Feb[Resident Name],$B172))</f>
        <v/>
      </c>
      <c r="E172" s="265" t="str">
        <f>IF($B172="","",COUNTIF(Mar[Resident Name],$B172))</f>
        <v/>
      </c>
      <c r="F172" s="265" t="str">
        <f>IF($B172="","",COUNTIF(Apr[Resident Name],$B172))</f>
        <v/>
      </c>
      <c r="G172" s="265" t="str">
        <f>IF($B172="","",COUNTIF(May[Resident Name],$B172))</f>
        <v/>
      </c>
      <c r="H172" s="265" t="str">
        <f>IF($B172="","",COUNTIF(June[Resident Name],$B172))</f>
        <v/>
      </c>
      <c r="I172" s="265" t="str">
        <f>IF($B172="","",COUNTIF(July[Resident Name],$B172))</f>
        <v/>
      </c>
      <c r="J172" s="265" t="str">
        <f>IF($B172="","",COUNTIF(Aug[Resident Name],$B172))</f>
        <v/>
      </c>
      <c r="K172" s="265" t="str">
        <f>IF($B172="","",COUNTIF(Sept[Resident Name],$B172))</f>
        <v/>
      </c>
      <c r="L172" s="265" t="str">
        <f>IF($B172="","",COUNTIF(Oct[Resident Name],$B172))</f>
        <v/>
      </c>
      <c r="M172" s="265" t="str">
        <f>IF($B172="","",COUNTIF(Nov[Resident Name],$B172))</f>
        <v/>
      </c>
      <c r="N172" s="265" t="str">
        <f>IF($B172="","",COUNTIF(Dec[Resident Name],$B172))</f>
        <v/>
      </c>
      <c r="O172" s="265" t="str">
        <f t="shared" si="5"/>
        <v/>
      </c>
      <c r="P172" s="11"/>
      <c r="R172" s="160" t="str">
        <f>IFERROR(INDEX($B$5:$B$172,MATCH(ROWS($R$5:R172),$X$5:$X$172,0)),"")</f>
        <v/>
      </c>
      <c r="S172" s="76" t="str">
        <f>IF($R172="","",INDEX($O$5:$O$172,MATCH(ROWS($R$5:R172),$X$5:$X$172,0)))</f>
        <v/>
      </c>
      <c r="U172" s="160" t="str">
        <f>IFERROR(INDEX($Z$5:$Z$448,MATCH(ROWS($U$5:U172),$AA$5:$AA$448,0)),"")</f>
        <v/>
      </c>
      <c r="V172" s="274" t="str">
        <f>IF(May!C23="","",May!C23)</f>
        <v/>
      </c>
      <c r="W172" s="274" t="str" cm="1">
        <f t="array" ref="W172">IF(V172="","",IF(COUNTIF($V$5:V172,V172)&gt;1,"",ROUND(1+SUMPRODUCT(($V$5:$V$448&lt;&gt;"")*($V$5:$V$448&lt;V172)/COUNTIF($V$5:$V$448,$V$5:$V$448&amp;"")),0)))</f>
        <v/>
      </c>
      <c r="X172" s="274" t="str">
        <f t="shared" si="6"/>
        <v/>
      </c>
      <c r="Z172" s="274" t="str">
        <f>IF(May!H23="Major Injury",May!C23,"")</f>
        <v/>
      </c>
      <c r="AA172" s="274" t="str" cm="1">
        <f t="array" ref="AA172">IF(Z172="","",IF(COUNTIF($Z$5:Z172,Z172)&gt;1,"",ROUND(1+SUMPRODUCT(($Z$5:$Z$448&lt;&gt;"")*($Z$5:$Z$448&lt;Z172)/COUNTIF($Z$5:$Z$448,$Z$5:$Z$448&amp;"")),0)))</f>
        <v/>
      </c>
    </row>
    <row r="173" spans="2:27" x14ac:dyDescent="0.25">
      <c r="B173" s="160" t="str">
        <f>IFERROR(INDEX($V$5:$V$448,MATCH(ROWS($B$5:B173),$W$5:$W$448,0)),"")</f>
        <v/>
      </c>
      <c r="C173" s="265" t="str">
        <f>IF($B173="","",COUNTIF(Jan[Resident Name],$B173))</f>
        <v/>
      </c>
      <c r="D173" s="265" t="str">
        <f>IF($B173="","",COUNTIF(Feb[Resident Name],$B173))</f>
        <v/>
      </c>
      <c r="E173" s="265" t="str">
        <f>IF($B173="","",COUNTIF(Mar[Resident Name],$B173))</f>
        <v/>
      </c>
      <c r="F173" s="265" t="str">
        <f>IF($B173="","",COUNTIF(Apr[Resident Name],$B173))</f>
        <v/>
      </c>
      <c r="G173" s="265" t="str">
        <f>IF($B173="","",COUNTIF(May[Resident Name],$B173))</f>
        <v/>
      </c>
      <c r="H173" s="265" t="str">
        <f>IF($B173="","",COUNTIF(June[Resident Name],$B173))</f>
        <v/>
      </c>
      <c r="I173" s="265" t="str">
        <f>IF($B173="","",COUNTIF(July[Resident Name],$B173))</f>
        <v/>
      </c>
      <c r="J173" s="265" t="str">
        <f>IF($B173="","",COUNTIF(Aug[Resident Name],$B173))</f>
        <v/>
      </c>
      <c r="K173" s="265" t="str">
        <f>IF($B173="","",COUNTIF(Sept[Resident Name],$B173))</f>
        <v/>
      </c>
      <c r="L173" s="265" t="str">
        <f>IF($B173="","",COUNTIF(Oct[Resident Name],$B173))</f>
        <v/>
      </c>
      <c r="M173" s="265" t="str">
        <f>IF($B173="","",COUNTIF(Nov[Resident Name],$B173))</f>
        <v/>
      </c>
      <c r="N173" s="265" t="str">
        <f>IF($B173="","",COUNTIF(Dec[Resident Name],$B173))</f>
        <v/>
      </c>
      <c r="O173" s="265" t="str">
        <f t="shared" ref="O173" si="7">IF($B173="","",SUM(C173:N173))</f>
        <v/>
      </c>
      <c r="P173" s="11"/>
      <c r="R173" s="160" t="str">
        <f>IFERROR(INDEX($B$5:$B$172,MATCH(ROWS($R$5:R173),$X$5:$X$172,0)),"")</f>
        <v/>
      </c>
      <c r="S173" s="76" t="str">
        <f>IF($R173="","",INDEX($O$5:$O$172,MATCH(ROWS($R$5:R173),$X$5:$X$172,0)))</f>
        <v/>
      </c>
      <c r="U173" s="160" t="str">
        <f>IFERROR(INDEX($Z$5:$Z$448,MATCH(ROWS($U$5:U173),$AA$5:$AA$448,0)),"")</f>
        <v/>
      </c>
      <c r="V173" s="274" t="str">
        <f>IF(May!C24="","",May!C24)</f>
        <v/>
      </c>
      <c r="W173" s="274" t="str" cm="1">
        <f t="array" ref="W173">IF(V173="","",IF(COUNTIF($V$5:V173,V173)&gt;1,"",ROUND(1+SUMPRODUCT(($V$5:$V$448&lt;&gt;"")*($V$5:$V$448&lt;V173)/COUNTIF($V$5:$V$448,$V$5:$V$448&amp;"")),0)))</f>
        <v/>
      </c>
      <c r="X173" s="274"/>
      <c r="Z173" s="274" t="str">
        <f>IF(May!H24="Major Injury",May!C24,"")</f>
        <v/>
      </c>
      <c r="AA173" s="274" t="str" cm="1">
        <f t="array" ref="AA173">IF(Z173="","",IF(COUNTIF($Z$5:Z173,Z173)&gt;1,"",ROUND(1+SUMPRODUCT(($Z$5:$Z$448&lt;&gt;"")*($Z$5:$Z$448&lt;Z173)/COUNTIF($Z$5:$Z$448,$Z$5:$Z$448&amp;"")),0)))</f>
        <v/>
      </c>
    </row>
    <row r="174" spans="2:27" x14ac:dyDescent="0.25">
      <c r="B174" s="160" t="str">
        <f>IFERROR(INDEX($V$5:$V$448,MATCH(ROWS($B$5:B174),$W$5:$W$448,0)),"")</f>
        <v/>
      </c>
      <c r="C174" s="265" t="str">
        <f>IF($B174="","",COUNTIF(Jan[Resident Name],$B174))</f>
        <v/>
      </c>
      <c r="D174" s="265" t="str">
        <f>IF($B174="","",COUNTIF(Feb[Resident Name],$B174))</f>
        <v/>
      </c>
      <c r="E174" s="265" t="str">
        <f>IF($B174="","",COUNTIF(Mar[Resident Name],$B174))</f>
        <v/>
      </c>
      <c r="F174" s="265" t="str">
        <f>IF($B174="","",COUNTIF(Apr[Resident Name],$B174))</f>
        <v/>
      </c>
      <c r="G174" s="265" t="str">
        <f>IF($B174="","",COUNTIF(May[Resident Name],$B174))</f>
        <v/>
      </c>
      <c r="H174" s="265" t="str">
        <f>IF($B174="","",COUNTIF(June[Resident Name],$B174))</f>
        <v/>
      </c>
      <c r="I174" s="265" t="str">
        <f>IF($B174="","",COUNTIF(July[Resident Name],$B174))</f>
        <v/>
      </c>
      <c r="J174" s="265" t="str">
        <f>IF($B174="","",COUNTIF(Aug[Resident Name],$B174))</f>
        <v/>
      </c>
      <c r="K174" s="265" t="str">
        <f>IF($B174="","",COUNTIF(Sept[Resident Name],$B174))</f>
        <v/>
      </c>
      <c r="L174" s="265" t="str">
        <f>IF($B174="","",COUNTIF(Oct[Resident Name],$B174))</f>
        <v/>
      </c>
      <c r="M174" s="265" t="str">
        <f>IF($B174="","",COUNTIF(Nov[Resident Name],$B174))</f>
        <v/>
      </c>
      <c r="N174" s="265" t="str">
        <f>IF($B174="","",COUNTIF(Dec[Resident Name],$B174))</f>
        <v/>
      </c>
      <c r="O174" s="265" t="str">
        <f t="shared" ref="O174:O200" si="8">IF($B174="","",SUM(C174:N174))</f>
        <v/>
      </c>
      <c r="P174" s="11"/>
      <c r="R174" s="160" t="str">
        <f>IFERROR(INDEX($B$5:$B$172,MATCH(ROWS($R$5:R174),$X$5:$X$172,0)),"")</f>
        <v/>
      </c>
      <c r="S174" s="76" t="str">
        <f>IF($R174="","",INDEX($O$5:$O$172,MATCH(ROWS($R$5:R174),$X$5:$X$172,0)))</f>
        <v/>
      </c>
      <c r="U174" s="160" t="str">
        <f>IFERROR(INDEX($Z$5:$Z$448,MATCH(ROWS($U$5:U174),$AA$5:$AA$448,0)),"")</f>
        <v/>
      </c>
      <c r="V174" s="274" t="str">
        <f>IF(May!C25="","",May!C25)</f>
        <v/>
      </c>
      <c r="W174" s="274" t="str" cm="1">
        <f t="array" ref="W174">IF(V174="","",IF(COUNTIF($V$5:V174,V174)&gt;1,"",ROUND(1+SUMPRODUCT(($V$5:$V$448&lt;&gt;"")*($V$5:$V$448&lt;V174)/COUNTIF($V$5:$V$448,$V$5:$V$448&amp;"")),0)))</f>
        <v/>
      </c>
      <c r="X174" s="274"/>
      <c r="Z174" s="274" t="str">
        <f>IF(May!H25="Major Injury",May!C25,"")</f>
        <v/>
      </c>
      <c r="AA174" s="274" t="str" cm="1">
        <f t="array" ref="AA174">IF(Z174="","",IF(COUNTIF($Z$5:Z174,Z174)&gt;1,"",ROUND(1+SUMPRODUCT(($Z$5:$Z$448&lt;&gt;"")*($Z$5:$Z$448&lt;Z174)/COUNTIF($Z$5:$Z$448,$Z$5:$Z$448&amp;"")),0)))</f>
        <v/>
      </c>
    </row>
    <row r="175" spans="2:27" x14ac:dyDescent="0.25">
      <c r="B175" s="160" t="str">
        <f>IFERROR(INDEX($V$5:$V$448,MATCH(ROWS($B$5:B175),$W$5:$W$448,0)),"")</f>
        <v/>
      </c>
      <c r="C175" s="265" t="str">
        <f>IF($B175="","",COUNTIF(Jan[Resident Name],$B175))</f>
        <v/>
      </c>
      <c r="D175" s="265" t="str">
        <f>IF($B175="","",COUNTIF(Feb[Resident Name],$B175))</f>
        <v/>
      </c>
      <c r="E175" s="265" t="str">
        <f>IF($B175="","",COUNTIF(Mar[Resident Name],$B175))</f>
        <v/>
      </c>
      <c r="F175" s="265" t="str">
        <f>IF($B175="","",COUNTIF(Apr[Resident Name],$B175))</f>
        <v/>
      </c>
      <c r="G175" s="265" t="str">
        <f>IF($B175="","",COUNTIF(May[Resident Name],$B175))</f>
        <v/>
      </c>
      <c r="H175" s="265" t="str">
        <f>IF($B175="","",COUNTIF(June[Resident Name],$B175))</f>
        <v/>
      </c>
      <c r="I175" s="265" t="str">
        <f>IF($B175="","",COUNTIF(July[Resident Name],$B175))</f>
        <v/>
      </c>
      <c r="J175" s="265" t="str">
        <f>IF($B175="","",COUNTIF(Aug[Resident Name],$B175))</f>
        <v/>
      </c>
      <c r="K175" s="265" t="str">
        <f>IF($B175="","",COUNTIF(Sept[Resident Name],$B175))</f>
        <v/>
      </c>
      <c r="L175" s="265" t="str">
        <f>IF($B175="","",COUNTIF(Oct[Resident Name],$B175))</f>
        <v/>
      </c>
      <c r="M175" s="265" t="str">
        <f>IF($B175="","",COUNTIF(Nov[Resident Name],$B175))</f>
        <v/>
      </c>
      <c r="N175" s="265" t="str">
        <f>IF($B175="","",COUNTIF(Dec[Resident Name],$B175))</f>
        <v/>
      </c>
      <c r="O175" s="265" t="str">
        <f t="shared" si="8"/>
        <v/>
      </c>
      <c r="P175" s="11"/>
      <c r="R175" s="160" t="str">
        <f>IFERROR(INDEX($B$5:$B$172,MATCH(ROWS($R$5:R175),$X$5:$X$172,0)),"")</f>
        <v/>
      </c>
      <c r="S175" s="76" t="str">
        <f>IF($R175="","",INDEX($O$5:$O$172,MATCH(ROWS($R$5:R175),$X$5:$X$172,0)))</f>
        <v/>
      </c>
      <c r="U175" s="160" t="str">
        <f>IFERROR(INDEX($Z$5:$Z$448,MATCH(ROWS($U$5:U175),$AA$5:$AA$448,0)),"")</f>
        <v/>
      </c>
      <c r="V175" s="274" t="str">
        <f>IF(May!C26="","",May!C26)</f>
        <v/>
      </c>
      <c r="W175" s="274" t="str" cm="1">
        <f t="array" ref="W175">IF(V175="","",IF(COUNTIF($V$5:V175,V175)&gt;1,"",ROUND(1+SUMPRODUCT(($V$5:$V$448&lt;&gt;"")*($V$5:$V$448&lt;V175)/COUNTIF($V$5:$V$448,$V$5:$V$448&amp;"")),0)))</f>
        <v/>
      </c>
      <c r="X175" s="274"/>
      <c r="Z175" s="274" t="str">
        <f>IF(May!H26="Major Injury",May!C26,"")</f>
        <v/>
      </c>
      <c r="AA175" s="274" t="str" cm="1">
        <f t="array" ref="AA175">IF(Z175="","",IF(COUNTIF($Z$5:Z175,Z175)&gt;1,"",ROUND(1+SUMPRODUCT(($Z$5:$Z$448&lt;&gt;"")*($Z$5:$Z$448&lt;Z175)/COUNTIF($Z$5:$Z$448,$Z$5:$Z$448&amp;"")),0)))</f>
        <v/>
      </c>
    </row>
    <row r="176" spans="2:27" x14ac:dyDescent="0.25">
      <c r="B176" s="160" t="str">
        <f>IFERROR(INDEX($V$5:$V$448,MATCH(ROWS($B$5:B176),$W$5:$W$448,0)),"")</f>
        <v/>
      </c>
      <c r="C176" s="265" t="str">
        <f>IF($B176="","",COUNTIF(Jan[Resident Name],$B176))</f>
        <v/>
      </c>
      <c r="D176" s="265" t="str">
        <f>IF($B176="","",COUNTIF(Feb[Resident Name],$B176))</f>
        <v/>
      </c>
      <c r="E176" s="265" t="str">
        <f>IF($B176="","",COUNTIF(Mar[Resident Name],$B176))</f>
        <v/>
      </c>
      <c r="F176" s="265" t="str">
        <f>IF($B176="","",COUNTIF(Apr[Resident Name],$B176))</f>
        <v/>
      </c>
      <c r="G176" s="265" t="str">
        <f>IF($B176="","",COUNTIF(May[Resident Name],$B176))</f>
        <v/>
      </c>
      <c r="H176" s="265" t="str">
        <f>IF($B176="","",COUNTIF(June[Resident Name],$B176))</f>
        <v/>
      </c>
      <c r="I176" s="265" t="str">
        <f>IF($B176="","",COUNTIF(July[Resident Name],$B176))</f>
        <v/>
      </c>
      <c r="J176" s="265" t="str">
        <f>IF($B176="","",COUNTIF(Aug[Resident Name],$B176))</f>
        <v/>
      </c>
      <c r="K176" s="265" t="str">
        <f>IF($B176="","",COUNTIF(Sept[Resident Name],$B176))</f>
        <v/>
      </c>
      <c r="L176" s="265" t="str">
        <f>IF($B176="","",COUNTIF(Oct[Resident Name],$B176))</f>
        <v/>
      </c>
      <c r="M176" s="265" t="str">
        <f>IF($B176="","",COUNTIF(Nov[Resident Name],$B176))</f>
        <v/>
      </c>
      <c r="N176" s="265" t="str">
        <f>IF($B176="","",COUNTIF(Dec[Resident Name],$B176))</f>
        <v/>
      </c>
      <c r="O176" s="265" t="str">
        <f t="shared" si="8"/>
        <v/>
      </c>
      <c r="P176" s="11"/>
      <c r="R176" s="160" t="str">
        <f>IFERROR(INDEX($B$5:$B$172,MATCH(ROWS($R$5:R176),$X$5:$X$172,0)),"")</f>
        <v/>
      </c>
      <c r="S176" s="76" t="str">
        <f>IF($R176="","",INDEX($O$5:$O$172,MATCH(ROWS($R$5:R176),$X$5:$X$172,0)))</f>
        <v/>
      </c>
      <c r="U176" s="160" t="str">
        <f>IFERROR(INDEX($Z$5:$Z$448,MATCH(ROWS($U$5:U176),$AA$5:$AA$448,0)),"")</f>
        <v/>
      </c>
      <c r="V176" s="274" t="str">
        <f>IF(May!C27="","",May!C27)</f>
        <v/>
      </c>
      <c r="W176" s="274" t="str" cm="1">
        <f t="array" ref="W176">IF(V176="","",IF(COUNTIF($V$5:V176,V176)&gt;1,"",ROUND(1+SUMPRODUCT(($V$5:$V$448&lt;&gt;"")*($V$5:$V$448&lt;V176)/COUNTIF($V$5:$V$448,$V$5:$V$448&amp;"")),0)))</f>
        <v/>
      </c>
      <c r="X176" s="274"/>
      <c r="Z176" s="274" t="str">
        <f>IF(May!H27="Major Injury",May!C27,"")</f>
        <v/>
      </c>
      <c r="AA176" s="274" t="str" cm="1">
        <f t="array" ref="AA176">IF(Z176="","",IF(COUNTIF($Z$5:Z176,Z176)&gt;1,"",ROUND(1+SUMPRODUCT(($Z$5:$Z$448&lt;&gt;"")*($Z$5:$Z$448&lt;Z176)/COUNTIF($Z$5:$Z$448,$Z$5:$Z$448&amp;"")),0)))</f>
        <v/>
      </c>
    </row>
    <row r="177" spans="2:27" x14ac:dyDescent="0.25">
      <c r="B177" s="160" t="str">
        <f>IFERROR(INDEX($V$5:$V$448,MATCH(ROWS($B$5:B177),$W$5:$W$448,0)),"")</f>
        <v/>
      </c>
      <c r="C177" s="265" t="str">
        <f>IF($B177="","",COUNTIF(Jan[Resident Name],$B177))</f>
        <v/>
      </c>
      <c r="D177" s="265" t="str">
        <f>IF($B177="","",COUNTIF(Feb[Resident Name],$B177))</f>
        <v/>
      </c>
      <c r="E177" s="265" t="str">
        <f>IF($B177="","",COUNTIF(Mar[Resident Name],$B177))</f>
        <v/>
      </c>
      <c r="F177" s="265" t="str">
        <f>IF($B177="","",COUNTIF(Apr[Resident Name],$B177))</f>
        <v/>
      </c>
      <c r="G177" s="265" t="str">
        <f>IF($B177="","",COUNTIF(May[Resident Name],$B177))</f>
        <v/>
      </c>
      <c r="H177" s="265" t="str">
        <f>IF($B177="","",COUNTIF(June[Resident Name],$B177))</f>
        <v/>
      </c>
      <c r="I177" s="265" t="str">
        <f>IF($B177="","",COUNTIF(July[Resident Name],$B177))</f>
        <v/>
      </c>
      <c r="J177" s="265" t="str">
        <f>IF($B177="","",COUNTIF(Aug[Resident Name],$B177))</f>
        <v/>
      </c>
      <c r="K177" s="265" t="str">
        <f>IF($B177="","",COUNTIF(Sept[Resident Name],$B177))</f>
        <v/>
      </c>
      <c r="L177" s="265" t="str">
        <f>IF($B177="","",COUNTIF(Oct[Resident Name],$B177))</f>
        <v/>
      </c>
      <c r="M177" s="265" t="str">
        <f>IF($B177="","",COUNTIF(Nov[Resident Name],$B177))</f>
        <v/>
      </c>
      <c r="N177" s="265" t="str">
        <f>IF($B177="","",COUNTIF(Dec[Resident Name],$B177))</f>
        <v/>
      </c>
      <c r="O177" s="265" t="str">
        <f t="shared" si="8"/>
        <v/>
      </c>
      <c r="P177" s="11"/>
      <c r="R177" s="160" t="str">
        <f>IFERROR(INDEX($B$5:$B$172,MATCH(ROWS($R$5:R177),$X$5:$X$172,0)),"")</f>
        <v/>
      </c>
      <c r="S177" s="76" t="str">
        <f>IF($R177="","",INDEX($O$5:$O$172,MATCH(ROWS($R$5:R177),$X$5:$X$172,0)))</f>
        <v/>
      </c>
      <c r="U177" s="160" t="str">
        <f>IFERROR(INDEX($Z$5:$Z$448,MATCH(ROWS($U$5:U177),$AA$5:$AA$448,0)),"")</f>
        <v/>
      </c>
      <c r="V177" s="274" t="str">
        <f>IF(May!C28="","",May!C28)</f>
        <v/>
      </c>
      <c r="W177" s="274" t="str" cm="1">
        <f t="array" ref="W177">IF(V177="","",IF(COUNTIF($V$5:V177,V177)&gt;1,"",ROUND(1+SUMPRODUCT(($V$5:$V$448&lt;&gt;"")*($V$5:$V$448&lt;V177)/COUNTIF($V$5:$V$448,$V$5:$V$448&amp;"")),0)))</f>
        <v/>
      </c>
      <c r="X177" s="274"/>
      <c r="Z177" s="274" t="str">
        <f>IF(May!H28="Major Injury",May!C28,"")</f>
        <v/>
      </c>
      <c r="AA177" s="274" t="str" cm="1">
        <f t="array" ref="AA177">IF(Z177="","",IF(COUNTIF($Z$5:Z177,Z177)&gt;1,"",ROUND(1+SUMPRODUCT(($Z$5:$Z$448&lt;&gt;"")*($Z$5:$Z$448&lt;Z177)/COUNTIF($Z$5:$Z$448,$Z$5:$Z$448&amp;"")),0)))</f>
        <v/>
      </c>
    </row>
    <row r="178" spans="2:27" x14ac:dyDescent="0.25">
      <c r="B178" s="160" t="str">
        <f>IFERROR(INDEX($V$5:$V$448,MATCH(ROWS($B$5:B178),$W$5:$W$448,0)),"")</f>
        <v/>
      </c>
      <c r="C178" s="265" t="str">
        <f>IF($B178="","",COUNTIF(Jan[Resident Name],$B178))</f>
        <v/>
      </c>
      <c r="D178" s="265" t="str">
        <f>IF($B178="","",COUNTIF(Feb[Resident Name],$B178))</f>
        <v/>
      </c>
      <c r="E178" s="265" t="str">
        <f>IF($B178="","",COUNTIF(Mar[Resident Name],$B178))</f>
        <v/>
      </c>
      <c r="F178" s="265" t="str">
        <f>IF($B178="","",COUNTIF(Apr[Resident Name],$B178))</f>
        <v/>
      </c>
      <c r="G178" s="265" t="str">
        <f>IF($B178="","",COUNTIF(May[Resident Name],$B178))</f>
        <v/>
      </c>
      <c r="H178" s="265" t="str">
        <f>IF($B178="","",COUNTIF(June[Resident Name],$B178))</f>
        <v/>
      </c>
      <c r="I178" s="265" t="str">
        <f>IF($B178="","",COUNTIF(July[Resident Name],$B178))</f>
        <v/>
      </c>
      <c r="J178" s="265" t="str">
        <f>IF($B178="","",COUNTIF(Aug[Resident Name],$B178))</f>
        <v/>
      </c>
      <c r="K178" s="265" t="str">
        <f>IF($B178="","",COUNTIF(Sept[Resident Name],$B178))</f>
        <v/>
      </c>
      <c r="L178" s="265" t="str">
        <f>IF($B178="","",COUNTIF(Oct[Resident Name],$B178))</f>
        <v/>
      </c>
      <c r="M178" s="265" t="str">
        <f>IF($B178="","",COUNTIF(Nov[Resident Name],$B178))</f>
        <v/>
      </c>
      <c r="N178" s="265" t="str">
        <f>IF($B178="","",COUNTIF(Dec[Resident Name],$B178))</f>
        <v/>
      </c>
      <c r="O178" s="265" t="str">
        <f t="shared" si="8"/>
        <v/>
      </c>
      <c r="P178" s="11"/>
      <c r="R178" s="160" t="str">
        <f>IFERROR(INDEX($B$5:$B$172,MATCH(ROWS($R$5:R178),$X$5:$X$172,0)),"")</f>
        <v/>
      </c>
      <c r="S178" s="76" t="str">
        <f>IF($R178="","",INDEX($O$5:$O$172,MATCH(ROWS($R$5:R178),$X$5:$X$172,0)))</f>
        <v/>
      </c>
      <c r="U178" s="160" t="str">
        <f>IFERROR(INDEX($Z$5:$Z$448,MATCH(ROWS($U$5:U178),$AA$5:$AA$448,0)),"")</f>
        <v/>
      </c>
      <c r="V178" s="274" t="str">
        <f>IF(May!C29="","",May!C29)</f>
        <v/>
      </c>
      <c r="W178" s="274" t="str" cm="1">
        <f t="array" ref="W178">IF(V178="","",IF(COUNTIF($V$5:V178,V178)&gt;1,"",ROUND(1+SUMPRODUCT(($V$5:$V$448&lt;&gt;"")*($V$5:$V$448&lt;V178)/COUNTIF($V$5:$V$448,$V$5:$V$448&amp;"")),0)))</f>
        <v/>
      </c>
      <c r="X178" s="274"/>
      <c r="Z178" s="274" t="str">
        <f>IF(May!H29="Major Injury",May!C29,"")</f>
        <v/>
      </c>
      <c r="AA178" s="274" t="str" cm="1">
        <f t="array" ref="AA178">IF(Z178="","",IF(COUNTIF($Z$5:Z178,Z178)&gt;1,"",ROUND(1+SUMPRODUCT(($Z$5:$Z$448&lt;&gt;"")*($Z$5:$Z$448&lt;Z178)/COUNTIF($Z$5:$Z$448,$Z$5:$Z$448&amp;"")),0)))</f>
        <v/>
      </c>
    </row>
    <row r="179" spans="2:27" x14ac:dyDescent="0.25">
      <c r="B179" s="160" t="str">
        <f>IFERROR(INDEX($V$5:$V$448,MATCH(ROWS($B$5:B179),$W$5:$W$448,0)),"")</f>
        <v/>
      </c>
      <c r="C179" s="265" t="str">
        <f>IF($B179="","",COUNTIF(Jan[Resident Name],$B179))</f>
        <v/>
      </c>
      <c r="D179" s="265" t="str">
        <f>IF($B179="","",COUNTIF(Feb[Resident Name],$B179))</f>
        <v/>
      </c>
      <c r="E179" s="265" t="str">
        <f>IF($B179="","",COUNTIF(Mar[Resident Name],$B179))</f>
        <v/>
      </c>
      <c r="F179" s="265" t="str">
        <f>IF($B179="","",COUNTIF(Apr[Resident Name],$B179))</f>
        <v/>
      </c>
      <c r="G179" s="265" t="str">
        <f>IF($B179="","",COUNTIF(May[Resident Name],$B179))</f>
        <v/>
      </c>
      <c r="H179" s="265" t="str">
        <f>IF($B179="","",COUNTIF(June[Resident Name],$B179))</f>
        <v/>
      </c>
      <c r="I179" s="265" t="str">
        <f>IF($B179="","",COUNTIF(July[Resident Name],$B179))</f>
        <v/>
      </c>
      <c r="J179" s="265" t="str">
        <f>IF($B179="","",COUNTIF(Aug[Resident Name],$B179))</f>
        <v/>
      </c>
      <c r="K179" s="265" t="str">
        <f>IF($B179="","",COUNTIF(Sept[Resident Name],$B179))</f>
        <v/>
      </c>
      <c r="L179" s="265" t="str">
        <f>IF($B179="","",COUNTIF(Oct[Resident Name],$B179))</f>
        <v/>
      </c>
      <c r="M179" s="265" t="str">
        <f>IF($B179="","",COUNTIF(Nov[Resident Name],$B179))</f>
        <v/>
      </c>
      <c r="N179" s="265" t="str">
        <f>IF($B179="","",COUNTIF(Dec[Resident Name],$B179))</f>
        <v/>
      </c>
      <c r="O179" s="265" t="str">
        <f t="shared" si="8"/>
        <v/>
      </c>
      <c r="P179" s="11"/>
      <c r="R179" s="160" t="str">
        <f>IFERROR(INDEX($B$5:$B$172,MATCH(ROWS($R$5:R179),$X$5:$X$172,0)),"")</f>
        <v/>
      </c>
      <c r="S179" s="76" t="str">
        <f>IF($R179="","",INDEX($O$5:$O$172,MATCH(ROWS($R$5:R179),$X$5:$X$172,0)))</f>
        <v/>
      </c>
      <c r="U179" s="160" t="str">
        <f>IFERROR(INDEX($Z$5:$Z$448,MATCH(ROWS($U$5:U179),$AA$5:$AA$448,0)),"")</f>
        <v/>
      </c>
      <c r="V179" s="274" t="str">
        <f>IF(May!C30="","",May!C30)</f>
        <v/>
      </c>
      <c r="W179" s="274" t="str" cm="1">
        <f t="array" ref="W179">IF(V179="","",IF(COUNTIF($V$5:V179,V179)&gt;1,"",ROUND(1+SUMPRODUCT(($V$5:$V$448&lt;&gt;"")*($V$5:$V$448&lt;V179)/COUNTIF($V$5:$V$448,$V$5:$V$448&amp;"")),0)))</f>
        <v/>
      </c>
      <c r="X179" s="274"/>
      <c r="Z179" s="274" t="str">
        <f>IF(May!H30="Major Injury",May!C30,"")</f>
        <v/>
      </c>
      <c r="AA179" s="274" t="str" cm="1">
        <f t="array" ref="AA179">IF(Z179="","",IF(COUNTIF($Z$5:Z179,Z179)&gt;1,"",ROUND(1+SUMPRODUCT(($Z$5:$Z$448&lt;&gt;"")*($Z$5:$Z$448&lt;Z179)/COUNTIF($Z$5:$Z$448,$Z$5:$Z$448&amp;"")),0)))</f>
        <v/>
      </c>
    </row>
    <row r="180" spans="2:27" x14ac:dyDescent="0.25">
      <c r="B180" s="160" t="str">
        <f>IFERROR(INDEX($V$5:$V$448,MATCH(ROWS($B$5:B180),$W$5:$W$448,0)),"")</f>
        <v/>
      </c>
      <c r="C180" s="265" t="str">
        <f>IF($B180="","",COUNTIF(Jan[Resident Name],$B180))</f>
        <v/>
      </c>
      <c r="D180" s="265" t="str">
        <f>IF($B180="","",COUNTIF(Feb[Resident Name],$B180))</f>
        <v/>
      </c>
      <c r="E180" s="265" t="str">
        <f>IF($B180="","",COUNTIF(Mar[Resident Name],$B180))</f>
        <v/>
      </c>
      <c r="F180" s="265" t="str">
        <f>IF($B180="","",COUNTIF(Apr[Resident Name],$B180))</f>
        <v/>
      </c>
      <c r="G180" s="265" t="str">
        <f>IF($B180="","",COUNTIF(May[Resident Name],$B180))</f>
        <v/>
      </c>
      <c r="H180" s="265" t="str">
        <f>IF($B180="","",COUNTIF(June[Resident Name],$B180))</f>
        <v/>
      </c>
      <c r="I180" s="265" t="str">
        <f>IF($B180="","",COUNTIF(July[Resident Name],$B180))</f>
        <v/>
      </c>
      <c r="J180" s="265" t="str">
        <f>IF($B180="","",COUNTIF(Aug[Resident Name],$B180))</f>
        <v/>
      </c>
      <c r="K180" s="265" t="str">
        <f>IF($B180="","",COUNTIF(Sept[Resident Name],$B180))</f>
        <v/>
      </c>
      <c r="L180" s="265" t="str">
        <f>IF($B180="","",COUNTIF(Oct[Resident Name],$B180))</f>
        <v/>
      </c>
      <c r="M180" s="265" t="str">
        <f>IF($B180="","",COUNTIF(Nov[Resident Name],$B180))</f>
        <v/>
      </c>
      <c r="N180" s="265" t="str">
        <f>IF($B180="","",COUNTIF(Dec[Resident Name],$B180))</f>
        <v/>
      </c>
      <c r="O180" s="265" t="str">
        <f t="shared" si="8"/>
        <v/>
      </c>
      <c r="P180" s="11"/>
      <c r="R180" s="160" t="str">
        <f>IFERROR(INDEX($B$5:$B$172,MATCH(ROWS($R$5:R180),$X$5:$X$172,0)),"")</f>
        <v/>
      </c>
      <c r="S180" s="76" t="str">
        <f>IF($R180="","",INDEX($O$5:$O$172,MATCH(ROWS($R$5:R180),$X$5:$X$172,0)))</f>
        <v/>
      </c>
      <c r="U180" s="160" t="str">
        <f>IFERROR(INDEX($Z$5:$Z$448,MATCH(ROWS($U$5:U180),$AA$5:$AA$448,0)),"")</f>
        <v/>
      </c>
      <c r="V180" s="274" t="str">
        <f>IF(May!C31="","",May!C31)</f>
        <v/>
      </c>
      <c r="W180" s="274" t="str" cm="1">
        <f t="array" ref="W180">IF(V180="","",IF(COUNTIF($V$5:V180,V180)&gt;1,"",ROUND(1+SUMPRODUCT(($V$5:$V$448&lt;&gt;"")*($V$5:$V$448&lt;V180)/COUNTIF($V$5:$V$448,$V$5:$V$448&amp;"")),0)))</f>
        <v/>
      </c>
      <c r="X180" s="274"/>
      <c r="Z180" s="274" t="str">
        <f>IF(May!H31="Major Injury",May!C31,"")</f>
        <v/>
      </c>
      <c r="AA180" s="274" t="str" cm="1">
        <f t="array" ref="AA180">IF(Z180="","",IF(COUNTIF($Z$5:Z180,Z180)&gt;1,"",ROUND(1+SUMPRODUCT(($Z$5:$Z$448&lt;&gt;"")*($Z$5:$Z$448&lt;Z180)/COUNTIF($Z$5:$Z$448,$Z$5:$Z$448&amp;"")),0)))</f>
        <v/>
      </c>
    </row>
    <row r="181" spans="2:27" x14ac:dyDescent="0.25">
      <c r="B181" s="160" t="str">
        <f>IFERROR(INDEX($V$5:$V$448,MATCH(ROWS($B$5:B181),$W$5:$W$448,0)),"")</f>
        <v/>
      </c>
      <c r="C181" s="265" t="str">
        <f>IF($B181="","",COUNTIF(Jan[Resident Name],$B181))</f>
        <v/>
      </c>
      <c r="D181" s="265" t="str">
        <f>IF($B181="","",COUNTIF(Feb[Resident Name],$B181))</f>
        <v/>
      </c>
      <c r="E181" s="265" t="str">
        <f>IF($B181="","",COUNTIF(Mar[Resident Name],$B181))</f>
        <v/>
      </c>
      <c r="F181" s="265" t="str">
        <f>IF($B181="","",COUNTIF(Apr[Resident Name],$B181))</f>
        <v/>
      </c>
      <c r="G181" s="265" t="str">
        <f>IF($B181="","",COUNTIF(May[Resident Name],$B181))</f>
        <v/>
      </c>
      <c r="H181" s="265" t="str">
        <f>IF($B181="","",COUNTIF(June[Resident Name],$B181))</f>
        <v/>
      </c>
      <c r="I181" s="265" t="str">
        <f>IF($B181="","",COUNTIF(July[Resident Name],$B181))</f>
        <v/>
      </c>
      <c r="J181" s="265" t="str">
        <f>IF($B181="","",COUNTIF(Aug[Resident Name],$B181))</f>
        <v/>
      </c>
      <c r="K181" s="265" t="str">
        <f>IF($B181="","",COUNTIF(Sept[Resident Name],$B181))</f>
        <v/>
      </c>
      <c r="L181" s="265" t="str">
        <f>IF($B181="","",COUNTIF(Oct[Resident Name],$B181))</f>
        <v/>
      </c>
      <c r="M181" s="265" t="str">
        <f>IF($B181="","",COUNTIF(Nov[Resident Name],$B181))</f>
        <v/>
      </c>
      <c r="N181" s="265" t="str">
        <f>IF($B181="","",COUNTIF(Dec[Resident Name],$B181))</f>
        <v/>
      </c>
      <c r="O181" s="265" t="str">
        <f t="shared" si="8"/>
        <v/>
      </c>
      <c r="P181" s="11"/>
      <c r="R181" s="160" t="str">
        <f>IFERROR(INDEX($B$5:$B$172,MATCH(ROWS($R$5:R181),$X$5:$X$172,0)),"")</f>
        <v/>
      </c>
      <c r="S181" s="76" t="str">
        <f>IF($R181="","",INDEX($O$5:$O$172,MATCH(ROWS($R$5:R181),$X$5:$X$172,0)))</f>
        <v/>
      </c>
      <c r="U181" s="160" t="str">
        <f>IFERROR(INDEX($Z$5:$Z$448,MATCH(ROWS($U$5:U181),$AA$5:$AA$448,0)),"")</f>
        <v/>
      </c>
      <c r="V181" s="274" t="str">
        <f>IF(May!C32="","",May!C32)</f>
        <v/>
      </c>
      <c r="W181" s="274" t="str" cm="1">
        <f t="array" ref="W181">IF(V181="","",IF(COUNTIF($V$5:V181,V181)&gt;1,"",ROUND(1+SUMPRODUCT(($V$5:$V$448&lt;&gt;"")*($V$5:$V$448&lt;V181)/COUNTIF($V$5:$V$448,$V$5:$V$448&amp;"")),0)))</f>
        <v/>
      </c>
      <c r="X181" s="274"/>
      <c r="Z181" s="274" t="str">
        <f>IF(May!H32="Major Injury",May!C32,"")</f>
        <v/>
      </c>
      <c r="AA181" s="274" t="str" cm="1">
        <f t="array" ref="AA181">IF(Z181="","",IF(COUNTIF($Z$5:Z181,Z181)&gt;1,"",ROUND(1+SUMPRODUCT(($Z$5:$Z$448&lt;&gt;"")*($Z$5:$Z$448&lt;Z181)/COUNTIF($Z$5:$Z$448,$Z$5:$Z$448&amp;"")),0)))</f>
        <v/>
      </c>
    </row>
    <row r="182" spans="2:27" x14ac:dyDescent="0.25">
      <c r="B182" s="160" t="str">
        <f>IFERROR(INDEX($V$5:$V$448,MATCH(ROWS($B$5:B182),$W$5:$W$448,0)),"")</f>
        <v/>
      </c>
      <c r="C182" s="265" t="str">
        <f>IF($B182="","",COUNTIF(Jan[Resident Name],$B182))</f>
        <v/>
      </c>
      <c r="D182" s="265" t="str">
        <f>IF($B182="","",COUNTIF(Feb[Resident Name],$B182))</f>
        <v/>
      </c>
      <c r="E182" s="265" t="str">
        <f>IF($B182="","",COUNTIF(Mar[Resident Name],$B182))</f>
        <v/>
      </c>
      <c r="F182" s="265" t="str">
        <f>IF($B182="","",COUNTIF(Apr[Resident Name],$B182))</f>
        <v/>
      </c>
      <c r="G182" s="265" t="str">
        <f>IF($B182="","",COUNTIF(May[Resident Name],$B182))</f>
        <v/>
      </c>
      <c r="H182" s="265" t="str">
        <f>IF($B182="","",COUNTIF(June[Resident Name],$B182))</f>
        <v/>
      </c>
      <c r="I182" s="265" t="str">
        <f>IF($B182="","",COUNTIF(July[Resident Name],$B182))</f>
        <v/>
      </c>
      <c r="J182" s="265" t="str">
        <f>IF($B182="","",COUNTIF(Aug[Resident Name],$B182))</f>
        <v/>
      </c>
      <c r="K182" s="265" t="str">
        <f>IF($B182="","",COUNTIF(Sept[Resident Name],$B182))</f>
        <v/>
      </c>
      <c r="L182" s="265" t="str">
        <f>IF($B182="","",COUNTIF(Oct[Resident Name],$B182))</f>
        <v/>
      </c>
      <c r="M182" s="265" t="str">
        <f>IF($B182="","",COUNTIF(Nov[Resident Name],$B182))</f>
        <v/>
      </c>
      <c r="N182" s="265" t="str">
        <f>IF($B182="","",COUNTIF(Dec[Resident Name],$B182))</f>
        <v/>
      </c>
      <c r="O182" s="265" t="str">
        <f t="shared" si="8"/>
        <v/>
      </c>
      <c r="P182" s="11"/>
      <c r="R182" s="160" t="str">
        <f>IFERROR(INDEX($B$5:$B$172,MATCH(ROWS($R$5:R182),$X$5:$X$172,0)),"")</f>
        <v/>
      </c>
      <c r="S182" s="76" t="str">
        <f>IF($R182="","",INDEX($O$5:$O$172,MATCH(ROWS($R$5:R182),$X$5:$X$172,0)))</f>
        <v/>
      </c>
      <c r="U182" s="160" t="str">
        <f>IFERROR(INDEX($Z$5:$Z$448,MATCH(ROWS($U$5:U182),$AA$5:$AA$448,0)),"")</f>
        <v/>
      </c>
      <c r="V182" s="274" t="str">
        <f>IF(May!C33="","",May!C33)</f>
        <v/>
      </c>
      <c r="W182" s="274" t="str" cm="1">
        <f t="array" ref="W182">IF(V182="","",IF(COUNTIF($V$5:V182,V182)&gt;1,"",ROUND(1+SUMPRODUCT(($V$5:$V$448&lt;&gt;"")*($V$5:$V$448&lt;V182)/COUNTIF($V$5:$V$448,$V$5:$V$448&amp;"")),0)))</f>
        <v/>
      </c>
      <c r="X182" s="274"/>
      <c r="Z182" s="274" t="str">
        <f>IF(May!H33="Major Injury",May!C33,"")</f>
        <v/>
      </c>
      <c r="AA182" s="274" t="str" cm="1">
        <f t="array" ref="AA182">IF(Z182="","",IF(COUNTIF($Z$5:Z182,Z182)&gt;1,"",ROUND(1+SUMPRODUCT(($Z$5:$Z$448&lt;&gt;"")*($Z$5:$Z$448&lt;Z182)/COUNTIF($Z$5:$Z$448,$Z$5:$Z$448&amp;"")),0)))</f>
        <v/>
      </c>
    </row>
    <row r="183" spans="2:27" x14ac:dyDescent="0.25">
      <c r="B183" s="160" t="str">
        <f>IFERROR(INDEX($V$5:$V$448,MATCH(ROWS($B$5:B183),$W$5:$W$448,0)),"")</f>
        <v/>
      </c>
      <c r="C183" s="265" t="str">
        <f>IF($B183="","",COUNTIF(Jan[Resident Name],$B183))</f>
        <v/>
      </c>
      <c r="D183" s="265" t="str">
        <f>IF($B183="","",COUNTIF(Feb[Resident Name],$B183))</f>
        <v/>
      </c>
      <c r="E183" s="265" t="str">
        <f>IF($B183="","",COUNTIF(Mar[Resident Name],$B183))</f>
        <v/>
      </c>
      <c r="F183" s="265" t="str">
        <f>IF($B183="","",COUNTIF(Apr[Resident Name],$B183))</f>
        <v/>
      </c>
      <c r="G183" s="265" t="str">
        <f>IF($B183="","",COUNTIF(May[Resident Name],$B183))</f>
        <v/>
      </c>
      <c r="H183" s="265" t="str">
        <f>IF($B183="","",COUNTIF(June[Resident Name],$B183))</f>
        <v/>
      </c>
      <c r="I183" s="265" t="str">
        <f>IF($B183="","",COUNTIF(July[Resident Name],$B183))</f>
        <v/>
      </c>
      <c r="J183" s="265" t="str">
        <f>IF($B183="","",COUNTIF(Aug[Resident Name],$B183))</f>
        <v/>
      </c>
      <c r="K183" s="265" t="str">
        <f>IF($B183="","",COUNTIF(Sept[Resident Name],$B183))</f>
        <v/>
      </c>
      <c r="L183" s="265" t="str">
        <f>IF($B183="","",COUNTIF(Oct[Resident Name],$B183))</f>
        <v/>
      </c>
      <c r="M183" s="265" t="str">
        <f>IF($B183="","",COUNTIF(Nov[Resident Name],$B183))</f>
        <v/>
      </c>
      <c r="N183" s="265" t="str">
        <f>IF($B183="","",COUNTIF(Dec[Resident Name],$B183))</f>
        <v/>
      </c>
      <c r="O183" s="265" t="str">
        <f t="shared" si="8"/>
        <v/>
      </c>
      <c r="P183" s="11"/>
      <c r="R183" s="160" t="str">
        <f>IFERROR(INDEX($B$5:$B$172,MATCH(ROWS($R$5:R183),$X$5:$X$172,0)),"")</f>
        <v/>
      </c>
      <c r="S183" s="76" t="str">
        <f>IF($R183="","",INDEX($O$5:$O$172,MATCH(ROWS($R$5:R183),$X$5:$X$172,0)))</f>
        <v/>
      </c>
      <c r="U183" s="160" t="str">
        <f>IFERROR(INDEX($Z$5:$Z$448,MATCH(ROWS($U$5:U183),$AA$5:$AA$448,0)),"")</f>
        <v/>
      </c>
      <c r="V183" s="274" t="str">
        <f>IF(May!C34="","",May!C34)</f>
        <v/>
      </c>
      <c r="W183" s="274" t="str" cm="1">
        <f t="array" ref="W183">IF(V183="","",IF(COUNTIF($V$5:V183,V183)&gt;1,"",ROUND(1+SUMPRODUCT(($V$5:$V$448&lt;&gt;"")*($V$5:$V$448&lt;V183)/COUNTIF($V$5:$V$448,$V$5:$V$448&amp;"")),0)))</f>
        <v/>
      </c>
      <c r="X183" s="274"/>
      <c r="Z183" s="274" t="str">
        <f>IF(May!H34="Major Injury",May!C34,"")</f>
        <v/>
      </c>
      <c r="AA183" s="274" t="str" cm="1">
        <f t="array" ref="AA183">IF(Z183="","",IF(COUNTIF($Z$5:Z183,Z183)&gt;1,"",ROUND(1+SUMPRODUCT(($Z$5:$Z$448&lt;&gt;"")*($Z$5:$Z$448&lt;Z183)/COUNTIF($Z$5:$Z$448,$Z$5:$Z$448&amp;"")),0)))</f>
        <v/>
      </c>
    </row>
    <row r="184" spans="2:27" x14ac:dyDescent="0.25">
      <c r="B184" s="160" t="str">
        <f>IFERROR(INDEX($V$5:$V$448,MATCH(ROWS($B$5:B184),$W$5:$W$448,0)),"")</f>
        <v/>
      </c>
      <c r="C184" s="265" t="str">
        <f>IF($B184="","",COUNTIF(Jan[Resident Name],$B184))</f>
        <v/>
      </c>
      <c r="D184" s="265" t="str">
        <f>IF($B184="","",COUNTIF(Feb[Resident Name],$B184))</f>
        <v/>
      </c>
      <c r="E184" s="265" t="str">
        <f>IF($B184="","",COUNTIF(Mar[Resident Name],$B184))</f>
        <v/>
      </c>
      <c r="F184" s="265" t="str">
        <f>IF($B184="","",COUNTIF(Apr[Resident Name],$B184))</f>
        <v/>
      </c>
      <c r="G184" s="265" t="str">
        <f>IF($B184="","",COUNTIF(May[Resident Name],$B184))</f>
        <v/>
      </c>
      <c r="H184" s="265" t="str">
        <f>IF($B184="","",COUNTIF(June[Resident Name],$B184))</f>
        <v/>
      </c>
      <c r="I184" s="265" t="str">
        <f>IF($B184="","",COUNTIF(July[Resident Name],$B184))</f>
        <v/>
      </c>
      <c r="J184" s="265" t="str">
        <f>IF($B184="","",COUNTIF(Aug[Resident Name],$B184))</f>
        <v/>
      </c>
      <c r="K184" s="265" t="str">
        <f>IF($B184="","",COUNTIF(Sept[Resident Name],$B184))</f>
        <v/>
      </c>
      <c r="L184" s="265" t="str">
        <f>IF($B184="","",COUNTIF(Oct[Resident Name],$B184))</f>
        <v/>
      </c>
      <c r="M184" s="265" t="str">
        <f>IF($B184="","",COUNTIF(Nov[Resident Name],$B184))</f>
        <v/>
      </c>
      <c r="N184" s="265" t="str">
        <f>IF($B184="","",COUNTIF(Dec[Resident Name],$B184))</f>
        <v/>
      </c>
      <c r="O184" s="265" t="str">
        <f t="shared" si="8"/>
        <v/>
      </c>
      <c r="P184" s="11"/>
      <c r="R184" s="160" t="str">
        <f>IFERROR(INDEX($B$5:$B$172,MATCH(ROWS($R$5:R184),$X$5:$X$172,0)),"")</f>
        <v/>
      </c>
      <c r="S184" s="76" t="str">
        <f>IF($R184="","",INDEX($O$5:$O$172,MATCH(ROWS($R$5:R184),$X$5:$X$172,0)))</f>
        <v/>
      </c>
      <c r="U184" s="160" t="str">
        <f>IFERROR(INDEX($Z$5:$Z$448,MATCH(ROWS($U$5:U184),$AA$5:$AA$448,0)),"")</f>
        <v/>
      </c>
      <c r="V184" s="274" t="str">
        <f>IF(May!C35="","",May!C35)</f>
        <v/>
      </c>
      <c r="W184" s="274" t="str" cm="1">
        <f t="array" ref="W184">IF(V184="","",IF(COUNTIF($V$5:V184,V184)&gt;1,"",ROUND(1+SUMPRODUCT(($V$5:$V$448&lt;&gt;"")*($V$5:$V$448&lt;V184)/COUNTIF($V$5:$V$448,$V$5:$V$448&amp;"")),0)))</f>
        <v/>
      </c>
      <c r="X184" s="274"/>
      <c r="Z184" s="274" t="str">
        <f>IF(May!H35="Major Injury",May!C35,"")</f>
        <v/>
      </c>
      <c r="AA184" s="274" t="str" cm="1">
        <f t="array" ref="AA184">IF(Z184="","",IF(COUNTIF($Z$5:Z184,Z184)&gt;1,"",ROUND(1+SUMPRODUCT(($Z$5:$Z$448&lt;&gt;"")*($Z$5:$Z$448&lt;Z184)/COUNTIF($Z$5:$Z$448,$Z$5:$Z$448&amp;"")),0)))</f>
        <v/>
      </c>
    </row>
    <row r="185" spans="2:27" x14ac:dyDescent="0.25">
      <c r="B185" s="160" t="str">
        <f>IFERROR(INDEX($V$5:$V$448,MATCH(ROWS($B$5:B185),$W$5:$W$448,0)),"")</f>
        <v/>
      </c>
      <c r="C185" s="265" t="str">
        <f>IF($B185="","",COUNTIF(Jan[Resident Name],$B185))</f>
        <v/>
      </c>
      <c r="D185" s="265" t="str">
        <f>IF($B185="","",COUNTIF(Feb[Resident Name],$B185))</f>
        <v/>
      </c>
      <c r="E185" s="265" t="str">
        <f>IF($B185="","",COUNTIF(Mar[Resident Name],$B185))</f>
        <v/>
      </c>
      <c r="F185" s="265" t="str">
        <f>IF($B185="","",COUNTIF(Apr[Resident Name],$B185))</f>
        <v/>
      </c>
      <c r="G185" s="265" t="str">
        <f>IF($B185="","",COUNTIF(May[Resident Name],$B185))</f>
        <v/>
      </c>
      <c r="H185" s="265" t="str">
        <f>IF($B185="","",COUNTIF(June[Resident Name],$B185))</f>
        <v/>
      </c>
      <c r="I185" s="265" t="str">
        <f>IF($B185="","",COUNTIF(July[Resident Name],$B185))</f>
        <v/>
      </c>
      <c r="J185" s="265" t="str">
        <f>IF($B185="","",COUNTIF(Aug[Resident Name],$B185))</f>
        <v/>
      </c>
      <c r="K185" s="265" t="str">
        <f>IF($B185="","",COUNTIF(Sept[Resident Name],$B185))</f>
        <v/>
      </c>
      <c r="L185" s="265" t="str">
        <f>IF($B185="","",COUNTIF(Oct[Resident Name],$B185))</f>
        <v/>
      </c>
      <c r="M185" s="265" t="str">
        <f>IF($B185="","",COUNTIF(Nov[Resident Name],$B185))</f>
        <v/>
      </c>
      <c r="N185" s="265" t="str">
        <f>IF($B185="","",COUNTIF(Dec[Resident Name],$B185))</f>
        <v/>
      </c>
      <c r="O185" s="265" t="str">
        <f t="shared" si="8"/>
        <v/>
      </c>
      <c r="P185" s="11"/>
      <c r="R185" s="160" t="str">
        <f>IFERROR(INDEX($B$5:$B$172,MATCH(ROWS($R$5:R185),$X$5:$X$172,0)),"")</f>
        <v/>
      </c>
      <c r="S185" s="76" t="str">
        <f>IF($R185="","",INDEX($O$5:$O$172,MATCH(ROWS($R$5:R185),$X$5:$X$172,0)))</f>
        <v/>
      </c>
      <c r="U185" s="160" t="str">
        <f>IFERROR(INDEX($Z$5:$Z$448,MATCH(ROWS($U$5:U185),$AA$5:$AA$448,0)),"")</f>
        <v/>
      </c>
      <c r="V185" s="274" t="str">
        <f>IF(May!C36="","",May!C36)</f>
        <v/>
      </c>
      <c r="W185" s="274" t="str" cm="1">
        <f t="array" ref="W185">IF(V185="","",IF(COUNTIF($V$5:V185,V185)&gt;1,"",ROUND(1+SUMPRODUCT(($V$5:$V$448&lt;&gt;"")*($V$5:$V$448&lt;V185)/COUNTIF($V$5:$V$448,$V$5:$V$448&amp;"")),0)))</f>
        <v/>
      </c>
      <c r="X185" s="274"/>
      <c r="Z185" s="274" t="str">
        <f>IF(May!H36="Major Injury",May!C36,"")</f>
        <v/>
      </c>
      <c r="AA185" s="274" t="str" cm="1">
        <f t="array" ref="AA185">IF(Z185="","",IF(COUNTIF($Z$5:Z185,Z185)&gt;1,"",ROUND(1+SUMPRODUCT(($Z$5:$Z$448&lt;&gt;"")*($Z$5:$Z$448&lt;Z185)/COUNTIF($Z$5:$Z$448,$Z$5:$Z$448&amp;"")),0)))</f>
        <v/>
      </c>
    </row>
    <row r="186" spans="2:27" x14ac:dyDescent="0.25">
      <c r="B186" s="160" t="str">
        <f>IFERROR(INDEX($V$5:$V$448,MATCH(ROWS($B$5:B186),$W$5:$W$448,0)),"")</f>
        <v/>
      </c>
      <c r="C186" s="265" t="str">
        <f>IF($B186="","",COUNTIF(Jan[Resident Name],$B186))</f>
        <v/>
      </c>
      <c r="D186" s="265" t="str">
        <f>IF($B186="","",COUNTIF(Feb[Resident Name],$B186))</f>
        <v/>
      </c>
      <c r="E186" s="265" t="str">
        <f>IF($B186="","",COUNTIF(Mar[Resident Name],$B186))</f>
        <v/>
      </c>
      <c r="F186" s="265" t="str">
        <f>IF($B186="","",COUNTIF(Apr[Resident Name],$B186))</f>
        <v/>
      </c>
      <c r="G186" s="265" t="str">
        <f>IF($B186="","",COUNTIF(May[Resident Name],$B186))</f>
        <v/>
      </c>
      <c r="H186" s="265" t="str">
        <f>IF($B186="","",COUNTIF(June[Resident Name],$B186))</f>
        <v/>
      </c>
      <c r="I186" s="265" t="str">
        <f>IF($B186="","",COUNTIF(July[Resident Name],$B186))</f>
        <v/>
      </c>
      <c r="J186" s="265" t="str">
        <f>IF($B186="","",COUNTIF(Aug[Resident Name],$B186))</f>
        <v/>
      </c>
      <c r="K186" s="265" t="str">
        <f>IF($B186="","",COUNTIF(Sept[Resident Name],$B186))</f>
        <v/>
      </c>
      <c r="L186" s="265" t="str">
        <f>IF($B186="","",COUNTIF(Oct[Resident Name],$B186))</f>
        <v/>
      </c>
      <c r="M186" s="265" t="str">
        <f>IF($B186="","",COUNTIF(Nov[Resident Name],$B186))</f>
        <v/>
      </c>
      <c r="N186" s="265" t="str">
        <f>IF($B186="","",COUNTIF(Dec[Resident Name],$B186))</f>
        <v/>
      </c>
      <c r="O186" s="265" t="str">
        <f t="shared" si="8"/>
        <v/>
      </c>
      <c r="P186" s="11"/>
      <c r="R186" s="160" t="str">
        <f>IFERROR(INDEX($B$5:$B$172,MATCH(ROWS($R$5:R186),$X$5:$X$172,0)),"")</f>
        <v/>
      </c>
      <c r="S186" s="76" t="str">
        <f>IF($R186="","",INDEX($O$5:$O$172,MATCH(ROWS($R$5:R186),$X$5:$X$172,0)))</f>
        <v/>
      </c>
      <c r="U186" s="160" t="str">
        <f>IFERROR(INDEX($Z$5:$Z$448,MATCH(ROWS($U$5:U186),$AA$5:$AA$448,0)),"")</f>
        <v/>
      </c>
      <c r="V186" s="274" t="str">
        <f>IF(May!C37="","",May!C37)</f>
        <v/>
      </c>
      <c r="W186" s="274" t="str" cm="1">
        <f t="array" ref="W186">IF(V186="","",IF(COUNTIF($V$5:V186,V186)&gt;1,"",ROUND(1+SUMPRODUCT(($V$5:$V$448&lt;&gt;"")*($V$5:$V$448&lt;V186)/COUNTIF($V$5:$V$448,$V$5:$V$448&amp;"")),0)))</f>
        <v/>
      </c>
      <c r="X186" s="274"/>
      <c r="Z186" s="274" t="str">
        <f>IF(May!H37="Major Injury",May!C37,"")</f>
        <v/>
      </c>
      <c r="AA186" s="274" t="str" cm="1">
        <f t="array" ref="AA186">IF(Z186="","",IF(COUNTIF($Z$5:Z186,Z186)&gt;1,"",ROUND(1+SUMPRODUCT(($Z$5:$Z$448&lt;&gt;"")*($Z$5:$Z$448&lt;Z186)/COUNTIF($Z$5:$Z$448,$Z$5:$Z$448&amp;"")),0)))</f>
        <v/>
      </c>
    </row>
    <row r="187" spans="2:27" x14ac:dyDescent="0.25">
      <c r="B187" s="160" t="str">
        <f>IFERROR(INDEX($V$5:$V$448,MATCH(ROWS($B$5:B187),$W$5:$W$448,0)),"")</f>
        <v/>
      </c>
      <c r="C187" s="265" t="str">
        <f>IF($B187="","",COUNTIF(Jan[Resident Name],$B187))</f>
        <v/>
      </c>
      <c r="D187" s="265" t="str">
        <f>IF($B187="","",COUNTIF(Feb[Resident Name],$B187))</f>
        <v/>
      </c>
      <c r="E187" s="265" t="str">
        <f>IF($B187="","",COUNTIF(Mar[Resident Name],$B187))</f>
        <v/>
      </c>
      <c r="F187" s="265" t="str">
        <f>IF($B187="","",COUNTIF(Apr[Resident Name],$B187))</f>
        <v/>
      </c>
      <c r="G187" s="265" t="str">
        <f>IF($B187="","",COUNTIF(May[Resident Name],$B187))</f>
        <v/>
      </c>
      <c r="H187" s="265" t="str">
        <f>IF($B187="","",COUNTIF(June[Resident Name],$B187))</f>
        <v/>
      </c>
      <c r="I187" s="265" t="str">
        <f>IF($B187="","",COUNTIF(July[Resident Name],$B187))</f>
        <v/>
      </c>
      <c r="J187" s="265" t="str">
        <f>IF($B187="","",COUNTIF(Aug[Resident Name],$B187))</f>
        <v/>
      </c>
      <c r="K187" s="265" t="str">
        <f>IF($B187="","",COUNTIF(Sept[Resident Name],$B187))</f>
        <v/>
      </c>
      <c r="L187" s="265" t="str">
        <f>IF($B187="","",COUNTIF(Oct[Resident Name],$B187))</f>
        <v/>
      </c>
      <c r="M187" s="265" t="str">
        <f>IF($B187="","",COUNTIF(Nov[Resident Name],$B187))</f>
        <v/>
      </c>
      <c r="N187" s="265" t="str">
        <f>IF($B187="","",COUNTIF(Dec[Resident Name],$B187))</f>
        <v/>
      </c>
      <c r="O187" s="265" t="str">
        <f t="shared" si="8"/>
        <v/>
      </c>
      <c r="P187" s="11"/>
      <c r="R187" s="160" t="str">
        <f>IFERROR(INDEX($B$5:$B$172,MATCH(ROWS($R$5:R187),$X$5:$X$172,0)),"")</f>
        <v/>
      </c>
      <c r="S187" s="76" t="str">
        <f>IF($R187="","",INDEX($O$5:$O$172,MATCH(ROWS($R$5:R187),$X$5:$X$172,0)))</f>
        <v/>
      </c>
      <c r="U187" s="160" t="str">
        <f>IFERROR(INDEX($Z$5:$Z$448,MATCH(ROWS($U$5:U187),$AA$5:$AA$448,0)),"")</f>
        <v/>
      </c>
      <c r="V187" s="274" t="str">
        <f>IF(May!C38="","",May!C38)</f>
        <v/>
      </c>
      <c r="W187" s="274" t="str" cm="1">
        <f t="array" ref="W187">IF(V187="","",IF(COUNTIF($V$5:V187,V187)&gt;1,"",ROUND(1+SUMPRODUCT(($V$5:$V$448&lt;&gt;"")*($V$5:$V$448&lt;V187)/COUNTIF($V$5:$V$448,$V$5:$V$448&amp;"")),0)))</f>
        <v/>
      </c>
      <c r="X187" s="274"/>
      <c r="Z187" s="274" t="str">
        <f>IF(May!H38="Major Injury",May!C38,"")</f>
        <v/>
      </c>
      <c r="AA187" s="274" t="str" cm="1">
        <f t="array" ref="AA187">IF(Z187="","",IF(COUNTIF($Z$5:Z187,Z187)&gt;1,"",ROUND(1+SUMPRODUCT(($Z$5:$Z$448&lt;&gt;"")*($Z$5:$Z$448&lt;Z187)/COUNTIF($Z$5:$Z$448,$Z$5:$Z$448&amp;"")),0)))</f>
        <v/>
      </c>
    </row>
    <row r="188" spans="2:27" x14ac:dyDescent="0.25">
      <c r="B188" s="160" t="str">
        <f>IFERROR(INDEX($V$5:$V$448,MATCH(ROWS($B$5:B188),$W$5:$W$448,0)),"")</f>
        <v/>
      </c>
      <c r="C188" s="265" t="str">
        <f>IF($B188="","",COUNTIF(Jan[Resident Name],$B188))</f>
        <v/>
      </c>
      <c r="D188" s="265" t="str">
        <f>IF($B188="","",COUNTIF(Feb[Resident Name],$B188))</f>
        <v/>
      </c>
      <c r="E188" s="265" t="str">
        <f>IF($B188="","",COUNTIF(Mar[Resident Name],$B188))</f>
        <v/>
      </c>
      <c r="F188" s="265" t="str">
        <f>IF($B188="","",COUNTIF(Apr[Resident Name],$B188))</f>
        <v/>
      </c>
      <c r="G188" s="265" t="str">
        <f>IF($B188="","",COUNTIF(May[Resident Name],$B188))</f>
        <v/>
      </c>
      <c r="H188" s="265" t="str">
        <f>IF($B188="","",COUNTIF(June[Resident Name],$B188))</f>
        <v/>
      </c>
      <c r="I188" s="265" t="str">
        <f>IF($B188="","",COUNTIF(July[Resident Name],$B188))</f>
        <v/>
      </c>
      <c r="J188" s="265" t="str">
        <f>IF($B188="","",COUNTIF(Aug[Resident Name],$B188))</f>
        <v/>
      </c>
      <c r="K188" s="265" t="str">
        <f>IF($B188="","",COUNTIF(Sept[Resident Name],$B188))</f>
        <v/>
      </c>
      <c r="L188" s="265" t="str">
        <f>IF($B188="","",COUNTIF(Oct[Resident Name],$B188))</f>
        <v/>
      </c>
      <c r="M188" s="265" t="str">
        <f>IF($B188="","",COUNTIF(Nov[Resident Name],$B188))</f>
        <v/>
      </c>
      <c r="N188" s="265" t="str">
        <f>IF($B188="","",COUNTIF(Dec[Resident Name],$B188))</f>
        <v/>
      </c>
      <c r="O188" s="265" t="str">
        <f t="shared" si="8"/>
        <v/>
      </c>
      <c r="P188" s="11"/>
      <c r="R188" s="160" t="str">
        <f>IFERROR(INDEX($B$5:$B$172,MATCH(ROWS($R$5:R188),$X$5:$X$172,0)),"")</f>
        <v/>
      </c>
      <c r="S188" s="76" t="str">
        <f>IF($R188="","",INDEX($O$5:$O$172,MATCH(ROWS($R$5:R188),$X$5:$X$172,0)))</f>
        <v/>
      </c>
      <c r="U188" s="160" t="str">
        <f>IFERROR(INDEX($Z$5:$Z$448,MATCH(ROWS($U$5:U188),$AA$5:$AA$448,0)),"")</f>
        <v/>
      </c>
      <c r="V188" s="274" t="str">
        <f>IF(May!C39="","",May!C39)</f>
        <v/>
      </c>
      <c r="W188" s="274" t="str" cm="1">
        <f t="array" ref="W188">IF(V188="","",IF(COUNTIF($V$5:V188,V188)&gt;1,"",ROUND(1+SUMPRODUCT(($V$5:$V$448&lt;&gt;"")*($V$5:$V$448&lt;V188)/COUNTIF($V$5:$V$448,$V$5:$V$448&amp;"")),0)))</f>
        <v/>
      </c>
      <c r="X188" s="274"/>
      <c r="Z188" s="274" t="str">
        <f>IF(May!H39="Major Injury",May!C39,"")</f>
        <v/>
      </c>
      <c r="AA188" s="274" t="str" cm="1">
        <f t="array" ref="AA188">IF(Z188="","",IF(COUNTIF($Z$5:Z188,Z188)&gt;1,"",ROUND(1+SUMPRODUCT(($Z$5:$Z$448&lt;&gt;"")*($Z$5:$Z$448&lt;Z188)/COUNTIF($Z$5:$Z$448,$Z$5:$Z$448&amp;"")),0)))</f>
        <v/>
      </c>
    </row>
    <row r="189" spans="2:27" x14ac:dyDescent="0.25">
      <c r="B189" s="160" t="str">
        <f>IFERROR(INDEX($V$5:$V$448,MATCH(ROWS($B$5:B189),$W$5:$W$448,0)),"")</f>
        <v/>
      </c>
      <c r="C189" s="265" t="str">
        <f>IF($B189="","",COUNTIF(Jan[Resident Name],$B189))</f>
        <v/>
      </c>
      <c r="D189" s="265" t="str">
        <f>IF($B189="","",COUNTIF(Feb[Resident Name],$B189))</f>
        <v/>
      </c>
      <c r="E189" s="265" t="str">
        <f>IF($B189="","",COUNTIF(Mar[Resident Name],$B189))</f>
        <v/>
      </c>
      <c r="F189" s="265" t="str">
        <f>IF($B189="","",COUNTIF(Apr[Resident Name],$B189))</f>
        <v/>
      </c>
      <c r="G189" s="265" t="str">
        <f>IF($B189="","",COUNTIF(May[Resident Name],$B189))</f>
        <v/>
      </c>
      <c r="H189" s="265" t="str">
        <f>IF($B189="","",COUNTIF(June[Resident Name],$B189))</f>
        <v/>
      </c>
      <c r="I189" s="265" t="str">
        <f>IF($B189="","",COUNTIF(July[Resident Name],$B189))</f>
        <v/>
      </c>
      <c r="J189" s="265" t="str">
        <f>IF($B189="","",COUNTIF(Aug[Resident Name],$B189))</f>
        <v/>
      </c>
      <c r="K189" s="265" t="str">
        <f>IF($B189="","",COUNTIF(Sept[Resident Name],$B189))</f>
        <v/>
      </c>
      <c r="L189" s="265" t="str">
        <f>IF($B189="","",COUNTIF(Oct[Resident Name],$B189))</f>
        <v/>
      </c>
      <c r="M189" s="265" t="str">
        <f>IF($B189="","",COUNTIF(Nov[Resident Name],$B189))</f>
        <v/>
      </c>
      <c r="N189" s="265" t="str">
        <f>IF($B189="","",COUNTIF(Dec[Resident Name],$B189))</f>
        <v/>
      </c>
      <c r="O189" s="265" t="str">
        <f t="shared" si="8"/>
        <v/>
      </c>
      <c r="P189" s="11"/>
      <c r="R189" s="160" t="str">
        <f>IFERROR(INDEX($B$5:$B$172,MATCH(ROWS($R$5:R189),$X$5:$X$172,0)),"")</f>
        <v/>
      </c>
      <c r="S189" s="76" t="str">
        <f>IF($R189="","",INDEX($O$5:$O$172,MATCH(ROWS($R$5:R189),$X$5:$X$172,0)))</f>
        <v/>
      </c>
      <c r="U189" s="160" t="str">
        <f>IFERROR(INDEX($Z$5:$Z$448,MATCH(ROWS($U$5:U189),$AA$5:$AA$448,0)),"")</f>
        <v/>
      </c>
      <c r="V189" s="274" t="str">
        <f>IF(May!C40="","",May!C40)</f>
        <v/>
      </c>
      <c r="W189" s="274" t="str" cm="1">
        <f t="array" ref="W189">IF(V189="","",IF(COUNTIF($V$5:V189,V189)&gt;1,"",ROUND(1+SUMPRODUCT(($V$5:$V$448&lt;&gt;"")*($V$5:$V$448&lt;V189)/COUNTIF($V$5:$V$448,$V$5:$V$448&amp;"")),0)))</f>
        <v/>
      </c>
      <c r="X189" s="274"/>
      <c r="Z189" s="274" t="str">
        <f>IF(May!H40="Major Injury",May!C40,"")</f>
        <v/>
      </c>
      <c r="AA189" s="274" t="str" cm="1">
        <f t="array" ref="AA189">IF(Z189="","",IF(COUNTIF($Z$5:Z189,Z189)&gt;1,"",ROUND(1+SUMPRODUCT(($Z$5:$Z$448&lt;&gt;"")*($Z$5:$Z$448&lt;Z189)/COUNTIF($Z$5:$Z$448,$Z$5:$Z$448&amp;"")),0)))</f>
        <v/>
      </c>
    </row>
    <row r="190" spans="2:27" x14ac:dyDescent="0.25">
      <c r="B190" s="160" t="str">
        <f>IFERROR(INDEX($V$5:$V$448,MATCH(ROWS($B$5:B190),$W$5:$W$448,0)),"")</f>
        <v/>
      </c>
      <c r="C190" s="265" t="str">
        <f>IF($B190="","",COUNTIF(Jan[Resident Name],$B190))</f>
        <v/>
      </c>
      <c r="D190" s="265" t="str">
        <f>IF($B190="","",COUNTIF(Feb[Resident Name],$B190))</f>
        <v/>
      </c>
      <c r="E190" s="265" t="str">
        <f>IF($B190="","",COUNTIF(Mar[Resident Name],$B190))</f>
        <v/>
      </c>
      <c r="F190" s="265" t="str">
        <f>IF($B190="","",COUNTIF(Apr[Resident Name],$B190))</f>
        <v/>
      </c>
      <c r="G190" s="265" t="str">
        <f>IF($B190="","",COUNTIF(May[Resident Name],$B190))</f>
        <v/>
      </c>
      <c r="H190" s="265" t="str">
        <f>IF($B190="","",COUNTIF(June[Resident Name],$B190))</f>
        <v/>
      </c>
      <c r="I190" s="265" t="str">
        <f>IF($B190="","",COUNTIF(July[Resident Name],$B190))</f>
        <v/>
      </c>
      <c r="J190" s="265" t="str">
        <f>IF($B190="","",COUNTIF(Aug[Resident Name],$B190))</f>
        <v/>
      </c>
      <c r="K190" s="265" t="str">
        <f>IF($B190="","",COUNTIF(Sept[Resident Name],$B190))</f>
        <v/>
      </c>
      <c r="L190" s="265" t="str">
        <f>IF($B190="","",COUNTIF(Oct[Resident Name],$B190))</f>
        <v/>
      </c>
      <c r="M190" s="265" t="str">
        <f>IF($B190="","",COUNTIF(Nov[Resident Name],$B190))</f>
        <v/>
      </c>
      <c r="N190" s="265" t="str">
        <f>IF($B190="","",COUNTIF(Dec[Resident Name],$B190))</f>
        <v/>
      </c>
      <c r="O190" s="265" t="str">
        <f t="shared" si="8"/>
        <v/>
      </c>
      <c r="P190" s="11"/>
      <c r="R190" s="160" t="str">
        <f>IFERROR(INDEX($B$5:$B$172,MATCH(ROWS($R$5:R190),$X$5:$X$172,0)),"")</f>
        <v/>
      </c>
      <c r="S190" s="76" t="str">
        <f>IF($R190="","",INDEX($O$5:$O$172,MATCH(ROWS($R$5:R190),$X$5:$X$172,0)))</f>
        <v/>
      </c>
      <c r="U190" s="160" t="str">
        <f>IFERROR(INDEX($Z$5:$Z$448,MATCH(ROWS($U$5:U190),$AA$5:$AA$448,0)),"")</f>
        <v/>
      </c>
      <c r="V190" s="274" t="str">
        <f>IF(June!C4="","",June!C4)</f>
        <v/>
      </c>
      <c r="W190" s="274" t="str" cm="1">
        <f t="array" ref="W190">IF(V190="","",IF(COUNTIF($V$5:V190,V190)&gt;1,"",ROUND(1+SUMPRODUCT(($V$5:$V$448&lt;&gt;"")*($V$5:$V$448&lt;V190)/COUNTIF($V$5:$V$448,$V$5:$V$448&amp;"")),0)))</f>
        <v/>
      </c>
      <c r="X190" s="274"/>
      <c r="Z190" s="274" t="str">
        <f>IF(June!H4="Major Injury",June!C4,"")</f>
        <v/>
      </c>
      <c r="AA190" s="274" t="str" cm="1">
        <f t="array" ref="AA190">IF(Z190="","",IF(COUNTIF($Z$5:Z190,Z190)&gt;1,"",ROUND(1+SUMPRODUCT(($Z$5:$Z$448&lt;&gt;"")*($Z$5:$Z$448&lt;Z190)/COUNTIF($Z$5:$Z$448,$Z$5:$Z$448&amp;"")),0)))</f>
        <v/>
      </c>
    </row>
    <row r="191" spans="2:27" x14ac:dyDescent="0.25">
      <c r="B191" s="160" t="str">
        <f>IFERROR(INDEX($V$5:$V$448,MATCH(ROWS($B$5:B191),$W$5:$W$448,0)),"")</f>
        <v/>
      </c>
      <c r="C191" s="265" t="str">
        <f>IF($B191="","",COUNTIF(Jan[Resident Name],$B191))</f>
        <v/>
      </c>
      <c r="D191" s="265" t="str">
        <f>IF($B191="","",COUNTIF(Feb[Resident Name],$B191))</f>
        <v/>
      </c>
      <c r="E191" s="265" t="str">
        <f>IF($B191="","",COUNTIF(Mar[Resident Name],$B191))</f>
        <v/>
      </c>
      <c r="F191" s="265" t="str">
        <f>IF($B191="","",COUNTIF(Apr[Resident Name],$B191))</f>
        <v/>
      </c>
      <c r="G191" s="265" t="str">
        <f>IF($B191="","",COUNTIF(May[Resident Name],$B191))</f>
        <v/>
      </c>
      <c r="H191" s="265" t="str">
        <f>IF($B191="","",COUNTIF(June[Resident Name],$B191))</f>
        <v/>
      </c>
      <c r="I191" s="265" t="str">
        <f>IF($B191="","",COUNTIF(July[Resident Name],$B191))</f>
        <v/>
      </c>
      <c r="J191" s="265" t="str">
        <f>IF($B191="","",COUNTIF(Aug[Resident Name],$B191))</f>
        <v/>
      </c>
      <c r="K191" s="265" t="str">
        <f>IF($B191="","",COUNTIF(Sept[Resident Name],$B191))</f>
        <v/>
      </c>
      <c r="L191" s="265" t="str">
        <f>IF($B191="","",COUNTIF(Oct[Resident Name],$B191))</f>
        <v/>
      </c>
      <c r="M191" s="265" t="str">
        <f>IF($B191="","",COUNTIF(Nov[Resident Name],$B191))</f>
        <v/>
      </c>
      <c r="N191" s="265" t="str">
        <f>IF($B191="","",COUNTIF(Dec[Resident Name],$B191))</f>
        <v/>
      </c>
      <c r="O191" s="265" t="str">
        <f t="shared" si="8"/>
        <v/>
      </c>
      <c r="P191" s="11"/>
      <c r="R191" s="160" t="str">
        <f>IFERROR(INDEX($B$5:$B$172,MATCH(ROWS($R$5:R191),$X$5:$X$172,0)),"")</f>
        <v/>
      </c>
      <c r="S191" s="76" t="str">
        <f>IF($R191="","",INDEX($O$5:$O$172,MATCH(ROWS($R$5:R191),$X$5:$X$172,0)))</f>
        <v/>
      </c>
      <c r="U191" s="160" t="str">
        <f>IFERROR(INDEX($Z$5:$Z$448,MATCH(ROWS($U$5:U191),$AA$5:$AA$448,0)),"")</f>
        <v/>
      </c>
      <c r="V191" s="274" t="str">
        <f>IF(June!C5="","",June!C5)</f>
        <v/>
      </c>
      <c r="W191" s="274" t="str" cm="1">
        <f t="array" ref="W191">IF(V191="","",IF(COUNTIF($V$5:V191,V191)&gt;1,"",ROUND(1+SUMPRODUCT(($V$5:$V$448&lt;&gt;"")*($V$5:$V$448&lt;V191)/COUNTIF($V$5:$V$448,$V$5:$V$448&amp;"")),0)))</f>
        <v/>
      </c>
      <c r="X191" s="274"/>
      <c r="Z191" s="274" t="str">
        <f>IF(June!H5="Major Injury",June!C5,"")</f>
        <v/>
      </c>
      <c r="AA191" s="274" t="str" cm="1">
        <f t="array" ref="AA191">IF(Z191="","",IF(COUNTIF($Z$5:Z191,Z191)&gt;1,"",ROUND(1+SUMPRODUCT(($Z$5:$Z$448&lt;&gt;"")*($Z$5:$Z$448&lt;Z191)/COUNTIF($Z$5:$Z$448,$Z$5:$Z$448&amp;"")),0)))</f>
        <v/>
      </c>
    </row>
    <row r="192" spans="2:27" x14ac:dyDescent="0.25">
      <c r="B192" s="160" t="str">
        <f>IFERROR(INDEX($V$5:$V$448,MATCH(ROWS($B$5:B192),$W$5:$W$448,0)),"")</f>
        <v/>
      </c>
      <c r="C192" s="265" t="str">
        <f>IF($B192="","",COUNTIF(Jan[Resident Name],$B192))</f>
        <v/>
      </c>
      <c r="D192" s="265" t="str">
        <f>IF($B192="","",COUNTIF(Feb[Resident Name],$B192))</f>
        <v/>
      </c>
      <c r="E192" s="265" t="str">
        <f>IF($B192="","",COUNTIF(Mar[Resident Name],$B192))</f>
        <v/>
      </c>
      <c r="F192" s="265" t="str">
        <f>IF($B192="","",COUNTIF(Apr[Resident Name],$B192))</f>
        <v/>
      </c>
      <c r="G192" s="265" t="str">
        <f>IF($B192="","",COUNTIF(May[Resident Name],$B192))</f>
        <v/>
      </c>
      <c r="H192" s="265" t="str">
        <f>IF($B192="","",COUNTIF(June[Resident Name],$B192))</f>
        <v/>
      </c>
      <c r="I192" s="265" t="str">
        <f>IF($B192="","",COUNTIF(July[Resident Name],$B192))</f>
        <v/>
      </c>
      <c r="J192" s="265" t="str">
        <f>IF($B192="","",COUNTIF(Aug[Resident Name],$B192))</f>
        <v/>
      </c>
      <c r="K192" s="265" t="str">
        <f>IF($B192="","",COUNTIF(Sept[Resident Name],$B192))</f>
        <v/>
      </c>
      <c r="L192" s="265" t="str">
        <f>IF($B192="","",COUNTIF(Oct[Resident Name],$B192))</f>
        <v/>
      </c>
      <c r="M192" s="265" t="str">
        <f>IF($B192="","",COUNTIF(Nov[Resident Name],$B192))</f>
        <v/>
      </c>
      <c r="N192" s="265" t="str">
        <f>IF($B192="","",COUNTIF(Dec[Resident Name],$B192))</f>
        <v/>
      </c>
      <c r="O192" s="265" t="str">
        <f t="shared" si="8"/>
        <v/>
      </c>
      <c r="P192" s="11"/>
      <c r="R192" s="160" t="str">
        <f>IFERROR(INDEX($B$5:$B$172,MATCH(ROWS($R$5:R192),$X$5:$X$172,0)),"")</f>
        <v/>
      </c>
      <c r="S192" s="76" t="str">
        <f>IF($R192="","",INDEX($O$5:$O$172,MATCH(ROWS($R$5:R192),$X$5:$X$172,0)))</f>
        <v/>
      </c>
      <c r="U192" s="160" t="str">
        <f>IFERROR(INDEX($Z$5:$Z$448,MATCH(ROWS($U$5:U192),$AA$5:$AA$448,0)),"")</f>
        <v/>
      </c>
      <c r="V192" s="274" t="str">
        <f>IF(June!C6="","",June!C6)</f>
        <v/>
      </c>
      <c r="W192" s="274" t="str" cm="1">
        <f t="array" ref="W192">IF(V192="","",IF(COUNTIF($V$5:V192,V192)&gt;1,"",ROUND(1+SUMPRODUCT(($V$5:$V$448&lt;&gt;"")*($V$5:$V$448&lt;V192)/COUNTIF($V$5:$V$448,$V$5:$V$448&amp;"")),0)))</f>
        <v/>
      </c>
      <c r="X192" s="274"/>
      <c r="Z192" s="274" t="str">
        <f>IF(June!H6="Major Injury",June!C6,"")</f>
        <v/>
      </c>
      <c r="AA192" s="274" t="str" cm="1">
        <f t="array" ref="AA192">IF(Z192="","",IF(COUNTIF($Z$5:Z192,Z192)&gt;1,"",ROUND(1+SUMPRODUCT(($Z$5:$Z$448&lt;&gt;"")*($Z$5:$Z$448&lt;Z192)/COUNTIF($Z$5:$Z$448,$Z$5:$Z$448&amp;"")),0)))</f>
        <v/>
      </c>
    </row>
    <row r="193" spans="2:27" x14ac:dyDescent="0.25">
      <c r="B193" s="160" t="str">
        <f>IFERROR(INDEX($V$5:$V$448,MATCH(ROWS($B$5:B193),$W$5:$W$448,0)),"")</f>
        <v/>
      </c>
      <c r="C193" s="265" t="str">
        <f>IF($B193="","",COUNTIF(Jan[Resident Name],$B193))</f>
        <v/>
      </c>
      <c r="D193" s="265" t="str">
        <f>IF($B193="","",COUNTIF(Feb[Resident Name],$B193))</f>
        <v/>
      </c>
      <c r="E193" s="265" t="str">
        <f>IF($B193="","",COUNTIF(Mar[Resident Name],$B193))</f>
        <v/>
      </c>
      <c r="F193" s="265" t="str">
        <f>IF($B193="","",COUNTIF(Apr[Resident Name],$B193))</f>
        <v/>
      </c>
      <c r="G193" s="265" t="str">
        <f>IF($B193="","",COUNTIF(May[Resident Name],$B193))</f>
        <v/>
      </c>
      <c r="H193" s="265" t="str">
        <f>IF($B193="","",COUNTIF(June[Resident Name],$B193))</f>
        <v/>
      </c>
      <c r="I193" s="265" t="str">
        <f>IF($B193="","",COUNTIF(July[Resident Name],$B193))</f>
        <v/>
      </c>
      <c r="J193" s="265" t="str">
        <f>IF($B193="","",COUNTIF(Aug[Resident Name],$B193))</f>
        <v/>
      </c>
      <c r="K193" s="265" t="str">
        <f>IF($B193="","",COUNTIF(Sept[Resident Name],$B193))</f>
        <v/>
      </c>
      <c r="L193" s="265" t="str">
        <f>IF($B193="","",COUNTIF(Oct[Resident Name],$B193))</f>
        <v/>
      </c>
      <c r="M193" s="265" t="str">
        <f>IF($B193="","",COUNTIF(Nov[Resident Name],$B193))</f>
        <v/>
      </c>
      <c r="N193" s="265" t="str">
        <f>IF($B193="","",COUNTIF(Dec[Resident Name],$B193))</f>
        <v/>
      </c>
      <c r="O193" s="265" t="str">
        <f t="shared" si="8"/>
        <v/>
      </c>
      <c r="P193" s="11"/>
      <c r="R193" s="160" t="str">
        <f>IFERROR(INDEX($B$5:$B$172,MATCH(ROWS($R$5:R193),$X$5:$X$172,0)),"")</f>
        <v/>
      </c>
      <c r="S193" s="76" t="str">
        <f>IF($R193="","",INDEX($O$5:$O$172,MATCH(ROWS($R$5:R193),$X$5:$X$172,0)))</f>
        <v/>
      </c>
      <c r="U193" s="160" t="str">
        <f>IFERROR(INDEX($Z$5:$Z$448,MATCH(ROWS($U$5:U193),$AA$5:$AA$448,0)),"")</f>
        <v/>
      </c>
      <c r="V193" s="274" t="str">
        <f>IF(June!C7="","",June!C7)</f>
        <v/>
      </c>
      <c r="W193" s="274" t="str" cm="1">
        <f t="array" ref="W193">IF(V193="","",IF(COUNTIF($V$5:V193,V193)&gt;1,"",ROUND(1+SUMPRODUCT(($V$5:$V$448&lt;&gt;"")*($V$5:$V$448&lt;V193)/COUNTIF($V$5:$V$448,$V$5:$V$448&amp;"")),0)))</f>
        <v/>
      </c>
      <c r="X193" s="274"/>
      <c r="Z193" s="274" t="str">
        <f>IF(June!H7="Major Injury",June!C7,"")</f>
        <v/>
      </c>
      <c r="AA193" s="274" t="str" cm="1">
        <f t="array" ref="AA193">IF(Z193="","",IF(COUNTIF($Z$5:Z193,Z193)&gt;1,"",ROUND(1+SUMPRODUCT(($Z$5:$Z$448&lt;&gt;"")*($Z$5:$Z$448&lt;Z193)/COUNTIF($Z$5:$Z$448,$Z$5:$Z$448&amp;"")),0)))</f>
        <v/>
      </c>
    </row>
    <row r="194" spans="2:27" x14ac:dyDescent="0.25">
      <c r="B194" s="160" t="str">
        <f>IFERROR(INDEX($V$5:$V$448,MATCH(ROWS($B$5:B194),$W$5:$W$448,0)),"")</f>
        <v/>
      </c>
      <c r="C194" s="265" t="str">
        <f>IF($B194="","",COUNTIF(Jan[Resident Name],$B194))</f>
        <v/>
      </c>
      <c r="D194" s="265" t="str">
        <f>IF($B194="","",COUNTIF(Feb[Resident Name],$B194))</f>
        <v/>
      </c>
      <c r="E194" s="265" t="str">
        <f>IF($B194="","",COUNTIF(Mar[Resident Name],$B194))</f>
        <v/>
      </c>
      <c r="F194" s="265" t="str">
        <f>IF($B194="","",COUNTIF(Apr[Resident Name],$B194))</f>
        <v/>
      </c>
      <c r="G194" s="265" t="str">
        <f>IF($B194="","",COUNTIF(May[Resident Name],$B194))</f>
        <v/>
      </c>
      <c r="H194" s="265" t="str">
        <f>IF($B194="","",COUNTIF(June[Resident Name],$B194))</f>
        <v/>
      </c>
      <c r="I194" s="265" t="str">
        <f>IF($B194="","",COUNTIF(July[Resident Name],$B194))</f>
        <v/>
      </c>
      <c r="J194" s="265" t="str">
        <f>IF($B194="","",COUNTIF(Aug[Resident Name],$B194))</f>
        <v/>
      </c>
      <c r="K194" s="265" t="str">
        <f>IF($B194="","",COUNTIF(Sept[Resident Name],$B194))</f>
        <v/>
      </c>
      <c r="L194" s="265" t="str">
        <f>IF($B194="","",COUNTIF(Oct[Resident Name],$B194))</f>
        <v/>
      </c>
      <c r="M194" s="265" t="str">
        <f>IF($B194="","",COUNTIF(Nov[Resident Name],$B194))</f>
        <v/>
      </c>
      <c r="N194" s="265" t="str">
        <f>IF($B194="","",COUNTIF(Dec[Resident Name],$B194))</f>
        <v/>
      </c>
      <c r="O194" s="265" t="str">
        <f t="shared" si="8"/>
        <v/>
      </c>
      <c r="P194" s="11"/>
      <c r="R194" s="160" t="str">
        <f>IFERROR(INDEX($B$5:$B$172,MATCH(ROWS($R$5:R194),$X$5:$X$172,0)),"")</f>
        <v/>
      </c>
      <c r="S194" s="76" t="str">
        <f>IF($R194="","",INDEX($O$5:$O$172,MATCH(ROWS($R$5:R194),$X$5:$X$172,0)))</f>
        <v/>
      </c>
      <c r="U194" s="160" t="str">
        <f>IFERROR(INDEX($Z$5:$Z$448,MATCH(ROWS($U$5:U194),$AA$5:$AA$448,0)),"")</f>
        <v/>
      </c>
      <c r="V194" s="274" t="str">
        <f>IF(June!C8="","",June!C8)</f>
        <v/>
      </c>
      <c r="W194" s="274" t="str" cm="1">
        <f t="array" ref="W194">IF(V194="","",IF(COUNTIF($V$5:V194,V194)&gt;1,"",ROUND(1+SUMPRODUCT(($V$5:$V$448&lt;&gt;"")*($V$5:$V$448&lt;V194)/COUNTIF($V$5:$V$448,$V$5:$V$448&amp;"")),0)))</f>
        <v/>
      </c>
      <c r="X194" s="274"/>
      <c r="Z194" s="274" t="str">
        <f>IF(June!H8="Major Injury",June!C8,"")</f>
        <v/>
      </c>
      <c r="AA194" s="274" t="str" cm="1">
        <f t="array" ref="AA194">IF(Z194="","",IF(COUNTIF($Z$5:Z194,Z194)&gt;1,"",ROUND(1+SUMPRODUCT(($Z$5:$Z$448&lt;&gt;"")*($Z$5:$Z$448&lt;Z194)/COUNTIF($Z$5:$Z$448,$Z$5:$Z$448&amp;"")),0)))</f>
        <v/>
      </c>
    </row>
    <row r="195" spans="2:27" x14ac:dyDescent="0.25">
      <c r="B195" s="160" t="str">
        <f>IFERROR(INDEX($V$5:$V$448,MATCH(ROWS($B$5:B195),$W$5:$W$448,0)),"")</f>
        <v/>
      </c>
      <c r="C195" s="265" t="str">
        <f>IF($B195="","",COUNTIF(Jan[Resident Name],$B195))</f>
        <v/>
      </c>
      <c r="D195" s="265" t="str">
        <f>IF($B195="","",COUNTIF(Feb[Resident Name],$B195))</f>
        <v/>
      </c>
      <c r="E195" s="265" t="str">
        <f>IF($B195="","",COUNTIF(Mar[Resident Name],$B195))</f>
        <v/>
      </c>
      <c r="F195" s="265" t="str">
        <f>IF($B195="","",COUNTIF(Apr[Resident Name],$B195))</f>
        <v/>
      </c>
      <c r="G195" s="265" t="str">
        <f>IF($B195="","",COUNTIF(May[Resident Name],$B195))</f>
        <v/>
      </c>
      <c r="H195" s="265" t="str">
        <f>IF($B195="","",COUNTIF(June[Resident Name],$B195))</f>
        <v/>
      </c>
      <c r="I195" s="265" t="str">
        <f>IF($B195="","",COUNTIF(July[Resident Name],$B195))</f>
        <v/>
      </c>
      <c r="J195" s="265" t="str">
        <f>IF($B195="","",COUNTIF(Aug[Resident Name],$B195))</f>
        <v/>
      </c>
      <c r="K195" s="265" t="str">
        <f>IF($B195="","",COUNTIF(Sept[Resident Name],$B195))</f>
        <v/>
      </c>
      <c r="L195" s="265" t="str">
        <f>IF($B195="","",COUNTIF(Oct[Resident Name],$B195))</f>
        <v/>
      </c>
      <c r="M195" s="265" t="str">
        <f>IF($B195="","",COUNTIF(Nov[Resident Name],$B195))</f>
        <v/>
      </c>
      <c r="N195" s="265" t="str">
        <f>IF($B195="","",COUNTIF(Dec[Resident Name],$B195))</f>
        <v/>
      </c>
      <c r="O195" s="265" t="str">
        <f t="shared" si="8"/>
        <v/>
      </c>
      <c r="P195" s="11"/>
      <c r="R195" s="160" t="str">
        <f>IFERROR(INDEX($B$5:$B$172,MATCH(ROWS($R$5:R195),$X$5:$X$172,0)),"")</f>
        <v/>
      </c>
      <c r="S195" s="76" t="str">
        <f>IF($R195="","",INDEX($O$5:$O$172,MATCH(ROWS($R$5:R195),$X$5:$X$172,0)))</f>
        <v/>
      </c>
      <c r="U195" s="160" t="str">
        <f>IFERROR(INDEX($Z$5:$Z$448,MATCH(ROWS($U$5:U195),$AA$5:$AA$448,0)),"")</f>
        <v/>
      </c>
      <c r="V195" s="274" t="str">
        <f>IF(June!C9="","",June!C9)</f>
        <v/>
      </c>
      <c r="W195" s="274" t="str" cm="1">
        <f t="array" ref="W195">IF(V195="","",IF(COUNTIF($V$5:V195,V195)&gt;1,"",ROUND(1+SUMPRODUCT(($V$5:$V$448&lt;&gt;"")*($V$5:$V$448&lt;V195)/COUNTIF($V$5:$V$448,$V$5:$V$448&amp;"")),0)))</f>
        <v/>
      </c>
      <c r="X195" s="274"/>
      <c r="Z195" s="274" t="str">
        <f>IF(June!H9="Major Injury",June!C9,"")</f>
        <v/>
      </c>
      <c r="AA195" s="274" t="str" cm="1">
        <f t="array" ref="AA195">IF(Z195="","",IF(COUNTIF($Z$5:Z195,Z195)&gt;1,"",ROUND(1+SUMPRODUCT(($Z$5:$Z$448&lt;&gt;"")*($Z$5:$Z$448&lt;Z195)/COUNTIF($Z$5:$Z$448,$Z$5:$Z$448&amp;"")),0)))</f>
        <v/>
      </c>
    </row>
    <row r="196" spans="2:27" x14ac:dyDescent="0.25">
      <c r="B196" s="160" t="str">
        <f>IFERROR(INDEX($V$5:$V$448,MATCH(ROWS($B$5:B196),$W$5:$W$448,0)),"")</f>
        <v/>
      </c>
      <c r="C196" s="265" t="str">
        <f>IF($B196="","",COUNTIF(Jan[Resident Name],$B196))</f>
        <v/>
      </c>
      <c r="D196" s="265" t="str">
        <f>IF($B196="","",COUNTIF(Feb[Resident Name],$B196))</f>
        <v/>
      </c>
      <c r="E196" s="265" t="str">
        <f>IF($B196="","",COUNTIF(Mar[Resident Name],$B196))</f>
        <v/>
      </c>
      <c r="F196" s="265" t="str">
        <f>IF($B196="","",COUNTIF(Apr[Resident Name],$B196))</f>
        <v/>
      </c>
      <c r="G196" s="265" t="str">
        <f>IF($B196="","",COUNTIF(May[Resident Name],$B196))</f>
        <v/>
      </c>
      <c r="H196" s="265" t="str">
        <f>IF($B196="","",COUNTIF(June[Resident Name],$B196))</f>
        <v/>
      </c>
      <c r="I196" s="265" t="str">
        <f>IF($B196="","",COUNTIF(July[Resident Name],$B196))</f>
        <v/>
      </c>
      <c r="J196" s="265" t="str">
        <f>IF($B196="","",COUNTIF(Aug[Resident Name],$B196))</f>
        <v/>
      </c>
      <c r="K196" s="265" t="str">
        <f>IF($B196="","",COUNTIF(Sept[Resident Name],$B196))</f>
        <v/>
      </c>
      <c r="L196" s="265" t="str">
        <f>IF($B196="","",COUNTIF(Oct[Resident Name],$B196))</f>
        <v/>
      </c>
      <c r="M196" s="265" t="str">
        <f>IF($B196="","",COUNTIF(Nov[Resident Name],$B196))</f>
        <v/>
      </c>
      <c r="N196" s="265" t="str">
        <f>IF($B196="","",COUNTIF(Dec[Resident Name],$B196))</f>
        <v/>
      </c>
      <c r="O196" s="265" t="str">
        <f t="shared" si="8"/>
        <v/>
      </c>
      <c r="P196" s="11"/>
      <c r="R196" s="160" t="str">
        <f>IFERROR(INDEX($B$5:$B$172,MATCH(ROWS($R$5:R196),$X$5:$X$172,0)),"")</f>
        <v/>
      </c>
      <c r="S196" s="76" t="str">
        <f>IF($R196="","",INDEX($O$5:$O$172,MATCH(ROWS($R$5:R196),$X$5:$X$172,0)))</f>
        <v/>
      </c>
      <c r="U196" s="160" t="str">
        <f>IFERROR(INDEX($Z$5:$Z$448,MATCH(ROWS($U$5:U196),$AA$5:$AA$448,0)),"")</f>
        <v/>
      </c>
      <c r="V196" s="274" t="str">
        <f>IF(June!C10="","",June!C10)</f>
        <v/>
      </c>
      <c r="W196" s="274" t="str" cm="1">
        <f t="array" ref="W196">IF(V196="","",IF(COUNTIF($V$5:V196,V196)&gt;1,"",ROUND(1+SUMPRODUCT(($V$5:$V$448&lt;&gt;"")*($V$5:$V$448&lt;V196)/COUNTIF($V$5:$V$448,$V$5:$V$448&amp;"")),0)))</f>
        <v/>
      </c>
      <c r="X196" s="274"/>
      <c r="Z196" s="274" t="str">
        <f>IF(June!H10="Major Injury",June!C10,"")</f>
        <v/>
      </c>
      <c r="AA196" s="274" t="str" cm="1">
        <f t="array" ref="AA196">IF(Z196="","",IF(COUNTIF($Z$5:Z196,Z196)&gt;1,"",ROUND(1+SUMPRODUCT(($Z$5:$Z$448&lt;&gt;"")*($Z$5:$Z$448&lt;Z196)/COUNTIF($Z$5:$Z$448,$Z$5:$Z$448&amp;"")),0)))</f>
        <v/>
      </c>
    </row>
    <row r="197" spans="2:27" x14ac:dyDescent="0.25">
      <c r="B197" s="160" t="str">
        <f>IFERROR(INDEX($V$5:$V$448,MATCH(ROWS($B$5:B197),$W$5:$W$448,0)),"")</f>
        <v/>
      </c>
      <c r="C197" s="265" t="str">
        <f>IF($B197="","",COUNTIF(Jan[Resident Name],$B197))</f>
        <v/>
      </c>
      <c r="D197" s="265" t="str">
        <f>IF($B197="","",COUNTIF(Feb[Resident Name],$B197))</f>
        <v/>
      </c>
      <c r="E197" s="265" t="str">
        <f>IF($B197="","",COUNTIF(Mar[Resident Name],$B197))</f>
        <v/>
      </c>
      <c r="F197" s="265" t="str">
        <f>IF($B197="","",COUNTIF(Apr[Resident Name],$B197))</f>
        <v/>
      </c>
      <c r="G197" s="265" t="str">
        <f>IF($B197="","",COUNTIF(May[Resident Name],$B197))</f>
        <v/>
      </c>
      <c r="H197" s="265" t="str">
        <f>IF($B197="","",COUNTIF(June[Resident Name],$B197))</f>
        <v/>
      </c>
      <c r="I197" s="265" t="str">
        <f>IF($B197="","",COUNTIF(July[Resident Name],$B197))</f>
        <v/>
      </c>
      <c r="J197" s="265" t="str">
        <f>IF($B197="","",COUNTIF(Aug[Resident Name],$B197))</f>
        <v/>
      </c>
      <c r="K197" s="265" t="str">
        <f>IF($B197="","",COUNTIF(Sept[Resident Name],$B197))</f>
        <v/>
      </c>
      <c r="L197" s="265" t="str">
        <f>IF($B197="","",COUNTIF(Oct[Resident Name],$B197))</f>
        <v/>
      </c>
      <c r="M197" s="265" t="str">
        <f>IF($B197="","",COUNTIF(Nov[Resident Name],$B197))</f>
        <v/>
      </c>
      <c r="N197" s="265" t="str">
        <f>IF($B197="","",COUNTIF(Dec[Resident Name],$B197))</f>
        <v/>
      </c>
      <c r="O197" s="265" t="str">
        <f t="shared" si="8"/>
        <v/>
      </c>
      <c r="P197" s="11"/>
      <c r="R197" s="160" t="str">
        <f>IFERROR(INDEX($B$5:$B$172,MATCH(ROWS($R$5:R197),$X$5:$X$172,0)),"")</f>
        <v/>
      </c>
      <c r="S197" s="76" t="str">
        <f>IF($R197="","",INDEX($O$5:$O$172,MATCH(ROWS($R$5:R197),$X$5:$X$172,0)))</f>
        <v/>
      </c>
      <c r="U197" s="160" t="str">
        <f>IFERROR(INDEX($Z$5:$Z$448,MATCH(ROWS($U$5:U197),$AA$5:$AA$448,0)),"")</f>
        <v/>
      </c>
      <c r="V197" s="274" t="str">
        <f>IF(June!C11="","",June!C11)</f>
        <v/>
      </c>
      <c r="W197" s="274" t="str" cm="1">
        <f t="array" ref="W197">IF(V197="","",IF(COUNTIF($V$5:V197,V197)&gt;1,"",ROUND(1+SUMPRODUCT(($V$5:$V$448&lt;&gt;"")*($V$5:$V$448&lt;V197)/COUNTIF($V$5:$V$448,$V$5:$V$448&amp;"")),0)))</f>
        <v/>
      </c>
      <c r="X197" s="274"/>
      <c r="Z197" s="274" t="str">
        <f>IF(June!H11="Major Injury",June!C11,"")</f>
        <v/>
      </c>
      <c r="AA197" s="274" t="str" cm="1">
        <f t="array" ref="AA197">IF(Z197="","",IF(COUNTIF($Z$5:Z197,Z197)&gt;1,"",ROUND(1+SUMPRODUCT(($Z$5:$Z$448&lt;&gt;"")*($Z$5:$Z$448&lt;Z197)/COUNTIF($Z$5:$Z$448,$Z$5:$Z$448&amp;"")),0)))</f>
        <v/>
      </c>
    </row>
    <row r="198" spans="2:27" x14ac:dyDescent="0.25">
      <c r="B198" s="160" t="str">
        <f>IFERROR(INDEX($V$5:$V$448,MATCH(ROWS($B$5:B198),$W$5:$W$448,0)),"")</f>
        <v/>
      </c>
      <c r="C198" s="265" t="str">
        <f>IF($B198="","",COUNTIF(Jan[Resident Name],$B198))</f>
        <v/>
      </c>
      <c r="D198" s="265" t="str">
        <f>IF($B198="","",COUNTIF(Feb[Resident Name],$B198))</f>
        <v/>
      </c>
      <c r="E198" s="265" t="str">
        <f>IF($B198="","",COUNTIF(Mar[Resident Name],$B198))</f>
        <v/>
      </c>
      <c r="F198" s="265" t="str">
        <f>IF($B198="","",COUNTIF(Apr[Resident Name],$B198))</f>
        <v/>
      </c>
      <c r="G198" s="265" t="str">
        <f>IF($B198="","",COUNTIF(May[Resident Name],$B198))</f>
        <v/>
      </c>
      <c r="H198" s="265" t="str">
        <f>IF($B198="","",COUNTIF(June[Resident Name],$B198))</f>
        <v/>
      </c>
      <c r="I198" s="265" t="str">
        <f>IF($B198="","",COUNTIF(July[Resident Name],$B198))</f>
        <v/>
      </c>
      <c r="J198" s="265" t="str">
        <f>IF($B198="","",COUNTIF(Aug[Resident Name],$B198))</f>
        <v/>
      </c>
      <c r="K198" s="265" t="str">
        <f>IF($B198="","",COUNTIF(Sept[Resident Name],$B198))</f>
        <v/>
      </c>
      <c r="L198" s="265" t="str">
        <f>IF($B198="","",COUNTIF(Oct[Resident Name],$B198))</f>
        <v/>
      </c>
      <c r="M198" s="265" t="str">
        <f>IF($B198="","",COUNTIF(Nov[Resident Name],$B198))</f>
        <v/>
      </c>
      <c r="N198" s="265" t="str">
        <f>IF($B198="","",COUNTIF(Dec[Resident Name],$B198))</f>
        <v/>
      </c>
      <c r="O198" s="265" t="str">
        <f t="shared" si="8"/>
        <v/>
      </c>
      <c r="P198" s="11"/>
      <c r="R198" s="160" t="str">
        <f>IFERROR(INDEX($B$5:$B$172,MATCH(ROWS($R$5:R198),$X$5:$X$172,0)),"")</f>
        <v/>
      </c>
      <c r="S198" s="76" t="str">
        <f>IF($R198="","",INDEX($O$5:$O$172,MATCH(ROWS($R$5:R198),$X$5:$X$172,0)))</f>
        <v/>
      </c>
      <c r="U198" s="160" t="str">
        <f>IFERROR(INDEX($Z$5:$Z$448,MATCH(ROWS($U$5:U198),$AA$5:$AA$448,0)),"")</f>
        <v/>
      </c>
      <c r="V198" s="274" t="str">
        <f>IF(June!C12="","",June!C12)</f>
        <v/>
      </c>
      <c r="W198" s="274" t="str" cm="1">
        <f t="array" ref="W198">IF(V198="","",IF(COUNTIF($V$5:V198,V198)&gt;1,"",ROUND(1+SUMPRODUCT(($V$5:$V$448&lt;&gt;"")*($V$5:$V$448&lt;V198)/COUNTIF($V$5:$V$448,$V$5:$V$448&amp;"")),0)))</f>
        <v/>
      </c>
      <c r="X198" s="274"/>
      <c r="Z198" s="274" t="str">
        <f>IF(June!H12="Major Injury",June!C12,"")</f>
        <v/>
      </c>
      <c r="AA198" s="274" t="str" cm="1">
        <f t="array" ref="AA198">IF(Z198="","",IF(COUNTIF($Z$5:Z198,Z198)&gt;1,"",ROUND(1+SUMPRODUCT(($Z$5:$Z$448&lt;&gt;"")*($Z$5:$Z$448&lt;Z198)/COUNTIF($Z$5:$Z$448,$Z$5:$Z$448&amp;"")),0)))</f>
        <v/>
      </c>
    </row>
    <row r="199" spans="2:27" x14ac:dyDescent="0.25">
      <c r="B199" s="160" t="str">
        <f>IFERROR(INDEX($V$5:$V$448,MATCH(ROWS($B$5:B199),$W$5:$W$448,0)),"")</f>
        <v/>
      </c>
      <c r="C199" s="265" t="str">
        <f>IF($B199="","",COUNTIF(Jan[Resident Name],$B199))</f>
        <v/>
      </c>
      <c r="D199" s="265" t="str">
        <f>IF($B199="","",COUNTIF(Feb[Resident Name],$B199))</f>
        <v/>
      </c>
      <c r="E199" s="265" t="str">
        <f>IF($B199="","",COUNTIF(Mar[Resident Name],$B199))</f>
        <v/>
      </c>
      <c r="F199" s="265" t="str">
        <f>IF($B199="","",COUNTIF(Apr[Resident Name],$B199))</f>
        <v/>
      </c>
      <c r="G199" s="265" t="str">
        <f>IF($B199="","",COUNTIF(May[Resident Name],$B199))</f>
        <v/>
      </c>
      <c r="H199" s="265" t="str">
        <f>IF($B199="","",COUNTIF(June[Resident Name],$B199))</f>
        <v/>
      </c>
      <c r="I199" s="265" t="str">
        <f>IF($B199="","",COUNTIF(July[Resident Name],$B199))</f>
        <v/>
      </c>
      <c r="J199" s="265" t="str">
        <f>IF($B199="","",COUNTIF(Aug[Resident Name],$B199))</f>
        <v/>
      </c>
      <c r="K199" s="265" t="str">
        <f>IF($B199="","",COUNTIF(Sept[Resident Name],$B199))</f>
        <v/>
      </c>
      <c r="L199" s="265" t="str">
        <f>IF($B199="","",COUNTIF(Oct[Resident Name],$B199))</f>
        <v/>
      </c>
      <c r="M199" s="265" t="str">
        <f>IF($B199="","",COUNTIF(Nov[Resident Name],$B199))</f>
        <v/>
      </c>
      <c r="N199" s="265" t="str">
        <f>IF($B199="","",COUNTIF(Dec[Resident Name],$B199))</f>
        <v/>
      </c>
      <c r="O199" s="265" t="str">
        <f t="shared" si="8"/>
        <v/>
      </c>
      <c r="P199" s="11"/>
      <c r="R199" s="160" t="str">
        <f>IFERROR(INDEX($B$5:$B$172,MATCH(ROWS($R$5:R199),$X$5:$X$172,0)),"")</f>
        <v/>
      </c>
      <c r="S199" s="76" t="str">
        <f>IF($R199="","",INDEX($O$5:$O$172,MATCH(ROWS($R$5:R199),$X$5:$X$172,0)))</f>
        <v/>
      </c>
      <c r="U199" s="160" t="str">
        <f>IFERROR(INDEX($Z$5:$Z$448,MATCH(ROWS($U$5:U199),$AA$5:$AA$448,0)),"")</f>
        <v/>
      </c>
      <c r="V199" s="274" t="str">
        <f>IF(June!C13="","",June!C13)</f>
        <v/>
      </c>
      <c r="W199" s="274" t="str" cm="1">
        <f t="array" ref="W199">IF(V199="","",IF(COUNTIF($V$5:V199,V199)&gt;1,"",ROUND(1+SUMPRODUCT(($V$5:$V$448&lt;&gt;"")*($V$5:$V$448&lt;V199)/COUNTIF($V$5:$V$448,$V$5:$V$448&amp;"")),0)))</f>
        <v/>
      </c>
      <c r="X199" s="274"/>
      <c r="Z199" s="274" t="str">
        <f>IF(June!H13="Major Injury",June!C13,"")</f>
        <v/>
      </c>
      <c r="AA199" s="274" t="str" cm="1">
        <f t="array" ref="AA199">IF(Z199="","",IF(COUNTIF($Z$5:Z199,Z199)&gt;1,"",ROUND(1+SUMPRODUCT(($Z$5:$Z$448&lt;&gt;"")*($Z$5:$Z$448&lt;Z199)/COUNTIF($Z$5:$Z$448,$Z$5:$Z$448&amp;"")),0)))</f>
        <v/>
      </c>
    </row>
    <row r="200" spans="2:27" x14ac:dyDescent="0.25">
      <c r="B200" s="160" t="str">
        <f>IFERROR(INDEX($V$5:$V$448,MATCH(ROWS($B$5:B200),$W$5:$W$448,0)),"")</f>
        <v/>
      </c>
      <c r="C200" s="265" t="str">
        <f>IF($B200="","",COUNTIF(Jan[Resident Name],$B200))</f>
        <v/>
      </c>
      <c r="D200" s="265" t="str">
        <f>IF($B200="","",COUNTIF(Feb[Resident Name],$B200))</f>
        <v/>
      </c>
      <c r="E200" s="265" t="str">
        <f>IF($B200="","",COUNTIF(Mar[Resident Name],$B200))</f>
        <v/>
      </c>
      <c r="F200" s="265" t="str">
        <f>IF($B200="","",COUNTIF(Apr[Resident Name],$B200))</f>
        <v/>
      </c>
      <c r="G200" s="265" t="str">
        <f>IF($B200="","",COUNTIF(May[Resident Name],$B200))</f>
        <v/>
      </c>
      <c r="H200" s="265" t="str">
        <f>IF($B200="","",COUNTIF(June[Resident Name],$B200))</f>
        <v/>
      </c>
      <c r="I200" s="265" t="str">
        <f>IF($B200="","",COUNTIF(July[Resident Name],$B200))</f>
        <v/>
      </c>
      <c r="J200" s="265" t="str">
        <f>IF($B200="","",COUNTIF(Aug[Resident Name],$B200))</f>
        <v/>
      </c>
      <c r="K200" s="265" t="str">
        <f>IF($B200="","",COUNTIF(Sept[Resident Name],$B200))</f>
        <v/>
      </c>
      <c r="L200" s="265" t="str">
        <f>IF($B200="","",COUNTIF(Oct[Resident Name],$B200))</f>
        <v/>
      </c>
      <c r="M200" s="265" t="str">
        <f>IF($B200="","",COUNTIF(Nov[Resident Name],$B200))</f>
        <v/>
      </c>
      <c r="N200" s="265" t="str">
        <f>IF($B200="","",COUNTIF(Dec[Resident Name],$B200))</f>
        <v/>
      </c>
      <c r="O200" s="265" t="str">
        <f t="shared" si="8"/>
        <v/>
      </c>
      <c r="P200" s="11"/>
      <c r="R200" s="160" t="str">
        <f>IFERROR(INDEX($B$5:$B$172,MATCH(ROWS($R$5:R200),$X$5:$X$172,0)),"")</f>
        <v/>
      </c>
      <c r="S200" s="76" t="str">
        <f>IF($R200="","",INDEX($O$5:$O$172,MATCH(ROWS($R$5:R200),$X$5:$X$172,0)))</f>
        <v/>
      </c>
      <c r="U200" s="160" t="str">
        <f>IFERROR(INDEX($Z$5:$Z$448,MATCH(ROWS($U$5:U200),$AA$5:$AA$448,0)),"")</f>
        <v/>
      </c>
      <c r="V200" s="274" t="str">
        <f>IF(June!C14="","",June!C14)</f>
        <v/>
      </c>
      <c r="W200" s="274" t="str" cm="1">
        <f t="array" ref="W200">IF(V200="","",IF(COUNTIF($V$5:V200,V200)&gt;1,"",ROUND(1+SUMPRODUCT(($V$5:$V$448&lt;&gt;"")*($V$5:$V$448&lt;V200)/COUNTIF($V$5:$V$448,$V$5:$V$448&amp;"")),0)))</f>
        <v/>
      </c>
      <c r="X200" s="274"/>
      <c r="Z200" s="274" t="str">
        <f>IF(June!H14="Major Injury",June!C14,"")</f>
        <v/>
      </c>
      <c r="AA200" s="274" t="str" cm="1">
        <f t="array" ref="AA200">IF(Z200="","",IF(COUNTIF($Z$5:Z200,Z200)&gt;1,"",ROUND(1+SUMPRODUCT(($Z$5:$Z$448&lt;&gt;"")*($Z$5:$Z$448&lt;Z200)/COUNTIF($Z$5:$Z$448,$Z$5:$Z$448&amp;"")),0)))</f>
        <v/>
      </c>
    </row>
    <row r="201" spans="2:27" x14ac:dyDescent="0.25">
      <c r="B201" s="160" t="str">
        <f>IFERROR(INDEX($V$5:$V$448,MATCH(ROWS($B$5:B201),$W$5:$W$448,0)),"")</f>
        <v/>
      </c>
      <c r="C201" s="265" t="str">
        <f>IF($B201="","",COUNTIF(Jan[Resident Name],$B201))</f>
        <v/>
      </c>
      <c r="D201" s="265" t="str">
        <f>IF($B201="","",COUNTIF(Feb[Resident Name],$B201))</f>
        <v/>
      </c>
      <c r="E201" s="265" t="str">
        <f>IF($B201="","",COUNTIF(Mar[Resident Name],$B201))</f>
        <v/>
      </c>
      <c r="F201" s="265" t="str">
        <f>IF($B201="","",COUNTIF(Apr[Resident Name],$B201))</f>
        <v/>
      </c>
      <c r="G201" s="265" t="str">
        <f>IF($B201="","",COUNTIF(May[Resident Name],$B201))</f>
        <v/>
      </c>
      <c r="H201" s="265" t="str">
        <f>IF($B201="","",COUNTIF(June[Resident Name],$B201))</f>
        <v/>
      </c>
      <c r="I201" s="265" t="str">
        <f>IF($B201="","",COUNTIF(July[Resident Name],$B201))</f>
        <v/>
      </c>
      <c r="J201" s="265" t="str">
        <f>IF($B201="","",COUNTIF(Aug[Resident Name],$B201))</f>
        <v/>
      </c>
      <c r="K201" s="265" t="str">
        <f>IF($B201="","",COUNTIF(Sept[Resident Name],$B201))</f>
        <v/>
      </c>
      <c r="L201" s="265" t="str">
        <f>IF($B201="","",COUNTIF(Oct[Resident Name],$B201))</f>
        <v/>
      </c>
      <c r="M201" s="265" t="str">
        <f>IF($B201="","",COUNTIF(Nov[Resident Name],$B201))</f>
        <v/>
      </c>
      <c r="N201" s="265" t="str">
        <f>IF($B201="","",COUNTIF(Dec[Resident Name],$B201))</f>
        <v/>
      </c>
      <c r="O201" s="265" t="str">
        <f t="shared" ref="O201:O264" si="9">IF($B201="","",SUM(C201:N201))</f>
        <v/>
      </c>
      <c r="P201" s="11"/>
      <c r="R201" s="160" t="str">
        <f>IFERROR(INDEX($B$5:$B$172,MATCH(ROWS($R$5:R201),$X$5:$X$172,0)),"")</f>
        <v/>
      </c>
      <c r="S201" s="76" t="str">
        <f>IF($R201="","",INDEX($O$5:$O$172,MATCH(ROWS($R$5:R201),$X$5:$X$172,0)))</f>
        <v/>
      </c>
      <c r="U201" s="160" t="str">
        <f>IFERROR(INDEX($Z$5:$Z$448,MATCH(ROWS($U$5:U201),$AA$5:$AA$448,0)),"")</f>
        <v/>
      </c>
      <c r="V201" s="274" t="str">
        <f>IF(June!C15="","",June!C15)</f>
        <v/>
      </c>
      <c r="W201" s="274" t="str" cm="1">
        <f t="array" ref="W201">IF(V201="","",IF(COUNTIF($V$5:V201,V201)&gt;1,"",ROUND(1+SUMPRODUCT(($V$5:$V$448&lt;&gt;"")*($V$5:$V$448&lt;V201)/COUNTIF($V$5:$V$448,$V$5:$V$448&amp;"")),0)))</f>
        <v/>
      </c>
      <c r="X201" s="274"/>
      <c r="Z201" s="274" t="str">
        <f>IF(June!H15="Major Injury",June!C15,"")</f>
        <v/>
      </c>
      <c r="AA201" s="274" t="str" cm="1">
        <f t="array" ref="AA201">IF(Z201="","",IF(COUNTIF($Z$5:Z201,Z201)&gt;1,"",ROUND(1+SUMPRODUCT(($Z$5:$Z$448&lt;&gt;"")*($Z$5:$Z$448&lt;Z201)/COUNTIF($Z$5:$Z$448,$Z$5:$Z$448&amp;"")),0)))</f>
        <v/>
      </c>
    </row>
    <row r="202" spans="2:27" x14ac:dyDescent="0.25">
      <c r="B202" s="160" t="str">
        <f>IFERROR(INDEX($V$5:$V$448,MATCH(ROWS($B$5:B202),$W$5:$W$448,0)),"")</f>
        <v/>
      </c>
      <c r="C202" s="265" t="str">
        <f>IF($B202="","",COUNTIF(Jan[Resident Name],$B202))</f>
        <v/>
      </c>
      <c r="D202" s="265" t="str">
        <f>IF($B202="","",COUNTIF(Feb[Resident Name],$B202))</f>
        <v/>
      </c>
      <c r="E202" s="265" t="str">
        <f>IF($B202="","",COUNTIF(Mar[Resident Name],$B202))</f>
        <v/>
      </c>
      <c r="F202" s="265" t="str">
        <f>IF($B202="","",COUNTIF(Apr[Resident Name],$B202))</f>
        <v/>
      </c>
      <c r="G202" s="265" t="str">
        <f>IF($B202="","",COUNTIF(May[Resident Name],$B202))</f>
        <v/>
      </c>
      <c r="H202" s="265" t="str">
        <f>IF($B202="","",COUNTIF(June[Resident Name],$B202))</f>
        <v/>
      </c>
      <c r="I202" s="265" t="str">
        <f>IF($B202="","",COUNTIF(July[Resident Name],$B202))</f>
        <v/>
      </c>
      <c r="J202" s="265" t="str">
        <f>IF($B202="","",COUNTIF(Aug[Resident Name],$B202))</f>
        <v/>
      </c>
      <c r="K202" s="265" t="str">
        <f>IF($B202="","",COUNTIF(Sept[Resident Name],$B202))</f>
        <v/>
      </c>
      <c r="L202" s="265" t="str">
        <f>IF($B202="","",COUNTIF(Oct[Resident Name],$B202))</f>
        <v/>
      </c>
      <c r="M202" s="265" t="str">
        <f>IF($B202="","",COUNTIF(Nov[Resident Name],$B202))</f>
        <v/>
      </c>
      <c r="N202" s="265" t="str">
        <f>IF($B202="","",COUNTIF(Dec[Resident Name],$B202))</f>
        <v/>
      </c>
      <c r="O202" s="265" t="str">
        <f t="shared" si="9"/>
        <v/>
      </c>
      <c r="P202" s="11"/>
      <c r="R202" s="160" t="str">
        <f>IFERROR(INDEX($B$5:$B$172,MATCH(ROWS($R$5:R202),$X$5:$X$172,0)),"")</f>
        <v/>
      </c>
      <c r="S202" s="76" t="str">
        <f>IF($R202="","",INDEX($O$5:$O$172,MATCH(ROWS($R$5:R202),$X$5:$X$172,0)))</f>
        <v/>
      </c>
      <c r="U202" s="160" t="str">
        <f>IFERROR(INDEX($Z$5:$Z$448,MATCH(ROWS($U$5:U202),$AA$5:$AA$448,0)),"")</f>
        <v/>
      </c>
      <c r="V202" s="274" t="str">
        <f>IF(June!C16="","",June!C16)</f>
        <v/>
      </c>
      <c r="W202" s="274" t="str" cm="1">
        <f t="array" ref="W202">IF(V202="","",IF(COUNTIF($V$5:V202,V202)&gt;1,"",ROUND(1+SUMPRODUCT(($V$5:$V$448&lt;&gt;"")*($V$5:$V$448&lt;V202)/COUNTIF($V$5:$V$448,$V$5:$V$448&amp;"")),0)))</f>
        <v/>
      </c>
      <c r="X202" s="274"/>
      <c r="Z202" s="274" t="str">
        <f>IF(June!H16="Major Injury",June!C16,"")</f>
        <v/>
      </c>
      <c r="AA202" s="274" t="str" cm="1">
        <f t="array" ref="AA202">IF(Z202="","",IF(COUNTIF($Z$5:Z202,Z202)&gt;1,"",ROUND(1+SUMPRODUCT(($Z$5:$Z$448&lt;&gt;"")*($Z$5:$Z$448&lt;Z202)/COUNTIF($Z$5:$Z$448,$Z$5:$Z$448&amp;"")),0)))</f>
        <v/>
      </c>
    </row>
    <row r="203" spans="2:27" x14ac:dyDescent="0.25">
      <c r="B203" s="160" t="str">
        <f>IFERROR(INDEX($V$5:$V$448,MATCH(ROWS($B$5:B203),$W$5:$W$448,0)),"")</f>
        <v/>
      </c>
      <c r="C203" s="265" t="str">
        <f>IF($B203="","",COUNTIF(Jan[Resident Name],$B203))</f>
        <v/>
      </c>
      <c r="D203" s="265" t="str">
        <f>IF($B203="","",COUNTIF(Feb[Resident Name],$B203))</f>
        <v/>
      </c>
      <c r="E203" s="265" t="str">
        <f>IF($B203="","",COUNTIF(Mar[Resident Name],$B203))</f>
        <v/>
      </c>
      <c r="F203" s="265" t="str">
        <f>IF($B203="","",COUNTIF(Apr[Resident Name],$B203))</f>
        <v/>
      </c>
      <c r="G203" s="265" t="str">
        <f>IF($B203="","",COUNTIF(May[Resident Name],$B203))</f>
        <v/>
      </c>
      <c r="H203" s="265" t="str">
        <f>IF($B203="","",COUNTIF(June[Resident Name],$B203))</f>
        <v/>
      </c>
      <c r="I203" s="265" t="str">
        <f>IF($B203="","",COUNTIF(July[Resident Name],$B203))</f>
        <v/>
      </c>
      <c r="J203" s="265" t="str">
        <f>IF($B203="","",COUNTIF(Aug[Resident Name],$B203))</f>
        <v/>
      </c>
      <c r="K203" s="265" t="str">
        <f>IF($B203="","",COUNTIF(Sept[Resident Name],$B203))</f>
        <v/>
      </c>
      <c r="L203" s="265" t="str">
        <f>IF($B203="","",COUNTIF(Oct[Resident Name],$B203))</f>
        <v/>
      </c>
      <c r="M203" s="265" t="str">
        <f>IF($B203="","",COUNTIF(Nov[Resident Name],$B203))</f>
        <v/>
      </c>
      <c r="N203" s="265" t="str">
        <f>IF($B203="","",COUNTIF(Dec[Resident Name],$B203))</f>
        <v/>
      </c>
      <c r="O203" s="265" t="str">
        <f t="shared" si="9"/>
        <v/>
      </c>
      <c r="P203" s="11"/>
      <c r="R203" s="160" t="str">
        <f>IFERROR(INDEX($B$5:$B$172,MATCH(ROWS($R$5:R203),$X$5:$X$172,0)),"")</f>
        <v/>
      </c>
      <c r="S203" s="76" t="str">
        <f>IF($R203="","",INDEX($O$5:$O$172,MATCH(ROWS($R$5:R203),$X$5:$X$172,0)))</f>
        <v/>
      </c>
      <c r="U203" s="160" t="str">
        <f>IFERROR(INDEX($Z$5:$Z$448,MATCH(ROWS($U$5:U203),$AA$5:$AA$448,0)),"")</f>
        <v/>
      </c>
      <c r="V203" s="274" t="str">
        <f>IF(June!C17="","",June!C17)</f>
        <v/>
      </c>
      <c r="W203" s="274" t="str" cm="1">
        <f t="array" ref="W203">IF(V203="","",IF(COUNTIF($V$5:V203,V203)&gt;1,"",ROUND(1+SUMPRODUCT(($V$5:$V$448&lt;&gt;"")*($V$5:$V$448&lt;V203)/COUNTIF($V$5:$V$448,$V$5:$V$448&amp;"")),0)))</f>
        <v/>
      </c>
      <c r="X203" s="274"/>
      <c r="Z203" s="274" t="str">
        <f>IF(June!H17="Major Injury",June!C17,"")</f>
        <v/>
      </c>
      <c r="AA203" s="274" t="str" cm="1">
        <f t="array" ref="AA203">IF(Z203="","",IF(COUNTIF($Z$5:Z203,Z203)&gt;1,"",ROUND(1+SUMPRODUCT(($Z$5:$Z$448&lt;&gt;"")*($Z$5:$Z$448&lt;Z203)/COUNTIF($Z$5:$Z$448,$Z$5:$Z$448&amp;"")),0)))</f>
        <v/>
      </c>
    </row>
    <row r="204" spans="2:27" x14ac:dyDescent="0.25">
      <c r="B204" s="160" t="str">
        <f>IFERROR(INDEX($V$5:$V$448,MATCH(ROWS($B$5:B204),$W$5:$W$448,0)),"")</f>
        <v/>
      </c>
      <c r="C204" s="265" t="str">
        <f>IF($B204="","",COUNTIF(Jan[Resident Name],$B204))</f>
        <v/>
      </c>
      <c r="D204" s="265" t="str">
        <f>IF($B204="","",COUNTIF(Feb[Resident Name],$B204))</f>
        <v/>
      </c>
      <c r="E204" s="265" t="str">
        <f>IF($B204="","",COUNTIF(Mar[Resident Name],$B204))</f>
        <v/>
      </c>
      <c r="F204" s="265" t="str">
        <f>IF($B204="","",COUNTIF(Apr[Resident Name],$B204))</f>
        <v/>
      </c>
      <c r="G204" s="265" t="str">
        <f>IF($B204="","",COUNTIF(May[Resident Name],$B204))</f>
        <v/>
      </c>
      <c r="H204" s="265" t="str">
        <f>IF($B204="","",COUNTIF(June[Resident Name],$B204))</f>
        <v/>
      </c>
      <c r="I204" s="265" t="str">
        <f>IF($B204="","",COUNTIF(July[Resident Name],$B204))</f>
        <v/>
      </c>
      <c r="J204" s="265" t="str">
        <f>IF($B204="","",COUNTIF(Aug[Resident Name],$B204))</f>
        <v/>
      </c>
      <c r="K204" s="265" t="str">
        <f>IF($B204="","",COUNTIF(Sept[Resident Name],$B204))</f>
        <v/>
      </c>
      <c r="L204" s="265" t="str">
        <f>IF($B204="","",COUNTIF(Oct[Resident Name],$B204))</f>
        <v/>
      </c>
      <c r="M204" s="265" t="str">
        <f>IF($B204="","",COUNTIF(Nov[Resident Name],$B204))</f>
        <v/>
      </c>
      <c r="N204" s="265" t="str">
        <f>IF($B204="","",COUNTIF(Dec[Resident Name],$B204))</f>
        <v/>
      </c>
      <c r="O204" s="265" t="str">
        <f t="shared" si="9"/>
        <v/>
      </c>
      <c r="P204" s="11"/>
      <c r="R204" s="160" t="str">
        <f>IFERROR(INDEX($B$5:$B$172,MATCH(ROWS($R$5:R204),$X$5:$X$172,0)),"")</f>
        <v/>
      </c>
      <c r="S204" s="76" t="str">
        <f>IF($R204="","",INDEX($O$5:$O$172,MATCH(ROWS($R$5:R204),$X$5:$X$172,0)))</f>
        <v/>
      </c>
      <c r="U204" s="160" t="str">
        <f>IFERROR(INDEX($Z$5:$Z$448,MATCH(ROWS($U$5:U204),$AA$5:$AA$448,0)),"")</f>
        <v/>
      </c>
      <c r="V204" s="274" t="str">
        <f>IF(June!C18="","",June!C18)</f>
        <v/>
      </c>
      <c r="W204" s="274" t="str" cm="1">
        <f t="array" ref="W204">IF(V204="","",IF(COUNTIF($V$5:V204,V204)&gt;1,"",ROUND(1+SUMPRODUCT(($V$5:$V$448&lt;&gt;"")*($V$5:$V$448&lt;V204)/COUNTIF($V$5:$V$448,$V$5:$V$448&amp;"")),0)))</f>
        <v/>
      </c>
      <c r="X204" s="274"/>
      <c r="Z204" s="274" t="str">
        <f>IF(June!H18="Major Injury",June!C18,"")</f>
        <v/>
      </c>
      <c r="AA204" s="274" t="str" cm="1">
        <f t="array" ref="AA204">IF(Z204="","",IF(COUNTIF($Z$5:Z204,Z204)&gt;1,"",ROUND(1+SUMPRODUCT(($Z$5:$Z$448&lt;&gt;"")*($Z$5:$Z$448&lt;Z204)/COUNTIF($Z$5:$Z$448,$Z$5:$Z$448&amp;"")),0)))</f>
        <v/>
      </c>
    </row>
    <row r="205" spans="2:27" x14ac:dyDescent="0.25">
      <c r="B205" s="160" t="str">
        <f>IFERROR(INDEX($V$5:$V$448,MATCH(ROWS($B$5:B205),$W$5:$W$448,0)),"")</f>
        <v/>
      </c>
      <c r="C205" s="265" t="str">
        <f>IF($B205="","",COUNTIF(Jan[Resident Name],$B205))</f>
        <v/>
      </c>
      <c r="D205" s="265" t="str">
        <f>IF($B205="","",COUNTIF(Feb[Resident Name],$B205))</f>
        <v/>
      </c>
      <c r="E205" s="265" t="str">
        <f>IF($B205="","",COUNTIF(Mar[Resident Name],$B205))</f>
        <v/>
      </c>
      <c r="F205" s="265" t="str">
        <f>IF($B205="","",COUNTIF(Apr[Resident Name],$B205))</f>
        <v/>
      </c>
      <c r="G205" s="265" t="str">
        <f>IF($B205="","",COUNTIF(May[Resident Name],$B205))</f>
        <v/>
      </c>
      <c r="H205" s="265" t="str">
        <f>IF($B205="","",COUNTIF(June[Resident Name],$B205))</f>
        <v/>
      </c>
      <c r="I205" s="265" t="str">
        <f>IF($B205="","",COUNTIF(July[Resident Name],$B205))</f>
        <v/>
      </c>
      <c r="J205" s="265" t="str">
        <f>IF($B205="","",COUNTIF(Aug[Resident Name],$B205))</f>
        <v/>
      </c>
      <c r="K205" s="265" t="str">
        <f>IF($B205="","",COUNTIF(Sept[Resident Name],$B205))</f>
        <v/>
      </c>
      <c r="L205" s="265" t="str">
        <f>IF($B205="","",COUNTIF(Oct[Resident Name],$B205))</f>
        <v/>
      </c>
      <c r="M205" s="265" t="str">
        <f>IF($B205="","",COUNTIF(Nov[Resident Name],$B205))</f>
        <v/>
      </c>
      <c r="N205" s="265" t="str">
        <f>IF($B205="","",COUNTIF(Dec[Resident Name],$B205))</f>
        <v/>
      </c>
      <c r="O205" s="265" t="str">
        <f t="shared" si="9"/>
        <v/>
      </c>
      <c r="P205" s="11"/>
      <c r="R205" s="160" t="str">
        <f>IFERROR(INDEX($B$5:$B$172,MATCH(ROWS($R$5:R205),$X$5:$X$172,0)),"")</f>
        <v/>
      </c>
      <c r="S205" s="76" t="str">
        <f>IF($R205="","",INDEX($O$5:$O$172,MATCH(ROWS($R$5:R205),$X$5:$X$172,0)))</f>
        <v/>
      </c>
      <c r="U205" s="160" t="str">
        <f>IFERROR(INDEX($Z$5:$Z$448,MATCH(ROWS($U$5:U205),$AA$5:$AA$448,0)),"")</f>
        <v/>
      </c>
      <c r="V205" s="274" t="str">
        <f>IF(June!C19="","",June!C19)</f>
        <v/>
      </c>
      <c r="W205" s="274" t="str" cm="1">
        <f t="array" ref="W205">IF(V205="","",IF(COUNTIF($V$5:V205,V205)&gt;1,"",ROUND(1+SUMPRODUCT(($V$5:$V$448&lt;&gt;"")*($V$5:$V$448&lt;V205)/COUNTIF($V$5:$V$448,$V$5:$V$448&amp;"")),0)))</f>
        <v/>
      </c>
      <c r="X205" s="274"/>
      <c r="Z205" s="274" t="str">
        <f>IF(June!H19="Major Injury",June!C19,"")</f>
        <v/>
      </c>
      <c r="AA205" s="274" t="str" cm="1">
        <f t="array" ref="AA205">IF(Z205="","",IF(COUNTIF($Z$5:Z205,Z205)&gt;1,"",ROUND(1+SUMPRODUCT(($Z$5:$Z$448&lt;&gt;"")*($Z$5:$Z$448&lt;Z205)/COUNTIF($Z$5:$Z$448,$Z$5:$Z$448&amp;"")),0)))</f>
        <v/>
      </c>
    </row>
    <row r="206" spans="2:27" x14ac:dyDescent="0.25">
      <c r="B206" s="160" t="str">
        <f>IFERROR(INDEX($V$5:$V$448,MATCH(ROWS($B$5:B206),$W$5:$W$448,0)),"")</f>
        <v/>
      </c>
      <c r="C206" s="265" t="str">
        <f>IF($B206="","",COUNTIF(Jan[Resident Name],$B206))</f>
        <v/>
      </c>
      <c r="D206" s="265" t="str">
        <f>IF($B206="","",COUNTIF(Feb[Resident Name],$B206))</f>
        <v/>
      </c>
      <c r="E206" s="265" t="str">
        <f>IF($B206="","",COUNTIF(Mar[Resident Name],$B206))</f>
        <v/>
      </c>
      <c r="F206" s="265" t="str">
        <f>IF($B206="","",COUNTIF(Apr[Resident Name],$B206))</f>
        <v/>
      </c>
      <c r="G206" s="265" t="str">
        <f>IF($B206="","",COUNTIF(May[Resident Name],$B206))</f>
        <v/>
      </c>
      <c r="H206" s="265" t="str">
        <f>IF($B206="","",COUNTIF(June[Resident Name],$B206))</f>
        <v/>
      </c>
      <c r="I206" s="265" t="str">
        <f>IF($B206="","",COUNTIF(July[Resident Name],$B206))</f>
        <v/>
      </c>
      <c r="J206" s="265" t="str">
        <f>IF($B206="","",COUNTIF(Aug[Resident Name],$B206))</f>
        <v/>
      </c>
      <c r="K206" s="265" t="str">
        <f>IF($B206="","",COUNTIF(Sept[Resident Name],$B206))</f>
        <v/>
      </c>
      <c r="L206" s="265" t="str">
        <f>IF($B206="","",COUNTIF(Oct[Resident Name],$B206))</f>
        <v/>
      </c>
      <c r="M206" s="265" t="str">
        <f>IF($B206="","",COUNTIF(Nov[Resident Name],$B206))</f>
        <v/>
      </c>
      <c r="N206" s="265" t="str">
        <f>IF($B206="","",COUNTIF(Dec[Resident Name],$B206))</f>
        <v/>
      </c>
      <c r="O206" s="265" t="str">
        <f t="shared" si="9"/>
        <v/>
      </c>
      <c r="P206" s="11"/>
      <c r="R206" s="160" t="str">
        <f>IFERROR(INDEX($B$5:$B$172,MATCH(ROWS($R$5:R206),$X$5:$X$172,0)),"")</f>
        <v/>
      </c>
      <c r="S206" s="76" t="str">
        <f>IF($R206="","",INDEX($O$5:$O$172,MATCH(ROWS($R$5:R206),$X$5:$X$172,0)))</f>
        <v/>
      </c>
      <c r="U206" s="160" t="str">
        <f>IFERROR(INDEX($Z$5:$Z$448,MATCH(ROWS($U$5:U206),$AA$5:$AA$448,0)),"")</f>
        <v/>
      </c>
      <c r="V206" s="274" t="str">
        <f>IF(June!C20="","",June!C20)</f>
        <v/>
      </c>
      <c r="W206" s="274" t="str" cm="1">
        <f t="array" ref="W206">IF(V206="","",IF(COUNTIF($V$5:V206,V206)&gt;1,"",ROUND(1+SUMPRODUCT(($V$5:$V$448&lt;&gt;"")*($V$5:$V$448&lt;V206)/COUNTIF($V$5:$V$448,$V$5:$V$448&amp;"")),0)))</f>
        <v/>
      </c>
      <c r="X206" s="274"/>
      <c r="Z206" s="274" t="str">
        <f>IF(June!H20="Major Injury",June!C20,"")</f>
        <v/>
      </c>
      <c r="AA206" s="274" t="str" cm="1">
        <f t="array" ref="AA206">IF(Z206="","",IF(COUNTIF($Z$5:Z206,Z206)&gt;1,"",ROUND(1+SUMPRODUCT(($Z$5:$Z$448&lt;&gt;"")*($Z$5:$Z$448&lt;Z206)/COUNTIF($Z$5:$Z$448,$Z$5:$Z$448&amp;"")),0)))</f>
        <v/>
      </c>
    </row>
    <row r="207" spans="2:27" x14ac:dyDescent="0.25">
      <c r="B207" s="160" t="str">
        <f>IFERROR(INDEX($V$5:$V$448,MATCH(ROWS($B$5:B207),$W$5:$W$448,0)),"")</f>
        <v/>
      </c>
      <c r="C207" s="265" t="str">
        <f>IF($B207="","",COUNTIF(Jan[Resident Name],$B207))</f>
        <v/>
      </c>
      <c r="D207" s="265" t="str">
        <f>IF($B207="","",COUNTIF(Feb[Resident Name],$B207))</f>
        <v/>
      </c>
      <c r="E207" s="265" t="str">
        <f>IF($B207="","",COUNTIF(Mar[Resident Name],$B207))</f>
        <v/>
      </c>
      <c r="F207" s="265" t="str">
        <f>IF($B207="","",COUNTIF(Apr[Resident Name],$B207))</f>
        <v/>
      </c>
      <c r="G207" s="265" t="str">
        <f>IF($B207="","",COUNTIF(May[Resident Name],$B207))</f>
        <v/>
      </c>
      <c r="H207" s="265" t="str">
        <f>IF($B207="","",COUNTIF(June[Resident Name],$B207))</f>
        <v/>
      </c>
      <c r="I207" s="265" t="str">
        <f>IF($B207="","",COUNTIF(July[Resident Name],$B207))</f>
        <v/>
      </c>
      <c r="J207" s="265" t="str">
        <f>IF($B207="","",COUNTIF(Aug[Resident Name],$B207))</f>
        <v/>
      </c>
      <c r="K207" s="265" t="str">
        <f>IF($B207="","",COUNTIF(Sept[Resident Name],$B207))</f>
        <v/>
      </c>
      <c r="L207" s="265" t="str">
        <f>IF($B207="","",COUNTIF(Oct[Resident Name],$B207))</f>
        <v/>
      </c>
      <c r="M207" s="265" t="str">
        <f>IF($B207="","",COUNTIF(Nov[Resident Name],$B207))</f>
        <v/>
      </c>
      <c r="N207" s="265" t="str">
        <f>IF($B207="","",COUNTIF(Dec[Resident Name],$B207))</f>
        <v/>
      </c>
      <c r="O207" s="265" t="str">
        <f t="shared" si="9"/>
        <v/>
      </c>
      <c r="P207" s="11"/>
      <c r="R207" s="160" t="str">
        <f>IFERROR(INDEX($B$5:$B$172,MATCH(ROWS($R$5:R207),$X$5:$X$172,0)),"")</f>
        <v/>
      </c>
      <c r="S207" s="76" t="str">
        <f>IF($R207="","",INDEX($O$5:$O$172,MATCH(ROWS($R$5:R207),$X$5:$X$172,0)))</f>
        <v/>
      </c>
      <c r="U207" s="160" t="str">
        <f>IFERROR(INDEX($Z$5:$Z$448,MATCH(ROWS($U$5:U207),$AA$5:$AA$448,0)),"")</f>
        <v/>
      </c>
      <c r="V207" s="274" t="str">
        <f>IF(June!C21="","",June!C21)</f>
        <v/>
      </c>
      <c r="W207" s="274" t="str" cm="1">
        <f t="array" ref="W207">IF(V207="","",IF(COUNTIF($V$5:V207,V207)&gt;1,"",ROUND(1+SUMPRODUCT(($V$5:$V$448&lt;&gt;"")*($V$5:$V$448&lt;V207)/COUNTIF($V$5:$V$448,$V$5:$V$448&amp;"")),0)))</f>
        <v/>
      </c>
      <c r="X207" s="274"/>
      <c r="Z207" s="274" t="str">
        <f>IF(June!H21="Major Injury",June!C21,"")</f>
        <v/>
      </c>
      <c r="AA207" s="274" t="str" cm="1">
        <f t="array" ref="AA207">IF(Z207="","",IF(COUNTIF($Z$5:Z207,Z207)&gt;1,"",ROUND(1+SUMPRODUCT(($Z$5:$Z$448&lt;&gt;"")*($Z$5:$Z$448&lt;Z207)/COUNTIF($Z$5:$Z$448,$Z$5:$Z$448&amp;"")),0)))</f>
        <v/>
      </c>
    </row>
    <row r="208" spans="2:27" x14ac:dyDescent="0.25">
      <c r="B208" s="160" t="str">
        <f>IFERROR(INDEX($V$5:$V$448,MATCH(ROWS($B$5:B208),$W$5:$W$448,0)),"")</f>
        <v/>
      </c>
      <c r="C208" s="265" t="str">
        <f>IF($B208="","",COUNTIF(Jan[Resident Name],$B208))</f>
        <v/>
      </c>
      <c r="D208" s="265" t="str">
        <f>IF($B208="","",COUNTIF(Feb[Resident Name],$B208))</f>
        <v/>
      </c>
      <c r="E208" s="265" t="str">
        <f>IF($B208="","",COUNTIF(Mar[Resident Name],$B208))</f>
        <v/>
      </c>
      <c r="F208" s="265" t="str">
        <f>IF($B208="","",COUNTIF(Apr[Resident Name],$B208))</f>
        <v/>
      </c>
      <c r="G208" s="265" t="str">
        <f>IF($B208="","",COUNTIF(May[Resident Name],$B208))</f>
        <v/>
      </c>
      <c r="H208" s="265" t="str">
        <f>IF($B208="","",COUNTIF(June[Resident Name],$B208))</f>
        <v/>
      </c>
      <c r="I208" s="265" t="str">
        <f>IF($B208="","",COUNTIF(July[Resident Name],$B208))</f>
        <v/>
      </c>
      <c r="J208" s="265" t="str">
        <f>IF($B208="","",COUNTIF(Aug[Resident Name],$B208))</f>
        <v/>
      </c>
      <c r="K208" s="265" t="str">
        <f>IF($B208="","",COUNTIF(Sept[Resident Name],$B208))</f>
        <v/>
      </c>
      <c r="L208" s="265" t="str">
        <f>IF($B208="","",COUNTIF(Oct[Resident Name],$B208))</f>
        <v/>
      </c>
      <c r="M208" s="265" t="str">
        <f>IF($B208="","",COUNTIF(Nov[Resident Name],$B208))</f>
        <v/>
      </c>
      <c r="N208" s="265" t="str">
        <f>IF($B208="","",COUNTIF(Dec[Resident Name],$B208))</f>
        <v/>
      </c>
      <c r="O208" s="265" t="str">
        <f t="shared" si="9"/>
        <v/>
      </c>
      <c r="P208" s="11"/>
      <c r="R208" s="160" t="str">
        <f>IFERROR(INDEX($B$5:$B$172,MATCH(ROWS($R$5:R208),$X$5:$X$172,0)),"")</f>
        <v/>
      </c>
      <c r="S208" s="76" t="str">
        <f>IF($R208="","",INDEX($O$5:$O$172,MATCH(ROWS($R$5:R208),$X$5:$X$172,0)))</f>
        <v/>
      </c>
      <c r="U208" s="160" t="str">
        <f>IFERROR(INDEX($Z$5:$Z$448,MATCH(ROWS($U$5:U208),$AA$5:$AA$448,0)),"")</f>
        <v/>
      </c>
      <c r="V208" s="274" t="str">
        <f>IF(June!C22="","",June!C22)</f>
        <v/>
      </c>
      <c r="W208" s="274" t="str" cm="1">
        <f t="array" ref="W208">IF(V208="","",IF(COUNTIF($V$5:V208,V208)&gt;1,"",ROUND(1+SUMPRODUCT(($V$5:$V$448&lt;&gt;"")*($V$5:$V$448&lt;V208)/COUNTIF($V$5:$V$448,$V$5:$V$448&amp;"")),0)))</f>
        <v/>
      </c>
      <c r="X208" s="274"/>
      <c r="Z208" s="274" t="str">
        <f>IF(June!H22="Major Injury",June!C22,"")</f>
        <v/>
      </c>
      <c r="AA208" s="274" t="str" cm="1">
        <f t="array" ref="AA208">IF(Z208="","",IF(COUNTIF($Z$5:Z208,Z208)&gt;1,"",ROUND(1+SUMPRODUCT(($Z$5:$Z$448&lt;&gt;"")*($Z$5:$Z$448&lt;Z208)/COUNTIF($Z$5:$Z$448,$Z$5:$Z$448&amp;"")),0)))</f>
        <v/>
      </c>
    </row>
    <row r="209" spans="2:27" x14ac:dyDescent="0.25">
      <c r="B209" s="160" t="str">
        <f>IFERROR(INDEX($V$5:$V$448,MATCH(ROWS($B$5:B209),$W$5:$W$448,0)),"")</f>
        <v/>
      </c>
      <c r="C209" s="265" t="str">
        <f>IF($B209="","",COUNTIF(Jan[Resident Name],$B209))</f>
        <v/>
      </c>
      <c r="D209" s="265" t="str">
        <f>IF($B209="","",COUNTIF(Feb[Resident Name],$B209))</f>
        <v/>
      </c>
      <c r="E209" s="265" t="str">
        <f>IF($B209="","",COUNTIF(Mar[Resident Name],$B209))</f>
        <v/>
      </c>
      <c r="F209" s="265" t="str">
        <f>IF($B209="","",COUNTIF(Apr[Resident Name],$B209))</f>
        <v/>
      </c>
      <c r="G209" s="265" t="str">
        <f>IF($B209="","",COUNTIF(May[Resident Name],$B209))</f>
        <v/>
      </c>
      <c r="H209" s="265" t="str">
        <f>IF($B209="","",COUNTIF(June[Resident Name],$B209))</f>
        <v/>
      </c>
      <c r="I209" s="265" t="str">
        <f>IF($B209="","",COUNTIF(July[Resident Name],$B209))</f>
        <v/>
      </c>
      <c r="J209" s="265" t="str">
        <f>IF($B209="","",COUNTIF(Aug[Resident Name],$B209))</f>
        <v/>
      </c>
      <c r="K209" s="265" t="str">
        <f>IF($B209="","",COUNTIF(Sept[Resident Name],$B209))</f>
        <v/>
      </c>
      <c r="L209" s="265" t="str">
        <f>IF($B209="","",COUNTIF(Oct[Resident Name],$B209))</f>
        <v/>
      </c>
      <c r="M209" s="265" t="str">
        <f>IF($B209="","",COUNTIF(Nov[Resident Name],$B209))</f>
        <v/>
      </c>
      <c r="N209" s="265" t="str">
        <f>IF($B209="","",COUNTIF(Dec[Resident Name],$B209))</f>
        <v/>
      </c>
      <c r="O209" s="265" t="str">
        <f t="shared" si="9"/>
        <v/>
      </c>
      <c r="P209" s="11"/>
      <c r="R209" s="160" t="str">
        <f>IFERROR(INDEX($B$5:$B$172,MATCH(ROWS($R$5:R209),$X$5:$X$172,0)),"")</f>
        <v/>
      </c>
      <c r="S209" s="76" t="str">
        <f>IF($R209="","",INDEX($O$5:$O$172,MATCH(ROWS($R$5:R209),$X$5:$X$172,0)))</f>
        <v/>
      </c>
      <c r="U209" s="160" t="str">
        <f>IFERROR(INDEX($Z$5:$Z$448,MATCH(ROWS($U$5:U209),$AA$5:$AA$448,0)),"")</f>
        <v/>
      </c>
      <c r="V209" s="274" t="str">
        <f>IF(June!C23="","",June!C23)</f>
        <v/>
      </c>
      <c r="W209" s="274" t="str" cm="1">
        <f t="array" ref="W209">IF(V209="","",IF(COUNTIF($V$5:V209,V209)&gt;1,"",ROUND(1+SUMPRODUCT(($V$5:$V$448&lt;&gt;"")*($V$5:$V$448&lt;V209)/COUNTIF($V$5:$V$448,$V$5:$V$448&amp;"")),0)))</f>
        <v/>
      </c>
      <c r="X209" s="274"/>
      <c r="Z209" s="274" t="str">
        <f>IF(June!H23="Major Injury",June!C23,"")</f>
        <v/>
      </c>
      <c r="AA209" s="274" t="str" cm="1">
        <f t="array" ref="AA209">IF(Z209="","",IF(COUNTIF($Z$5:Z209,Z209)&gt;1,"",ROUND(1+SUMPRODUCT(($Z$5:$Z$448&lt;&gt;"")*($Z$5:$Z$448&lt;Z209)/COUNTIF($Z$5:$Z$448,$Z$5:$Z$448&amp;"")),0)))</f>
        <v/>
      </c>
    </row>
    <row r="210" spans="2:27" x14ac:dyDescent="0.25">
      <c r="B210" s="160" t="str">
        <f>IFERROR(INDEX($V$5:$V$448,MATCH(ROWS($B$5:B210),$W$5:$W$448,0)),"")</f>
        <v/>
      </c>
      <c r="C210" s="265" t="str">
        <f>IF($B210="","",COUNTIF(Jan[Resident Name],$B210))</f>
        <v/>
      </c>
      <c r="D210" s="265" t="str">
        <f>IF($B210="","",COUNTIF(Feb[Resident Name],$B210))</f>
        <v/>
      </c>
      <c r="E210" s="265" t="str">
        <f>IF($B210="","",COUNTIF(Mar[Resident Name],$B210))</f>
        <v/>
      </c>
      <c r="F210" s="265" t="str">
        <f>IF($B210="","",COUNTIF(Apr[Resident Name],$B210))</f>
        <v/>
      </c>
      <c r="G210" s="265" t="str">
        <f>IF($B210="","",COUNTIF(May[Resident Name],$B210))</f>
        <v/>
      </c>
      <c r="H210" s="265" t="str">
        <f>IF($B210="","",COUNTIF(June[Resident Name],$B210))</f>
        <v/>
      </c>
      <c r="I210" s="265" t="str">
        <f>IF($B210="","",COUNTIF(July[Resident Name],$B210))</f>
        <v/>
      </c>
      <c r="J210" s="265" t="str">
        <f>IF($B210="","",COUNTIF(Aug[Resident Name],$B210))</f>
        <v/>
      </c>
      <c r="K210" s="265" t="str">
        <f>IF($B210="","",COUNTIF(Sept[Resident Name],$B210))</f>
        <v/>
      </c>
      <c r="L210" s="265" t="str">
        <f>IF($B210="","",COUNTIF(Oct[Resident Name],$B210))</f>
        <v/>
      </c>
      <c r="M210" s="265" t="str">
        <f>IF($B210="","",COUNTIF(Nov[Resident Name],$B210))</f>
        <v/>
      </c>
      <c r="N210" s="265" t="str">
        <f>IF($B210="","",COUNTIF(Dec[Resident Name],$B210))</f>
        <v/>
      </c>
      <c r="O210" s="265" t="str">
        <f t="shared" si="9"/>
        <v/>
      </c>
      <c r="P210" s="11"/>
      <c r="R210" s="160" t="str">
        <f>IFERROR(INDEX($B$5:$B$172,MATCH(ROWS($R$5:R210),$X$5:$X$172,0)),"")</f>
        <v/>
      </c>
      <c r="S210" s="76" t="str">
        <f>IF($R210="","",INDEX($O$5:$O$172,MATCH(ROWS($R$5:R210),$X$5:$X$172,0)))</f>
        <v/>
      </c>
      <c r="U210" s="160" t="str">
        <f>IFERROR(INDEX($Z$5:$Z$448,MATCH(ROWS($U$5:U210),$AA$5:$AA$448,0)),"")</f>
        <v/>
      </c>
      <c r="V210" s="274" t="str">
        <f>IF(June!C24="","",June!C24)</f>
        <v/>
      </c>
      <c r="W210" s="274" t="str" cm="1">
        <f t="array" ref="W210">IF(V210="","",IF(COUNTIF($V$5:V210,V210)&gt;1,"",ROUND(1+SUMPRODUCT(($V$5:$V$448&lt;&gt;"")*($V$5:$V$448&lt;V210)/COUNTIF($V$5:$V$448,$V$5:$V$448&amp;"")),0)))</f>
        <v/>
      </c>
      <c r="X210" s="274"/>
      <c r="Z210" s="274" t="str">
        <f>IF(June!H24="Major Injury",June!C24,"")</f>
        <v/>
      </c>
      <c r="AA210" s="274" t="str" cm="1">
        <f t="array" ref="AA210">IF(Z210="","",IF(COUNTIF($Z$5:Z210,Z210)&gt;1,"",ROUND(1+SUMPRODUCT(($Z$5:$Z$448&lt;&gt;"")*($Z$5:$Z$448&lt;Z210)/COUNTIF($Z$5:$Z$448,$Z$5:$Z$448&amp;"")),0)))</f>
        <v/>
      </c>
    </row>
    <row r="211" spans="2:27" x14ac:dyDescent="0.25">
      <c r="B211" s="160" t="str">
        <f>IFERROR(INDEX($V$5:$V$448,MATCH(ROWS($B$5:B211),$W$5:$W$448,0)),"")</f>
        <v/>
      </c>
      <c r="C211" s="265" t="str">
        <f>IF($B211="","",COUNTIF(Jan[Resident Name],$B211))</f>
        <v/>
      </c>
      <c r="D211" s="265" t="str">
        <f>IF($B211="","",COUNTIF(Feb[Resident Name],$B211))</f>
        <v/>
      </c>
      <c r="E211" s="265" t="str">
        <f>IF($B211="","",COUNTIF(Mar[Resident Name],$B211))</f>
        <v/>
      </c>
      <c r="F211" s="265" t="str">
        <f>IF($B211="","",COUNTIF(Apr[Resident Name],$B211))</f>
        <v/>
      </c>
      <c r="G211" s="265" t="str">
        <f>IF($B211="","",COUNTIF(May[Resident Name],$B211))</f>
        <v/>
      </c>
      <c r="H211" s="265" t="str">
        <f>IF($B211="","",COUNTIF(June[Resident Name],$B211))</f>
        <v/>
      </c>
      <c r="I211" s="265" t="str">
        <f>IF($B211="","",COUNTIF(July[Resident Name],$B211))</f>
        <v/>
      </c>
      <c r="J211" s="265" t="str">
        <f>IF($B211="","",COUNTIF(Aug[Resident Name],$B211))</f>
        <v/>
      </c>
      <c r="K211" s="265" t="str">
        <f>IF($B211="","",COUNTIF(Sept[Resident Name],$B211))</f>
        <v/>
      </c>
      <c r="L211" s="265" t="str">
        <f>IF($B211="","",COUNTIF(Oct[Resident Name],$B211))</f>
        <v/>
      </c>
      <c r="M211" s="265" t="str">
        <f>IF($B211="","",COUNTIF(Nov[Resident Name],$B211))</f>
        <v/>
      </c>
      <c r="N211" s="265" t="str">
        <f>IF($B211="","",COUNTIF(Dec[Resident Name],$B211))</f>
        <v/>
      </c>
      <c r="O211" s="265" t="str">
        <f t="shared" si="9"/>
        <v/>
      </c>
      <c r="P211" s="11"/>
      <c r="R211" s="160" t="str">
        <f>IFERROR(INDEX($B$5:$B$172,MATCH(ROWS($R$5:R211),$X$5:$X$172,0)),"")</f>
        <v/>
      </c>
      <c r="S211" s="76" t="str">
        <f>IF($R211="","",INDEX($O$5:$O$172,MATCH(ROWS($R$5:R211),$X$5:$X$172,0)))</f>
        <v/>
      </c>
      <c r="U211" s="160" t="str">
        <f>IFERROR(INDEX($Z$5:$Z$448,MATCH(ROWS($U$5:U211),$AA$5:$AA$448,0)),"")</f>
        <v/>
      </c>
      <c r="V211" s="274" t="str">
        <f>IF(June!C25="","",June!C25)</f>
        <v/>
      </c>
      <c r="W211" s="274" t="str" cm="1">
        <f t="array" ref="W211">IF(V211="","",IF(COUNTIF($V$5:V211,V211)&gt;1,"",ROUND(1+SUMPRODUCT(($V$5:$V$448&lt;&gt;"")*($V$5:$V$448&lt;V211)/COUNTIF($V$5:$V$448,$V$5:$V$448&amp;"")),0)))</f>
        <v/>
      </c>
      <c r="X211" s="274"/>
      <c r="Z211" s="274" t="str">
        <f>IF(June!H25="Major Injury",June!C25,"")</f>
        <v/>
      </c>
      <c r="AA211" s="274" t="str" cm="1">
        <f t="array" ref="AA211">IF(Z211="","",IF(COUNTIF($Z$5:Z211,Z211)&gt;1,"",ROUND(1+SUMPRODUCT(($Z$5:$Z$448&lt;&gt;"")*($Z$5:$Z$448&lt;Z211)/COUNTIF($Z$5:$Z$448,$Z$5:$Z$448&amp;"")),0)))</f>
        <v/>
      </c>
    </row>
    <row r="212" spans="2:27" x14ac:dyDescent="0.25">
      <c r="B212" s="160" t="str">
        <f>IFERROR(INDEX($V$5:$V$448,MATCH(ROWS($B$5:B212),$W$5:$W$448,0)),"")</f>
        <v/>
      </c>
      <c r="C212" s="265" t="str">
        <f>IF($B212="","",COUNTIF(Jan[Resident Name],$B212))</f>
        <v/>
      </c>
      <c r="D212" s="265" t="str">
        <f>IF($B212="","",COUNTIF(Feb[Resident Name],$B212))</f>
        <v/>
      </c>
      <c r="E212" s="265" t="str">
        <f>IF($B212="","",COUNTIF(Mar[Resident Name],$B212))</f>
        <v/>
      </c>
      <c r="F212" s="265" t="str">
        <f>IF($B212="","",COUNTIF(Apr[Resident Name],$B212))</f>
        <v/>
      </c>
      <c r="G212" s="265" t="str">
        <f>IF($B212="","",COUNTIF(May[Resident Name],$B212))</f>
        <v/>
      </c>
      <c r="H212" s="265" t="str">
        <f>IF($B212="","",COUNTIF(June[Resident Name],$B212))</f>
        <v/>
      </c>
      <c r="I212" s="265" t="str">
        <f>IF($B212="","",COUNTIF(July[Resident Name],$B212))</f>
        <v/>
      </c>
      <c r="J212" s="265" t="str">
        <f>IF($B212="","",COUNTIF(Aug[Resident Name],$B212))</f>
        <v/>
      </c>
      <c r="K212" s="265" t="str">
        <f>IF($B212="","",COUNTIF(Sept[Resident Name],$B212))</f>
        <v/>
      </c>
      <c r="L212" s="265" t="str">
        <f>IF($B212="","",COUNTIF(Oct[Resident Name],$B212))</f>
        <v/>
      </c>
      <c r="M212" s="265" t="str">
        <f>IF($B212="","",COUNTIF(Nov[Resident Name],$B212))</f>
        <v/>
      </c>
      <c r="N212" s="265" t="str">
        <f>IF($B212="","",COUNTIF(Dec[Resident Name],$B212))</f>
        <v/>
      </c>
      <c r="O212" s="265" t="str">
        <f t="shared" si="9"/>
        <v/>
      </c>
      <c r="P212" s="11"/>
      <c r="R212" s="160" t="str">
        <f>IFERROR(INDEX($B$5:$B$172,MATCH(ROWS($R$5:R212),$X$5:$X$172,0)),"")</f>
        <v/>
      </c>
      <c r="S212" s="76" t="str">
        <f>IF($R212="","",INDEX($O$5:$O$172,MATCH(ROWS($R$5:R212),$X$5:$X$172,0)))</f>
        <v/>
      </c>
      <c r="U212" s="160" t="str">
        <f>IFERROR(INDEX($Z$5:$Z$448,MATCH(ROWS($U$5:U212),$AA$5:$AA$448,0)),"")</f>
        <v/>
      </c>
      <c r="V212" s="274" t="str">
        <f>IF(June!C26="","",June!C26)</f>
        <v/>
      </c>
      <c r="W212" s="274" t="str" cm="1">
        <f t="array" ref="W212">IF(V212="","",IF(COUNTIF($V$5:V212,V212)&gt;1,"",ROUND(1+SUMPRODUCT(($V$5:$V$448&lt;&gt;"")*($V$5:$V$448&lt;V212)/COUNTIF($V$5:$V$448,$V$5:$V$448&amp;"")),0)))</f>
        <v/>
      </c>
      <c r="X212" s="274"/>
      <c r="Z212" s="274" t="str">
        <f>IF(June!H26="Major Injury",June!C26,"")</f>
        <v/>
      </c>
      <c r="AA212" s="274" t="str" cm="1">
        <f t="array" ref="AA212">IF(Z212="","",IF(COUNTIF($Z$5:Z212,Z212)&gt;1,"",ROUND(1+SUMPRODUCT(($Z$5:$Z$448&lt;&gt;"")*($Z$5:$Z$448&lt;Z212)/COUNTIF($Z$5:$Z$448,$Z$5:$Z$448&amp;"")),0)))</f>
        <v/>
      </c>
    </row>
    <row r="213" spans="2:27" x14ac:dyDescent="0.25">
      <c r="B213" s="160" t="str">
        <f>IFERROR(INDEX($V$5:$V$448,MATCH(ROWS($B$5:B213),$W$5:$W$448,0)),"")</f>
        <v/>
      </c>
      <c r="C213" s="265" t="str">
        <f>IF($B213="","",COUNTIF(Jan[Resident Name],$B213))</f>
        <v/>
      </c>
      <c r="D213" s="265" t="str">
        <f>IF($B213="","",COUNTIF(Feb[Resident Name],$B213))</f>
        <v/>
      </c>
      <c r="E213" s="265" t="str">
        <f>IF($B213="","",COUNTIF(Mar[Resident Name],$B213))</f>
        <v/>
      </c>
      <c r="F213" s="265" t="str">
        <f>IF($B213="","",COUNTIF(Apr[Resident Name],$B213))</f>
        <v/>
      </c>
      <c r="G213" s="265" t="str">
        <f>IF($B213="","",COUNTIF(May[Resident Name],$B213))</f>
        <v/>
      </c>
      <c r="H213" s="265" t="str">
        <f>IF($B213="","",COUNTIF(June[Resident Name],$B213))</f>
        <v/>
      </c>
      <c r="I213" s="265" t="str">
        <f>IF($B213="","",COUNTIF(July[Resident Name],$B213))</f>
        <v/>
      </c>
      <c r="J213" s="265" t="str">
        <f>IF($B213="","",COUNTIF(Aug[Resident Name],$B213))</f>
        <v/>
      </c>
      <c r="K213" s="265" t="str">
        <f>IF($B213="","",COUNTIF(Sept[Resident Name],$B213))</f>
        <v/>
      </c>
      <c r="L213" s="265" t="str">
        <f>IF($B213="","",COUNTIF(Oct[Resident Name],$B213))</f>
        <v/>
      </c>
      <c r="M213" s="265" t="str">
        <f>IF($B213="","",COUNTIF(Nov[Resident Name],$B213))</f>
        <v/>
      </c>
      <c r="N213" s="265" t="str">
        <f>IF($B213="","",COUNTIF(Dec[Resident Name],$B213))</f>
        <v/>
      </c>
      <c r="O213" s="265" t="str">
        <f t="shared" si="9"/>
        <v/>
      </c>
      <c r="P213" s="11"/>
      <c r="R213" s="160" t="str">
        <f>IFERROR(INDEX($B$5:$B$172,MATCH(ROWS($R$5:R213),$X$5:$X$172,0)),"")</f>
        <v/>
      </c>
      <c r="S213" s="76" t="str">
        <f>IF($R213="","",INDEX($O$5:$O$172,MATCH(ROWS($R$5:R213),$X$5:$X$172,0)))</f>
        <v/>
      </c>
      <c r="U213" s="160" t="str">
        <f>IFERROR(INDEX($Z$5:$Z$448,MATCH(ROWS($U$5:U213),$AA$5:$AA$448,0)),"")</f>
        <v/>
      </c>
      <c r="V213" s="274" t="str">
        <f>IF(June!C27="","",June!C27)</f>
        <v/>
      </c>
      <c r="W213" s="274" t="str" cm="1">
        <f t="array" ref="W213">IF(V213="","",IF(COUNTIF($V$5:V213,V213)&gt;1,"",ROUND(1+SUMPRODUCT(($V$5:$V$448&lt;&gt;"")*($V$5:$V$448&lt;V213)/COUNTIF($V$5:$V$448,$V$5:$V$448&amp;"")),0)))</f>
        <v/>
      </c>
      <c r="X213" s="274"/>
      <c r="Z213" s="274" t="str">
        <f>IF(June!H27="Major Injury",June!C27,"")</f>
        <v/>
      </c>
      <c r="AA213" s="274" t="str" cm="1">
        <f t="array" ref="AA213">IF(Z213="","",IF(COUNTIF($Z$5:Z213,Z213)&gt;1,"",ROUND(1+SUMPRODUCT(($Z$5:$Z$448&lt;&gt;"")*($Z$5:$Z$448&lt;Z213)/COUNTIF($Z$5:$Z$448,$Z$5:$Z$448&amp;"")),0)))</f>
        <v/>
      </c>
    </row>
    <row r="214" spans="2:27" x14ac:dyDescent="0.25">
      <c r="B214" s="160" t="str">
        <f>IFERROR(INDEX($V$5:$V$448,MATCH(ROWS($B$5:B214),$W$5:$W$448,0)),"")</f>
        <v/>
      </c>
      <c r="C214" s="265" t="str">
        <f>IF($B214="","",COUNTIF(Jan[Resident Name],$B214))</f>
        <v/>
      </c>
      <c r="D214" s="265" t="str">
        <f>IF($B214="","",COUNTIF(Feb[Resident Name],$B214))</f>
        <v/>
      </c>
      <c r="E214" s="265" t="str">
        <f>IF($B214="","",COUNTIF(Mar[Resident Name],$B214))</f>
        <v/>
      </c>
      <c r="F214" s="265" t="str">
        <f>IF($B214="","",COUNTIF(Apr[Resident Name],$B214))</f>
        <v/>
      </c>
      <c r="G214" s="265" t="str">
        <f>IF($B214="","",COUNTIF(May[Resident Name],$B214))</f>
        <v/>
      </c>
      <c r="H214" s="265" t="str">
        <f>IF($B214="","",COUNTIF(June[Resident Name],$B214))</f>
        <v/>
      </c>
      <c r="I214" s="265" t="str">
        <f>IF($B214="","",COUNTIF(July[Resident Name],$B214))</f>
        <v/>
      </c>
      <c r="J214" s="265" t="str">
        <f>IF($B214="","",COUNTIF(Aug[Resident Name],$B214))</f>
        <v/>
      </c>
      <c r="K214" s="265" t="str">
        <f>IF($B214="","",COUNTIF(Sept[Resident Name],$B214))</f>
        <v/>
      </c>
      <c r="L214" s="265" t="str">
        <f>IF($B214="","",COUNTIF(Oct[Resident Name],$B214))</f>
        <v/>
      </c>
      <c r="M214" s="265" t="str">
        <f>IF($B214="","",COUNTIF(Nov[Resident Name],$B214))</f>
        <v/>
      </c>
      <c r="N214" s="265" t="str">
        <f>IF($B214="","",COUNTIF(Dec[Resident Name],$B214))</f>
        <v/>
      </c>
      <c r="O214" s="265" t="str">
        <f t="shared" si="9"/>
        <v/>
      </c>
      <c r="P214" s="11"/>
      <c r="R214" s="160" t="str">
        <f>IFERROR(INDEX($B$5:$B$172,MATCH(ROWS($R$5:R214),$X$5:$X$172,0)),"")</f>
        <v/>
      </c>
      <c r="S214" s="76" t="str">
        <f>IF($R214="","",INDEX($O$5:$O$172,MATCH(ROWS($R$5:R214),$X$5:$X$172,0)))</f>
        <v/>
      </c>
      <c r="U214" s="160" t="str">
        <f>IFERROR(INDEX($Z$5:$Z$448,MATCH(ROWS($U$5:U214),$AA$5:$AA$448,0)),"")</f>
        <v/>
      </c>
      <c r="V214" s="274" t="str">
        <f>IF(June!C28="","",June!C28)</f>
        <v/>
      </c>
      <c r="W214" s="274" t="str" cm="1">
        <f t="array" ref="W214">IF(V214="","",IF(COUNTIF($V$5:V214,V214)&gt;1,"",ROUND(1+SUMPRODUCT(($V$5:$V$448&lt;&gt;"")*($V$5:$V$448&lt;V214)/COUNTIF($V$5:$V$448,$V$5:$V$448&amp;"")),0)))</f>
        <v/>
      </c>
      <c r="X214" s="274"/>
      <c r="Z214" s="274" t="str">
        <f>IF(June!H28="Major Injury",June!C28,"")</f>
        <v/>
      </c>
      <c r="AA214" s="274" t="str" cm="1">
        <f t="array" ref="AA214">IF(Z214="","",IF(COUNTIF($Z$5:Z214,Z214)&gt;1,"",ROUND(1+SUMPRODUCT(($Z$5:$Z$448&lt;&gt;"")*($Z$5:$Z$448&lt;Z214)/COUNTIF($Z$5:$Z$448,$Z$5:$Z$448&amp;"")),0)))</f>
        <v/>
      </c>
    </row>
    <row r="215" spans="2:27" x14ac:dyDescent="0.25">
      <c r="B215" s="160" t="str">
        <f>IFERROR(INDEX($V$5:$V$448,MATCH(ROWS($B$5:B215),$W$5:$W$448,0)),"")</f>
        <v/>
      </c>
      <c r="C215" s="265" t="str">
        <f>IF($B215="","",COUNTIF(Jan[Resident Name],$B215))</f>
        <v/>
      </c>
      <c r="D215" s="265" t="str">
        <f>IF($B215="","",COUNTIF(Feb[Resident Name],$B215))</f>
        <v/>
      </c>
      <c r="E215" s="265" t="str">
        <f>IF($B215="","",COUNTIF(Mar[Resident Name],$B215))</f>
        <v/>
      </c>
      <c r="F215" s="265" t="str">
        <f>IF($B215="","",COUNTIF(Apr[Resident Name],$B215))</f>
        <v/>
      </c>
      <c r="G215" s="265" t="str">
        <f>IF($B215="","",COUNTIF(May[Resident Name],$B215))</f>
        <v/>
      </c>
      <c r="H215" s="265" t="str">
        <f>IF($B215="","",COUNTIF(June[Resident Name],$B215))</f>
        <v/>
      </c>
      <c r="I215" s="265" t="str">
        <f>IF($B215="","",COUNTIF(July[Resident Name],$B215))</f>
        <v/>
      </c>
      <c r="J215" s="265" t="str">
        <f>IF($B215="","",COUNTIF(Aug[Resident Name],$B215))</f>
        <v/>
      </c>
      <c r="K215" s="265" t="str">
        <f>IF($B215="","",COUNTIF(Sept[Resident Name],$B215))</f>
        <v/>
      </c>
      <c r="L215" s="265" t="str">
        <f>IF($B215="","",COUNTIF(Oct[Resident Name],$B215))</f>
        <v/>
      </c>
      <c r="M215" s="265" t="str">
        <f>IF($B215="","",COUNTIF(Nov[Resident Name],$B215))</f>
        <v/>
      </c>
      <c r="N215" s="265" t="str">
        <f>IF($B215="","",COUNTIF(Dec[Resident Name],$B215))</f>
        <v/>
      </c>
      <c r="O215" s="265" t="str">
        <f t="shared" si="9"/>
        <v/>
      </c>
      <c r="P215" s="11"/>
      <c r="R215" s="160" t="str">
        <f>IFERROR(INDEX($B$5:$B$172,MATCH(ROWS($R$5:R215),$X$5:$X$172,0)),"")</f>
        <v/>
      </c>
      <c r="S215" s="76" t="str">
        <f>IF($R215="","",INDEX($O$5:$O$172,MATCH(ROWS($R$5:R215),$X$5:$X$172,0)))</f>
        <v/>
      </c>
      <c r="U215" s="160" t="str">
        <f>IFERROR(INDEX($Z$5:$Z$448,MATCH(ROWS($U$5:U215),$AA$5:$AA$448,0)),"")</f>
        <v/>
      </c>
      <c r="V215" s="274" t="str">
        <f>IF(June!C29="","",June!C29)</f>
        <v/>
      </c>
      <c r="W215" s="274" t="str" cm="1">
        <f t="array" ref="W215">IF(V215="","",IF(COUNTIF($V$5:V215,V215)&gt;1,"",ROUND(1+SUMPRODUCT(($V$5:$V$448&lt;&gt;"")*($V$5:$V$448&lt;V215)/COUNTIF($V$5:$V$448,$V$5:$V$448&amp;"")),0)))</f>
        <v/>
      </c>
      <c r="X215" s="274"/>
      <c r="Z215" s="274" t="str">
        <f>IF(June!H29="Major Injury",June!C29,"")</f>
        <v/>
      </c>
      <c r="AA215" s="274" t="str" cm="1">
        <f t="array" ref="AA215">IF(Z215="","",IF(COUNTIF($Z$5:Z215,Z215)&gt;1,"",ROUND(1+SUMPRODUCT(($Z$5:$Z$448&lt;&gt;"")*($Z$5:$Z$448&lt;Z215)/COUNTIF($Z$5:$Z$448,$Z$5:$Z$448&amp;"")),0)))</f>
        <v/>
      </c>
    </row>
    <row r="216" spans="2:27" x14ac:dyDescent="0.25">
      <c r="B216" s="160" t="str">
        <f>IFERROR(INDEX($V$5:$V$448,MATCH(ROWS($B$5:B216),$W$5:$W$448,0)),"")</f>
        <v/>
      </c>
      <c r="C216" s="265" t="str">
        <f>IF($B216="","",COUNTIF(Jan[Resident Name],$B216))</f>
        <v/>
      </c>
      <c r="D216" s="265" t="str">
        <f>IF($B216="","",COUNTIF(Feb[Resident Name],$B216))</f>
        <v/>
      </c>
      <c r="E216" s="265" t="str">
        <f>IF($B216="","",COUNTIF(Mar[Resident Name],$B216))</f>
        <v/>
      </c>
      <c r="F216" s="265" t="str">
        <f>IF($B216="","",COUNTIF(Apr[Resident Name],$B216))</f>
        <v/>
      </c>
      <c r="G216" s="265" t="str">
        <f>IF($B216="","",COUNTIF(May[Resident Name],$B216))</f>
        <v/>
      </c>
      <c r="H216" s="265" t="str">
        <f>IF($B216="","",COUNTIF(June[Resident Name],$B216))</f>
        <v/>
      </c>
      <c r="I216" s="265" t="str">
        <f>IF($B216="","",COUNTIF(July[Resident Name],$B216))</f>
        <v/>
      </c>
      <c r="J216" s="265" t="str">
        <f>IF($B216="","",COUNTIF(Aug[Resident Name],$B216))</f>
        <v/>
      </c>
      <c r="K216" s="265" t="str">
        <f>IF($B216="","",COUNTIF(Sept[Resident Name],$B216))</f>
        <v/>
      </c>
      <c r="L216" s="265" t="str">
        <f>IF($B216="","",COUNTIF(Oct[Resident Name],$B216))</f>
        <v/>
      </c>
      <c r="M216" s="265" t="str">
        <f>IF($B216="","",COUNTIF(Nov[Resident Name],$B216))</f>
        <v/>
      </c>
      <c r="N216" s="265" t="str">
        <f>IF($B216="","",COUNTIF(Dec[Resident Name],$B216))</f>
        <v/>
      </c>
      <c r="O216" s="265" t="str">
        <f t="shared" si="9"/>
        <v/>
      </c>
      <c r="P216" s="11"/>
      <c r="R216" s="160" t="str">
        <f>IFERROR(INDEX($B$5:$B$172,MATCH(ROWS($R$5:R216),$X$5:$X$172,0)),"")</f>
        <v/>
      </c>
      <c r="S216" s="76" t="str">
        <f>IF($R216="","",INDEX($O$5:$O$172,MATCH(ROWS($R$5:R216),$X$5:$X$172,0)))</f>
        <v/>
      </c>
      <c r="U216" s="160" t="str">
        <f>IFERROR(INDEX($Z$5:$Z$448,MATCH(ROWS($U$5:U216),$AA$5:$AA$448,0)),"")</f>
        <v/>
      </c>
      <c r="V216" s="274" t="str">
        <f>IF(June!C30="","",June!C30)</f>
        <v/>
      </c>
      <c r="W216" s="274" t="str" cm="1">
        <f t="array" ref="W216">IF(V216="","",IF(COUNTIF($V$5:V216,V216)&gt;1,"",ROUND(1+SUMPRODUCT(($V$5:$V$448&lt;&gt;"")*($V$5:$V$448&lt;V216)/COUNTIF($V$5:$V$448,$V$5:$V$448&amp;"")),0)))</f>
        <v/>
      </c>
      <c r="X216" s="274"/>
      <c r="Z216" s="274" t="str">
        <f>IF(June!H30="Major Injury",June!C30,"")</f>
        <v/>
      </c>
      <c r="AA216" s="274" t="str" cm="1">
        <f t="array" ref="AA216">IF(Z216="","",IF(COUNTIF($Z$5:Z216,Z216)&gt;1,"",ROUND(1+SUMPRODUCT(($Z$5:$Z$448&lt;&gt;"")*($Z$5:$Z$448&lt;Z216)/COUNTIF($Z$5:$Z$448,$Z$5:$Z$448&amp;"")),0)))</f>
        <v/>
      </c>
    </row>
    <row r="217" spans="2:27" x14ac:dyDescent="0.25">
      <c r="B217" s="160" t="str">
        <f>IFERROR(INDEX($V$5:$V$448,MATCH(ROWS($B$5:B217),$W$5:$W$448,0)),"")</f>
        <v/>
      </c>
      <c r="C217" s="265" t="str">
        <f>IF($B217="","",COUNTIF(Jan[Resident Name],$B217))</f>
        <v/>
      </c>
      <c r="D217" s="265" t="str">
        <f>IF($B217="","",COUNTIF(Feb[Resident Name],$B217))</f>
        <v/>
      </c>
      <c r="E217" s="265" t="str">
        <f>IF($B217="","",COUNTIF(Mar[Resident Name],$B217))</f>
        <v/>
      </c>
      <c r="F217" s="265" t="str">
        <f>IF($B217="","",COUNTIF(Apr[Resident Name],$B217))</f>
        <v/>
      </c>
      <c r="G217" s="265" t="str">
        <f>IF($B217="","",COUNTIF(May[Resident Name],$B217))</f>
        <v/>
      </c>
      <c r="H217" s="265" t="str">
        <f>IF($B217="","",COUNTIF(June[Resident Name],$B217))</f>
        <v/>
      </c>
      <c r="I217" s="265" t="str">
        <f>IF($B217="","",COUNTIF(July[Resident Name],$B217))</f>
        <v/>
      </c>
      <c r="J217" s="265" t="str">
        <f>IF($B217="","",COUNTIF(Aug[Resident Name],$B217))</f>
        <v/>
      </c>
      <c r="K217" s="265" t="str">
        <f>IF($B217="","",COUNTIF(Sept[Resident Name],$B217))</f>
        <v/>
      </c>
      <c r="L217" s="265" t="str">
        <f>IF($B217="","",COUNTIF(Oct[Resident Name],$B217))</f>
        <v/>
      </c>
      <c r="M217" s="265" t="str">
        <f>IF($B217="","",COUNTIF(Nov[Resident Name],$B217))</f>
        <v/>
      </c>
      <c r="N217" s="265" t="str">
        <f>IF($B217="","",COUNTIF(Dec[Resident Name],$B217))</f>
        <v/>
      </c>
      <c r="O217" s="265" t="str">
        <f t="shared" si="9"/>
        <v/>
      </c>
      <c r="P217" s="11"/>
      <c r="R217" s="160" t="str">
        <f>IFERROR(INDEX($B$5:$B$172,MATCH(ROWS($R$5:R217),$X$5:$X$172,0)),"")</f>
        <v/>
      </c>
      <c r="S217" s="76" t="str">
        <f>IF($R217="","",INDEX($O$5:$O$172,MATCH(ROWS($R$5:R217),$X$5:$X$172,0)))</f>
        <v/>
      </c>
      <c r="U217" s="160" t="str">
        <f>IFERROR(INDEX($Z$5:$Z$448,MATCH(ROWS($U$5:U217),$AA$5:$AA$448,0)),"")</f>
        <v/>
      </c>
      <c r="V217" s="274" t="str">
        <f>IF(June!C31="","",June!C31)</f>
        <v/>
      </c>
      <c r="W217" s="274" t="str" cm="1">
        <f t="array" ref="W217">IF(V217="","",IF(COUNTIF($V$5:V217,V217)&gt;1,"",ROUND(1+SUMPRODUCT(($V$5:$V$448&lt;&gt;"")*($V$5:$V$448&lt;V217)/COUNTIF($V$5:$V$448,$V$5:$V$448&amp;"")),0)))</f>
        <v/>
      </c>
      <c r="X217" s="274"/>
      <c r="Z217" s="274" t="str">
        <f>IF(June!H31="Major Injury",June!C31,"")</f>
        <v/>
      </c>
      <c r="AA217" s="274" t="str" cm="1">
        <f t="array" ref="AA217">IF(Z217="","",IF(COUNTIF($Z$5:Z217,Z217)&gt;1,"",ROUND(1+SUMPRODUCT(($Z$5:$Z$448&lt;&gt;"")*($Z$5:$Z$448&lt;Z217)/COUNTIF($Z$5:$Z$448,$Z$5:$Z$448&amp;"")),0)))</f>
        <v/>
      </c>
    </row>
    <row r="218" spans="2:27" x14ac:dyDescent="0.25">
      <c r="B218" s="160" t="str">
        <f>IFERROR(INDEX($V$5:$V$448,MATCH(ROWS($B$5:B218),$W$5:$W$448,0)),"")</f>
        <v/>
      </c>
      <c r="C218" s="265" t="str">
        <f>IF($B218="","",COUNTIF(Jan[Resident Name],$B218))</f>
        <v/>
      </c>
      <c r="D218" s="265" t="str">
        <f>IF($B218="","",COUNTIF(Feb[Resident Name],$B218))</f>
        <v/>
      </c>
      <c r="E218" s="265" t="str">
        <f>IF($B218="","",COUNTIF(Mar[Resident Name],$B218))</f>
        <v/>
      </c>
      <c r="F218" s="265" t="str">
        <f>IF($B218="","",COUNTIF(Apr[Resident Name],$B218))</f>
        <v/>
      </c>
      <c r="G218" s="265" t="str">
        <f>IF($B218="","",COUNTIF(May[Resident Name],$B218))</f>
        <v/>
      </c>
      <c r="H218" s="265" t="str">
        <f>IF($B218="","",COUNTIF(June[Resident Name],$B218))</f>
        <v/>
      </c>
      <c r="I218" s="265" t="str">
        <f>IF($B218="","",COUNTIF(July[Resident Name],$B218))</f>
        <v/>
      </c>
      <c r="J218" s="265" t="str">
        <f>IF($B218="","",COUNTIF(Aug[Resident Name],$B218))</f>
        <v/>
      </c>
      <c r="K218" s="265" t="str">
        <f>IF($B218="","",COUNTIF(Sept[Resident Name],$B218))</f>
        <v/>
      </c>
      <c r="L218" s="265" t="str">
        <f>IF($B218="","",COUNTIF(Oct[Resident Name],$B218))</f>
        <v/>
      </c>
      <c r="M218" s="265" t="str">
        <f>IF($B218="","",COUNTIF(Nov[Resident Name],$B218))</f>
        <v/>
      </c>
      <c r="N218" s="265" t="str">
        <f>IF($B218="","",COUNTIF(Dec[Resident Name],$B218))</f>
        <v/>
      </c>
      <c r="O218" s="265" t="str">
        <f t="shared" si="9"/>
        <v/>
      </c>
      <c r="P218" s="11"/>
      <c r="R218" s="160" t="str">
        <f>IFERROR(INDEX($B$5:$B$172,MATCH(ROWS($R$5:R218),$X$5:$X$172,0)),"")</f>
        <v/>
      </c>
      <c r="S218" s="76" t="str">
        <f>IF($R218="","",INDEX($O$5:$O$172,MATCH(ROWS($R$5:R218),$X$5:$X$172,0)))</f>
        <v/>
      </c>
      <c r="U218" s="160" t="str">
        <f>IFERROR(INDEX($Z$5:$Z$448,MATCH(ROWS($U$5:U218),$AA$5:$AA$448,0)),"")</f>
        <v/>
      </c>
      <c r="V218" s="274" t="str">
        <f>IF(June!C32="","",June!C32)</f>
        <v/>
      </c>
      <c r="W218" s="274" t="str" cm="1">
        <f t="array" ref="W218">IF(V218="","",IF(COUNTIF($V$5:V218,V218)&gt;1,"",ROUND(1+SUMPRODUCT(($V$5:$V$448&lt;&gt;"")*($V$5:$V$448&lt;V218)/COUNTIF($V$5:$V$448,$V$5:$V$448&amp;"")),0)))</f>
        <v/>
      </c>
      <c r="X218" s="274"/>
      <c r="Z218" s="274" t="str">
        <f>IF(June!H32="Major Injury",June!C32,"")</f>
        <v/>
      </c>
      <c r="AA218" s="274" t="str" cm="1">
        <f t="array" ref="AA218">IF(Z218="","",IF(COUNTIF($Z$5:Z218,Z218)&gt;1,"",ROUND(1+SUMPRODUCT(($Z$5:$Z$448&lt;&gt;"")*($Z$5:$Z$448&lt;Z218)/COUNTIF($Z$5:$Z$448,$Z$5:$Z$448&amp;"")),0)))</f>
        <v/>
      </c>
    </row>
    <row r="219" spans="2:27" x14ac:dyDescent="0.25">
      <c r="B219" s="160" t="str">
        <f>IFERROR(INDEX($V$5:$V$448,MATCH(ROWS($B$5:B219),$W$5:$W$448,0)),"")</f>
        <v/>
      </c>
      <c r="C219" s="265" t="str">
        <f>IF($B219="","",COUNTIF(Jan[Resident Name],$B219))</f>
        <v/>
      </c>
      <c r="D219" s="265" t="str">
        <f>IF($B219="","",COUNTIF(Feb[Resident Name],$B219))</f>
        <v/>
      </c>
      <c r="E219" s="265" t="str">
        <f>IF($B219="","",COUNTIF(Mar[Resident Name],$B219))</f>
        <v/>
      </c>
      <c r="F219" s="265" t="str">
        <f>IF($B219="","",COUNTIF(Apr[Resident Name],$B219))</f>
        <v/>
      </c>
      <c r="G219" s="265" t="str">
        <f>IF($B219="","",COUNTIF(May[Resident Name],$B219))</f>
        <v/>
      </c>
      <c r="H219" s="265" t="str">
        <f>IF($B219="","",COUNTIF(June[Resident Name],$B219))</f>
        <v/>
      </c>
      <c r="I219" s="265" t="str">
        <f>IF($B219="","",COUNTIF(July[Resident Name],$B219))</f>
        <v/>
      </c>
      <c r="J219" s="265" t="str">
        <f>IF($B219="","",COUNTIF(Aug[Resident Name],$B219))</f>
        <v/>
      </c>
      <c r="K219" s="265" t="str">
        <f>IF($B219="","",COUNTIF(Sept[Resident Name],$B219))</f>
        <v/>
      </c>
      <c r="L219" s="265" t="str">
        <f>IF($B219="","",COUNTIF(Oct[Resident Name],$B219))</f>
        <v/>
      </c>
      <c r="M219" s="265" t="str">
        <f>IF($B219="","",COUNTIF(Nov[Resident Name],$B219))</f>
        <v/>
      </c>
      <c r="N219" s="265" t="str">
        <f>IF($B219="","",COUNTIF(Dec[Resident Name],$B219))</f>
        <v/>
      </c>
      <c r="O219" s="265" t="str">
        <f t="shared" si="9"/>
        <v/>
      </c>
      <c r="P219" s="11"/>
      <c r="R219" s="160" t="str">
        <f>IFERROR(INDEX($B$5:$B$172,MATCH(ROWS($R$5:R219),$X$5:$X$172,0)),"")</f>
        <v/>
      </c>
      <c r="S219" s="76" t="str">
        <f>IF($R219="","",INDEX($O$5:$O$172,MATCH(ROWS($R$5:R219),$X$5:$X$172,0)))</f>
        <v/>
      </c>
      <c r="U219" s="160" t="str">
        <f>IFERROR(INDEX($Z$5:$Z$448,MATCH(ROWS($U$5:U219),$AA$5:$AA$448,0)),"")</f>
        <v/>
      </c>
      <c r="V219" s="274" t="str">
        <f>IF(June!C33="","",June!C33)</f>
        <v/>
      </c>
      <c r="W219" s="274" t="str" cm="1">
        <f t="array" ref="W219">IF(V219="","",IF(COUNTIF($V$5:V219,V219)&gt;1,"",ROUND(1+SUMPRODUCT(($V$5:$V$448&lt;&gt;"")*($V$5:$V$448&lt;V219)/COUNTIF($V$5:$V$448,$V$5:$V$448&amp;"")),0)))</f>
        <v/>
      </c>
      <c r="X219" s="274"/>
      <c r="Z219" s="274" t="str">
        <f>IF(June!H33="Major Injury",June!C33,"")</f>
        <v/>
      </c>
      <c r="AA219" s="274" t="str" cm="1">
        <f t="array" ref="AA219">IF(Z219="","",IF(COUNTIF($Z$5:Z219,Z219)&gt;1,"",ROUND(1+SUMPRODUCT(($Z$5:$Z$448&lt;&gt;"")*($Z$5:$Z$448&lt;Z219)/COUNTIF($Z$5:$Z$448,$Z$5:$Z$448&amp;"")),0)))</f>
        <v/>
      </c>
    </row>
    <row r="220" spans="2:27" x14ac:dyDescent="0.25">
      <c r="B220" s="160" t="str">
        <f>IFERROR(INDEX($V$5:$V$448,MATCH(ROWS($B$5:B220),$W$5:$W$448,0)),"")</f>
        <v/>
      </c>
      <c r="C220" s="265" t="str">
        <f>IF($B220="","",COUNTIF(Jan[Resident Name],$B220))</f>
        <v/>
      </c>
      <c r="D220" s="265" t="str">
        <f>IF($B220="","",COUNTIF(Feb[Resident Name],$B220))</f>
        <v/>
      </c>
      <c r="E220" s="265" t="str">
        <f>IF($B220="","",COUNTIF(Mar[Resident Name],$B220))</f>
        <v/>
      </c>
      <c r="F220" s="265" t="str">
        <f>IF($B220="","",COUNTIF(Apr[Resident Name],$B220))</f>
        <v/>
      </c>
      <c r="G220" s="265" t="str">
        <f>IF($B220="","",COUNTIF(May[Resident Name],$B220))</f>
        <v/>
      </c>
      <c r="H220" s="265" t="str">
        <f>IF($B220="","",COUNTIF(June[Resident Name],$B220))</f>
        <v/>
      </c>
      <c r="I220" s="265" t="str">
        <f>IF($B220="","",COUNTIF(July[Resident Name],$B220))</f>
        <v/>
      </c>
      <c r="J220" s="265" t="str">
        <f>IF($B220="","",COUNTIF(Aug[Resident Name],$B220))</f>
        <v/>
      </c>
      <c r="K220" s="265" t="str">
        <f>IF($B220="","",COUNTIF(Sept[Resident Name],$B220))</f>
        <v/>
      </c>
      <c r="L220" s="265" t="str">
        <f>IF($B220="","",COUNTIF(Oct[Resident Name],$B220))</f>
        <v/>
      </c>
      <c r="M220" s="265" t="str">
        <f>IF($B220="","",COUNTIF(Nov[Resident Name],$B220))</f>
        <v/>
      </c>
      <c r="N220" s="265" t="str">
        <f>IF($B220="","",COUNTIF(Dec[Resident Name],$B220))</f>
        <v/>
      </c>
      <c r="O220" s="265" t="str">
        <f t="shared" si="9"/>
        <v/>
      </c>
      <c r="P220" s="11"/>
      <c r="R220" s="160" t="str">
        <f>IFERROR(INDEX($B$5:$B$172,MATCH(ROWS($R$5:R220),$X$5:$X$172,0)),"")</f>
        <v/>
      </c>
      <c r="S220" s="76" t="str">
        <f>IF($R220="","",INDEX($O$5:$O$172,MATCH(ROWS($R$5:R220),$X$5:$X$172,0)))</f>
        <v/>
      </c>
      <c r="U220" s="160" t="str">
        <f>IFERROR(INDEX($Z$5:$Z$448,MATCH(ROWS($U$5:U220),$AA$5:$AA$448,0)),"")</f>
        <v/>
      </c>
      <c r="V220" s="274" t="str">
        <f>IF(June!C34="","",June!C34)</f>
        <v/>
      </c>
      <c r="W220" s="274" t="str" cm="1">
        <f t="array" ref="W220">IF(V220="","",IF(COUNTIF($V$5:V220,V220)&gt;1,"",ROUND(1+SUMPRODUCT(($V$5:$V$448&lt;&gt;"")*($V$5:$V$448&lt;V220)/COUNTIF($V$5:$V$448,$V$5:$V$448&amp;"")),0)))</f>
        <v/>
      </c>
      <c r="X220" s="274"/>
      <c r="Z220" s="274" t="str">
        <f>IF(June!H34="Major Injury",June!C34,"")</f>
        <v/>
      </c>
      <c r="AA220" s="274" t="str" cm="1">
        <f t="array" ref="AA220">IF(Z220="","",IF(COUNTIF($Z$5:Z220,Z220)&gt;1,"",ROUND(1+SUMPRODUCT(($Z$5:$Z$448&lt;&gt;"")*($Z$5:$Z$448&lt;Z220)/COUNTIF($Z$5:$Z$448,$Z$5:$Z$448&amp;"")),0)))</f>
        <v/>
      </c>
    </row>
    <row r="221" spans="2:27" x14ac:dyDescent="0.25">
      <c r="B221" s="160" t="str">
        <f>IFERROR(INDEX($V$5:$V$448,MATCH(ROWS($B$5:B221),$W$5:$W$448,0)),"")</f>
        <v/>
      </c>
      <c r="C221" s="265" t="str">
        <f>IF($B221="","",COUNTIF(Jan[Resident Name],$B221))</f>
        <v/>
      </c>
      <c r="D221" s="265" t="str">
        <f>IF($B221="","",COUNTIF(Feb[Resident Name],$B221))</f>
        <v/>
      </c>
      <c r="E221" s="265" t="str">
        <f>IF($B221="","",COUNTIF(Mar[Resident Name],$B221))</f>
        <v/>
      </c>
      <c r="F221" s="265" t="str">
        <f>IF($B221="","",COUNTIF(Apr[Resident Name],$B221))</f>
        <v/>
      </c>
      <c r="G221" s="265" t="str">
        <f>IF($B221="","",COUNTIF(May[Resident Name],$B221))</f>
        <v/>
      </c>
      <c r="H221" s="265" t="str">
        <f>IF($B221="","",COUNTIF(June[Resident Name],$B221))</f>
        <v/>
      </c>
      <c r="I221" s="265" t="str">
        <f>IF($B221="","",COUNTIF(July[Resident Name],$B221))</f>
        <v/>
      </c>
      <c r="J221" s="265" t="str">
        <f>IF($B221="","",COUNTIF(Aug[Resident Name],$B221))</f>
        <v/>
      </c>
      <c r="K221" s="265" t="str">
        <f>IF($B221="","",COUNTIF(Sept[Resident Name],$B221))</f>
        <v/>
      </c>
      <c r="L221" s="265" t="str">
        <f>IF($B221="","",COUNTIF(Oct[Resident Name],$B221))</f>
        <v/>
      </c>
      <c r="M221" s="265" t="str">
        <f>IF($B221="","",COUNTIF(Nov[Resident Name],$B221))</f>
        <v/>
      </c>
      <c r="N221" s="265" t="str">
        <f>IF($B221="","",COUNTIF(Dec[Resident Name],$B221))</f>
        <v/>
      </c>
      <c r="O221" s="265" t="str">
        <f t="shared" si="9"/>
        <v/>
      </c>
      <c r="P221" s="11"/>
      <c r="R221" s="160" t="str">
        <f>IFERROR(INDEX($B$5:$B$172,MATCH(ROWS($R$5:R221),$X$5:$X$172,0)),"")</f>
        <v/>
      </c>
      <c r="S221" s="76" t="str">
        <f>IF($R221="","",INDEX($O$5:$O$172,MATCH(ROWS($R$5:R221),$X$5:$X$172,0)))</f>
        <v/>
      </c>
      <c r="U221" s="160" t="str">
        <f>IFERROR(INDEX($Z$5:$Z$448,MATCH(ROWS($U$5:U221),$AA$5:$AA$448,0)),"")</f>
        <v/>
      </c>
      <c r="V221" s="274" t="str">
        <f>IF(June!C35="","",June!C35)</f>
        <v/>
      </c>
      <c r="W221" s="274" t="str" cm="1">
        <f t="array" ref="W221">IF(V221="","",IF(COUNTIF($V$5:V221,V221)&gt;1,"",ROUND(1+SUMPRODUCT(($V$5:$V$448&lt;&gt;"")*($V$5:$V$448&lt;V221)/COUNTIF($V$5:$V$448,$V$5:$V$448&amp;"")),0)))</f>
        <v/>
      </c>
      <c r="X221" s="274"/>
      <c r="Z221" s="274" t="str">
        <f>IF(June!H35="Major Injury",June!C35,"")</f>
        <v/>
      </c>
      <c r="AA221" s="274" t="str" cm="1">
        <f t="array" ref="AA221">IF(Z221="","",IF(COUNTIF($Z$5:Z221,Z221)&gt;1,"",ROUND(1+SUMPRODUCT(($Z$5:$Z$448&lt;&gt;"")*($Z$5:$Z$448&lt;Z221)/COUNTIF($Z$5:$Z$448,$Z$5:$Z$448&amp;"")),0)))</f>
        <v/>
      </c>
    </row>
    <row r="222" spans="2:27" x14ac:dyDescent="0.25">
      <c r="B222" s="160" t="str">
        <f>IFERROR(INDEX($V$5:$V$448,MATCH(ROWS($B$5:B222),$W$5:$W$448,0)),"")</f>
        <v/>
      </c>
      <c r="C222" s="265" t="str">
        <f>IF($B222="","",COUNTIF(Jan[Resident Name],$B222))</f>
        <v/>
      </c>
      <c r="D222" s="265" t="str">
        <f>IF($B222="","",COUNTIF(Feb[Resident Name],$B222))</f>
        <v/>
      </c>
      <c r="E222" s="265" t="str">
        <f>IF($B222="","",COUNTIF(Mar[Resident Name],$B222))</f>
        <v/>
      </c>
      <c r="F222" s="265" t="str">
        <f>IF($B222="","",COUNTIF(Apr[Resident Name],$B222))</f>
        <v/>
      </c>
      <c r="G222" s="265" t="str">
        <f>IF($B222="","",COUNTIF(May[Resident Name],$B222))</f>
        <v/>
      </c>
      <c r="H222" s="265" t="str">
        <f>IF($B222="","",COUNTIF(June[Resident Name],$B222))</f>
        <v/>
      </c>
      <c r="I222" s="265" t="str">
        <f>IF($B222="","",COUNTIF(July[Resident Name],$B222))</f>
        <v/>
      </c>
      <c r="J222" s="265" t="str">
        <f>IF($B222="","",COUNTIF(Aug[Resident Name],$B222))</f>
        <v/>
      </c>
      <c r="K222" s="265" t="str">
        <f>IF($B222="","",COUNTIF(Sept[Resident Name],$B222))</f>
        <v/>
      </c>
      <c r="L222" s="265" t="str">
        <f>IF($B222="","",COUNTIF(Oct[Resident Name],$B222))</f>
        <v/>
      </c>
      <c r="M222" s="265" t="str">
        <f>IF($B222="","",COUNTIF(Nov[Resident Name],$B222))</f>
        <v/>
      </c>
      <c r="N222" s="265" t="str">
        <f>IF($B222="","",COUNTIF(Dec[Resident Name],$B222))</f>
        <v/>
      </c>
      <c r="O222" s="265" t="str">
        <f t="shared" si="9"/>
        <v/>
      </c>
      <c r="P222" s="11"/>
      <c r="R222" s="160" t="str">
        <f>IFERROR(INDEX($B$5:$B$172,MATCH(ROWS($R$5:R222),$X$5:$X$172,0)),"")</f>
        <v/>
      </c>
      <c r="S222" s="76" t="str">
        <f>IF($R222="","",INDEX($O$5:$O$172,MATCH(ROWS($R$5:R222),$X$5:$X$172,0)))</f>
        <v/>
      </c>
      <c r="U222" s="160" t="str">
        <f>IFERROR(INDEX($Z$5:$Z$448,MATCH(ROWS($U$5:U222),$AA$5:$AA$448,0)),"")</f>
        <v/>
      </c>
      <c r="V222" s="274" t="str">
        <f>IF(June!C36="","",June!C36)</f>
        <v/>
      </c>
      <c r="W222" s="274" t="str" cm="1">
        <f t="array" ref="W222">IF(V222="","",IF(COUNTIF($V$5:V222,V222)&gt;1,"",ROUND(1+SUMPRODUCT(($V$5:$V$448&lt;&gt;"")*($V$5:$V$448&lt;V222)/COUNTIF($V$5:$V$448,$V$5:$V$448&amp;"")),0)))</f>
        <v/>
      </c>
      <c r="X222" s="274"/>
      <c r="Z222" s="274" t="str">
        <f>IF(June!H36="Major Injury",June!C36,"")</f>
        <v/>
      </c>
      <c r="AA222" s="274" t="str" cm="1">
        <f t="array" ref="AA222">IF(Z222="","",IF(COUNTIF($Z$5:Z222,Z222)&gt;1,"",ROUND(1+SUMPRODUCT(($Z$5:$Z$448&lt;&gt;"")*($Z$5:$Z$448&lt;Z222)/COUNTIF($Z$5:$Z$448,$Z$5:$Z$448&amp;"")),0)))</f>
        <v/>
      </c>
    </row>
    <row r="223" spans="2:27" x14ac:dyDescent="0.25">
      <c r="B223" s="160" t="str">
        <f>IFERROR(INDEX($V$5:$V$448,MATCH(ROWS($B$5:B223),$W$5:$W$448,0)),"")</f>
        <v/>
      </c>
      <c r="C223" s="265" t="str">
        <f>IF($B223="","",COUNTIF(Jan[Resident Name],$B223))</f>
        <v/>
      </c>
      <c r="D223" s="265" t="str">
        <f>IF($B223="","",COUNTIF(Feb[Resident Name],$B223))</f>
        <v/>
      </c>
      <c r="E223" s="265" t="str">
        <f>IF($B223="","",COUNTIF(Mar[Resident Name],$B223))</f>
        <v/>
      </c>
      <c r="F223" s="265" t="str">
        <f>IF($B223="","",COUNTIF(Apr[Resident Name],$B223))</f>
        <v/>
      </c>
      <c r="G223" s="265" t="str">
        <f>IF($B223="","",COUNTIF(May[Resident Name],$B223))</f>
        <v/>
      </c>
      <c r="H223" s="265" t="str">
        <f>IF($B223="","",COUNTIF(June[Resident Name],$B223))</f>
        <v/>
      </c>
      <c r="I223" s="265" t="str">
        <f>IF($B223="","",COUNTIF(July[Resident Name],$B223))</f>
        <v/>
      </c>
      <c r="J223" s="265" t="str">
        <f>IF($B223="","",COUNTIF(Aug[Resident Name],$B223))</f>
        <v/>
      </c>
      <c r="K223" s="265" t="str">
        <f>IF($B223="","",COUNTIF(Sept[Resident Name],$B223))</f>
        <v/>
      </c>
      <c r="L223" s="265" t="str">
        <f>IF($B223="","",COUNTIF(Oct[Resident Name],$B223))</f>
        <v/>
      </c>
      <c r="M223" s="265" t="str">
        <f>IF($B223="","",COUNTIF(Nov[Resident Name],$B223))</f>
        <v/>
      </c>
      <c r="N223" s="265" t="str">
        <f>IF($B223="","",COUNTIF(Dec[Resident Name],$B223))</f>
        <v/>
      </c>
      <c r="O223" s="265" t="str">
        <f t="shared" si="9"/>
        <v/>
      </c>
      <c r="P223" s="11"/>
      <c r="R223" s="160" t="str">
        <f>IFERROR(INDEX($B$5:$B$172,MATCH(ROWS($R$5:R223),$X$5:$X$172,0)),"")</f>
        <v/>
      </c>
      <c r="S223" s="76" t="str">
        <f>IF($R223="","",INDEX($O$5:$O$172,MATCH(ROWS($R$5:R223),$X$5:$X$172,0)))</f>
        <v/>
      </c>
      <c r="U223" s="160" t="str">
        <f>IFERROR(INDEX($Z$5:$Z$448,MATCH(ROWS($U$5:U223),$AA$5:$AA$448,0)),"")</f>
        <v/>
      </c>
      <c r="V223" s="274" t="str">
        <f>IF(June!C37="","",June!C37)</f>
        <v/>
      </c>
      <c r="W223" s="274" t="str" cm="1">
        <f t="array" ref="W223">IF(V223="","",IF(COUNTIF($V$5:V223,V223)&gt;1,"",ROUND(1+SUMPRODUCT(($V$5:$V$448&lt;&gt;"")*($V$5:$V$448&lt;V223)/COUNTIF($V$5:$V$448,$V$5:$V$448&amp;"")),0)))</f>
        <v/>
      </c>
      <c r="X223" s="274"/>
      <c r="Z223" s="274" t="str">
        <f>IF(June!H37="Major Injury",June!C37,"")</f>
        <v/>
      </c>
      <c r="AA223" s="274" t="str" cm="1">
        <f t="array" ref="AA223">IF(Z223="","",IF(COUNTIF($Z$5:Z223,Z223)&gt;1,"",ROUND(1+SUMPRODUCT(($Z$5:$Z$448&lt;&gt;"")*($Z$5:$Z$448&lt;Z223)/COUNTIF($Z$5:$Z$448,$Z$5:$Z$448&amp;"")),0)))</f>
        <v/>
      </c>
    </row>
    <row r="224" spans="2:27" x14ac:dyDescent="0.25">
      <c r="B224" s="160" t="str">
        <f>IFERROR(INDEX($V$5:$V$448,MATCH(ROWS($B$5:B224),$W$5:$W$448,0)),"")</f>
        <v/>
      </c>
      <c r="C224" s="265" t="str">
        <f>IF($B224="","",COUNTIF(Jan[Resident Name],$B224))</f>
        <v/>
      </c>
      <c r="D224" s="265" t="str">
        <f>IF($B224="","",COUNTIF(Feb[Resident Name],$B224))</f>
        <v/>
      </c>
      <c r="E224" s="265" t="str">
        <f>IF($B224="","",COUNTIF(Mar[Resident Name],$B224))</f>
        <v/>
      </c>
      <c r="F224" s="265" t="str">
        <f>IF($B224="","",COUNTIF(Apr[Resident Name],$B224))</f>
        <v/>
      </c>
      <c r="G224" s="265" t="str">
        <f>IF($B224="","",COUNTIF(May[Resident Name],$B224))</f>
        <v/>
      </c>
      <c r="H224" s="265" t="str">
        <f>IF($B224="","",COUNTIF(June[Resident Name],$B224))</f>
        <v/>
      </c>
      <c r="I224" s="265" t="str">
        <f>IF($B224="","",COUNTIF(July[Resident Name],$B224))</f>
        <v/>
      </c>
      <c r="J224" s="265" t="str">
        <f>IF($B224="","",COUNTIF(Aug[Resident Name],$B224))</f>
        <v/>
      </c>
      <c r="K224" s="265" t="str">
        <f>IF($B224="","",COUNTIF(Sept[Resident Name],$B224))</f>
        <v/>
      </c>
      <c r="L224" s="265" t="str">
        <f>IF($B224="","",COUNTIF(Oct[Resident Name],$B224))</f>
        <v/>
      </c>
      <c r="M224" s="265" t="str">
        <f>IF($B224="","",COUNTIF(Nov[Resident Name],$B224))</f>
        <v/>
      </c>
      <c r="N224" s="265" t="str">
        <f>IF($B224="","",COUNTIF(Dec[Resident Name],$B224))</f>
        <v/>
      </c>
      <c r="O224" s="265" t="str">
        <f t="shared" si="9"/>
        <v/>
      </c>
      <c r="P224" s="11"/>
      <c r="R224" s="160" t="str">
        <f>IFERROR(INDEX($B$5:$B$172,MATCH(ROWS($R$5:R224),$X$5:$X$172,0)),"")</f>
        <v/>
      </c>
      <c r="S224" s="76" t="str">
        <f>IF($R224="","",INDEX($O$5:$O$172,MATCH(ROWS($R$5:R224),$X$5:$X$172,0)))</f>
        <v/>
      </c>
      <c r="U224" s="160" t="str">
        <f>IFERROR(INDEX($Z$5:$Z$448,MATCH(ROWS($U$5:U224),$AA$5:$AA$448,0)),"")</f>
        <v/>
      </c>
      <c r="V224" s="274" t="str">
        <f>IF(June!C38="","",June!C38)</f>
        <v/>
      </c>
      <c r="W224" s="274" t="str" cm="1">
        <f t="array" ref="W224">IF(V224="","",IF(COUNTIF($V$5:V224,V224)&gt;1,"",ROUND(1+SUMPRODUCT(($V$5:$V$448&lt;&gt;"")*($V$5:$V$448&lt;V224)/COUNTIF($V$5:$V$448,$V$5:$V$448&amp;"")),0)))</f>
        <v/>
      </c>
      <c r="X224" s="274"/>
      <c r="Z224" s="274" t="str">
        <f>IF(June!H38="Major Injury",June!C38,"")</f>
        <v/>
      </c>
      <c r="AA224" s="274" t="str" cm="1">
        <f t="array" ref="AA224">IF(Z224="","",IF(COUNTIF($Z$5:Z224,Z224)&gt;1,"",ROUND(1+SUMPRODUCT(($Z$5:$Z$448&lt;&gt;"")*($Z$5:$Z$448&lt;Z224)/COUNTIF($Z$5:$Z$448,$Z$5:$Z$448&amp;"")),0)))</f>
        <v/>
      </c>
    </row>
    <row r="225" spans="2:27" x14ac:dyDescent="0.25">
      <c r="B225" s="160" t="str">
        <f>IFERROR(INDEX($V$5:$V$448,MATCH(ROWS($B$5:B225),$W$5:$W$448,0)),"")</f>
        <v/>
      </c>
      <c r="C225" s="265" t="str">
        <f>IF($B225="","",COUNTIF(Jan[Resident Name],$B225))</f>
        <v/>
      </c>
      <c r="D225" s="265" t="str">
        <f>IF($B225="","",COUNTIF(Feb[Resident Name],$B225))</f>
        <v/>
      </c>
      <c r="E225" s="265" t="str">
        <f>IF($B225="","",COUNTIF(Mar[Resident Name],$B225))</f>
        <v/>
      </c>
      <c r="F225" s="265" t="str">
        <f>IF($B225="","",COUNTIF(Apr[Resident Name],$B225))</f>
        <v/>
      </c>
      <c r="G225" s="265" t="str">
        <f>IF($B225="","",COUNTIF(May[Resident Name],$B225))</f>
        <v/>
      </c>
      <c r="H225" s="265" t="str">
        <f>IF($B225="","",COUNTIF(June[Resident Name],$B225))</f>
        <v/>
      </c>
      <c r="I225" s="265" t="str">
        <f>IF($B225="","",COUNTIF(July[Resident Name],$B225))</f>
        <v/>
      </c>
      <c r="J225" s="265" t="str">
        <f>IF($B225="","",COUNTIF(Aug[Resident Name],$B225))</f>
        <v/>
      </c>
      <c r="K225" s="265" t="str">
        <f>IF($B225="","",COUNTIF(Sept[Resident Name],$B225))</f>
        <v/>
      </c>
      <c r="L225" s="265" t="str">
        <f>IF($B225="","",COUNTIF(Oct[Resident Name],$B225))</f>
        <v/>
      </c>
      <c r="M225" s="265" t="str">
        <f>IF($B225="","",COUNTIF(Nov[Resident Name],$B225))</f>
        <v/>
      </c>
      <c r="N225" s="265" t="str">
        <f>IF($B225="","",COUNTIF(Dec[Resident Name],$B225))</f>
        <v/>
      </c>
      <c r="O225" s="265" t="str">
        <f t="shared" si="9"/>
        <v/>
      </c>
      <c r="P225" s="11"/>
      <c r="R225" s="160" t="str">
        <f>IFERROR(INDEX($B$5:$B$172,MATCH(ROWS($R$5:R225),$X$5:$X$172,0)),"")</f>
        <v/>
      </c>
      <c r="S225" s="76" t="str">
        <f>IF($R225="","",INDEX($O$5:$O$172,MATCH(ROWS($R$5:R225),$X$5:$X$172,0)))</f>
        <v/>
      </c>
      <c r="U225" s="160" t="str">
        <f>IFERROR(INDEX($Z$5:$Z$448,MATCH(ROWS($U$5:U225),$AA$5:$AA$448,0)),"")</f>
        <v/>
      </c>
      <c r="V225" s="274" t="str">
        <f>IF(June!C39="","",June!C39)</f>
        <v/>
      </c>
      <c r="W225" s="274" t="str" cm="1">
        <f t="array" ref="W225">IF(V225="","",IF(COUNTIF($V$5:V225,V225)&gt;1,"",ROUND(1+SUMPRODUCT(($V$5:$V$448&lt;&gt;"")*($V$5:$V$448&lt;V225)/COUNTIF($V$5:$V$448,$V$5:$V$448&amp;"")),0)))</f>
        <v/>
      </c>
      <c r="X225" s="274"/>
      <c r="Z225" s="274" t="str">
        <f>IF(June!H39="Major Injury",June!C39,"")</f>
        <v/>
      </c>
      <c r="AA225" s="274" t="str" cm="1">
        <f t="array" ref="AA225">IF(Z225="","",IF(COUNTIF($Z$5:Z225,Z225)&gt;1,"",ROUND(1+SUMPRODUCT(($Z$5:$Z$448&lt;&gt;"")*($Z$5:$Z$448&lt;Z225)/COUNTIF($Z$5:$Z$448,$Z$5:$Z$448&amp;"")),0)))</f>
        <v/>
      </c>
    </row>
    <row r="226" spans="2:27" x14ac:dyDescent="0.25">
      <c r="B226" s="160" t="str">
        <f>IFERROR(INDEX($V$5:$V$448,MATCH(ROWS($B$5:B226),$W$5:$W$448,0)),"")</f>
        <v/>
      </c>
      <c r="C226" s="265" t="str">
        <f>IF($B226="","",COUNTIF(Jan[Resident Name],$B226))</f>
        <v/>
      </c>
      <c r="D226" s="265" t="str">
        <f>IF($B226="","",COUNTIF(Feb[Resident Name],$B226))</f>
        <v/>
      </c>
      <c r="E226" s="265" t="str">
        <f>IF($B226="","",COUNTIF(Mar[Resident Name],$B226))</f>
        <v/>
      </c>
      <c r="F226" s="265" t="str">
        <f>IF($B226="","",COUNTIF(Apr[Resident Name],$B226))</f>
        <v/>
      </c>
      <c r="G226" s="265" t="str">
        <f>IF($B226="","",COUNTIF(May[Resident Name],$B226))</f>
        <v/>
      </c>
      <c r="H226" s="265" t="str">
        <f>IF($B226="","",COUNTIF(June[Resident Name],$B226))</f>
        <v/>
      </c>
      <c r="I226" s="265" t="str">
        <f>IF($B226="","",COUNTIF(July[Resident Name],$B226))</f>
        <v/>
      </c>
      <c r="J226" s="265" t="str">
        <f>IF($B226="","",COUNTIF(Aug[Resident Name],$B226))</f>
        <v/>
      </c>
      <c r="K226" s="265" t="str">
        <f>IF($B226="","",COUNTIF(Sept[Resident Name],$B226))</f>
        <v/>
      </c>
      <c r="L226" s="265" t="str">
        <f>IF($B226="","",COUNTIF(Oct[Resident Name],$B226))</f>
        <v/>
      </c>
      <c r="M226" s="265" t="str">
        <f>IF($B226="","",COUNTIF(Nov[Resident Name],$B226))</f>
        <v/>
      </c>
      <c r="N226" s="265" t="str">
        <f>IF($B226="","",COUNTIF(Dec[Resident Name],$B226))</f>
        <v/>
      </c>
      <c r="O226" s="265" t="str">
        <f t="shared" si="9"/>
        <v/>
      </c>
      <c r="P226" s="11"/>
      <c r="R226" s="160" t="str">
        <f>IFERROR(INDEX($B$5:$B$172,MATCH(ROWS($R$5:R226),$X$5:$X$172,0)),"")</f>
        <v/>
      </c>
      <c r="S226" s="76" t="str">
        <f>IF($R226="","",INDEX($O$5:$O$172,MATCH(ROWS($R$5:R226),$X$5:$X$172,0)))</f>
        <v/>
      </c>
      <c r="U226" s="160" t="str">
        <f>IFERROR(INDEX($Z$5:$Z$448,MATCH(ROWS($U$5:U226),$AA$5:$AA$448,0)),"")</f>
        <v/>
      </c>
      <c r="V226" s="274" t="str">
        <f>IF(June!C40="","",June!C40)</f>
        <v/>
      </c>
      <c r="W226" s="274" t="str" cm="1">
        <f t="array" ref="W226">IF(V226="","",IF(COUNTIF($V$5:V226,V226)&gt;1,"",ROUND(1+SUMPRODUCT(($V$5:$V$448&lt;&gt;"")*($V$5:$V$448&lt;V226)/COUNTIF($V$5:$V$448,$V$5:$V$448&amp;"")),0)))</f>
        <v/>
      </c>
      <c r="X226" s="274"/>
      <c r="Z226" s="274" t="str">
        <f>IF(June!H40="Major Injury",June!C40,"")</f>
        <v/>
      </c>
      <c r="AA226" s="274" t="str" cm="1">
        <f t="array" ref="AA226">IF(Z226="","",IF(COUNTIF($Z$5:Z226,Z226)&gt;1,"",ROUND(1+SUMPRODUCT(($Z$5:$Z$448&lt;&gt;"")*($Z$5:$Z$448&lt;Z226)/COUNTIF($Z$5:$Z$448,$Z$5:$Z$448&amp;"")),0)))</f>
        <v/>
      </c>
    </row>
    <row r="227" spans="2:27" x14ac:dyDescent="0.25">
      <c r="B227" s="160" t="str">
        <f>IFERROR(INDEX($V$5:$V$448,MATCH(ROWS($B$5:B227),$W$5:$W$448,0)),"")</f>
        <v/>
      </c>
      <c r="C227" s="265" t="str">
        <f>IF($B227="","",COUNTIF(Jan[Resident Name],$B227))</f>
        <v/>
      </c>
      <c r="D227" s="265" t="str">
        <f>IF($B227="","",COUNTIF(Feb[Resident Name],$B227))</f>
        <v/>
      </c>
      <c r="E227" s="265" t="str">
        <f>IF($B227="","",COUNTIF(Mar[Resident Name],$B227))</f>
        <v/>
      </c>
      <c r="F227" s="265" t="str">
        <f>IF($B227="","",COUNTIF(Apr[Resident Name],$B227))</f>
        <v/>
      </c>
      <c r="G227" s="265" t="str">
        <f>IF($B227="","",COUNTIF(May[Resident Name],$B227))</f>
        <v/>
      </c>
      <c r="H227" s="265" t="str">
        <f>IF($B227="","",COUNTIF(June[Resident Name],$B227))</f>
        <v/>
      </c>
      <c r="I227" s="265" t="str">
        <f>IF($B227="","",COUNTIF(July[Resident Name],$B227))</f>
        <v/>
      </c>
      <c r="J227" s="265" t="str">
        <f>IF($B227="","",COUNTIF(Aug[Resident Name],$B227))</f>
        <v/>
      </c>
      <c r="K227" s="265" t="str">
        <f>IF($B227="","",COUNTIF(Sept[Resident Name],$B227))</f>
        <v/>
      </c>
      <c r="L227" s="265" t="str">
        <f>IF($B227="","",COUNTIF(Oct[Resident Name],$B227))</f>
        <v/>
      </c>
      <c r="M227" s="265" t="str">
        <f>IF($B227="","",COUNTIF(Nov[Resident Name],$B227))</f>
        <v/>
      </c>
      <c r="N227" s="265" t="str">
        <f>IF($B227="","",COUNTIF(Dec[Resident Name],$B227))</f>
        <v/>
      </c>
      <c r="O227" s="265" t="str">
        <f t="shared" si="9"/>
        <v/>
      </c>
      <c r="P227" s="11"/>
      <c r="R227" s="160" t="str">
        <f>IFERROR(INDEX($B$5:$B$172,MATCH(ROWS($R$5:R227),$X$5:$X$172,0)),"")</f>
        <v/>
      </c>
      <c r="S227" s="76" t="str">
        <f>IF($R227="","",INDEX($O$5:$O$172,MATCH(ROWS($R$5:R227),$X$5:$X$172,0)))</f>
        <v/>
      </c>
      <c r="U227" s="160" t="str">
        <f>IFERROR(INDEX($Z$5:$Z$448,MATCH(ROWS($U$5:U227),$AA$5:$AA$448,0)),"")</f>
        <v/>
      </c>
      <c r="V227" s="274" t="str">
        <f>IF(July!C4="","",July!C4)</f>
        <v/>
      </c>
      <c r="W227" s="274" t="str" cm="1">
        <f t="array" ref="W227">IF(V227="","",IF(COUNTIF($V$5:V227,V227)&gt;1,"",ROUND(1+SUMPRODUCT(($V$5:$V$448&lt;&gt;"")*($V$5:$V$448&lt;V227)/COUNTIF($V$5:$V$448,$V$5:$V$448&amp;"")),0)))</f>
        <v/>
      </c>
      <c r="X227" s="274"/>
      <c r="Z227" s="274" t="str">
        <f>IF(July!H4="Major Injury",July!C4,"")</f>
        <v/>
      </c>
      <c r="AA227" s="274" t="str" cm="1">
        <f t="array" ref="AA227">IF(Z227="","",IF(COUNTIF($Z$5:Z227,Z227)&gt;1,"",ROUND(1+SUMPRODUCT(($Z$5:$Z$448&lt;&gt;"")*($Z$5:$Z$448&lt;Z227)/COUNTIF($Z$5:$Z$448,$Z$5:$Z$448&amp;"")),0)))</f>
        <v/>
      </c>
    </row>
    <row r="228" spans="2:27" x14ac:dyDescent="0.25">
      <c r="B228" s="160" t="str">
        <f>IFERROR(INDEX($V$5:$V$448,MATCH(ROWS($B$5:B228),$W$5:$W$448,0)),"")</f>
        <v/>
      </c>
      <c r="C228" s="265" t="str">
        <f>IF($B228="","",COUNTIF(Jan[Resident Name],$B228))</f>
        <v/>
      </c>
      <c r="D228" s="265" t="str">
        <f>IF($B228="","",COUNTIF(Feb[Resident Name],$B228))</f>
        <v/>
      </c>
      <c r="E228" s="265" t="str">
        <f>IF($B228="","",COUNTIF(Mar[Resident Name],$B228))</f>
        <v/>
      </c>
      <c r="F228" s="265" t="str">
        <f>IF($B228="","",COUNTIF(Apr[Resident Name],$B228))</f>
        <v/>
      </c>
      <c r="G228" s="265" t="str">
        <f>IF($B228="","",COUNTIF(May[Resident Name],$B228))</f>
        <v/>
      </c>
      <c r="H228" s="265" t="str">
        <f>IF($B228="","",COUNTIF(June[Resident Name],$B228))</f>
        <v/>
      </c>
      <c r="I228" s="265" t="str">
        <f>IF($B228="","",COUNTIF(July[Resident Name],$B228))</f>
        <v/>
      </c>
      <c r="J228" s="265" t="str">
        <f>IF($B228="","",COUNTIF(Aug[Resident Name],$B228))</f>
        <v/>
      </c>
      <c r="K228" s="265" t="str">
        <f>IF($B228="","",COUNTIF(Sept[Resident Name],$B228))</f>
        <v/>
      </c>
      <c r="L228" s="265" t="str">
        <f>IF($B228="","",COUNTIF(Oct[Resident Name],$B228))</f>
        <v/>
      </c>
      <c r="M228" s="265" t="str">
        <f>IF($B228="","",COUNTIF(Nov[Resident Name],$B228))</f>
        <v/>
      </c>
      <c r="N228" s="265" t="str">
        <f>IF($B228="","",COUNTIF(Dec[Resident Name],$B228))</f>
        <v/>
      </c>
      <c r="O228" s="265" t="str">
        <f t="shared" si="9"/>
        <v/>
      </c>
      <c r="P228" s="11"/>
      <c r="R228" s="160" t="str">
        <f>IFERROR(INDEX($B$5:$B$172,MATCH(ROWS($R$5:R228),$X$5:$X$172,0)),"")</f>
        <v/>
      </c>
      <c r="S228" s="76" t="str">
        <f>IF($R228="","",INDEX($O$5:$O$172,MATCH(ROWS($R$5:R228),$X$5:$X$172,0)))</f>
        <v/>
      </c>
      <c r="U228" s="160" t="str">
        <f>IFERROR(INDEX($Z$5:$Z$448,MATCH(ROWS($U$5:U228),$AA$5:$AA$448,0)),"")</f>
        <v/>
      </c>
      <c r="V228" s="274" t="str">
        <f>IF(July!C5="","",July!C5)</f>
        <v/>
      </c>
      <c r="W228" s="274" t="str" cm="1">
        <f t="array" ref="W228">IF(V228="","",IF(COUNTIF($V$5:V228,V228)&gt;1,"",ROUND(1+SUMPRODUCT(($V$5:$V$448&lt;&gt;"")*($V$5:$V$448&lt;V228)/COUNTIF($V$5:$V$448,$V$5:$V$448&amp;"")),0)))</f>
        <v/>
      </c>
      <c r="X228" s="274"/>
      <c r="Z228" s="274" t="str">
        <f>IF(July!H5="Major Injury",July!C5,"")</f>
        <v/>
      </c>
      <c r="AA228" s="274" t="str" cm="1">
        <f t="array" ref="AA228">IF(Z228="","",IF(COUNTIF($Z$5:Z228,Z228)&gt;1,"",ROUND(1+SUMPRODUCT(($Z$5:$Z$448&lt;&gt;"")*($Z$5:$Z$448&lt;Z228)/COUNTIF($Z$5:$Z$448,$Z$5:$Z$448&amp;"")),0)))</f>
        <v/>
      </c>
    </row>
    <row r="229" spans="2:27" x14ac:dyDescent="0.25">
      <c r="B229" s="160" t="str">
        <f>IFERROR(INDEX($V$5:$V$448,MATCH(ROWS($B$5:B229),$W$5:$W$448,0)),"")</f>
        <v/>
      </c>
      <c r="C229" s="265" t="str">
        <f>IF($B229="","",COUNTIF(Jan[Resident Name],$B229))</f>
        <v/>
      </c>
      <c r="D229" s="265" t="str">
        <f>IF($B229="","",COUNTIF(Feb[Resident Name],$B229))</f>
        <v/>
      </c>
      <c r="E229" s="265" t="str">
        <f>IF($B229="","",COUNTIF(Mar[Resident Name],$B229))</f>
        <v/>
      </c>
      <c r="F229" s="265" t="str">
        <f>IF($B229="","",COUNTIF(Apr[Resident Name],$B229))</f>
        <v/>
      </c>
      <c r="G229" s="265" t="str">
        <f>IF($B229="","",COUNTIF(May[Resident Name],$B229))</f>
        <v/>
      </c>
      <c r="H229" s="265" t="str">
        <f>IF($B229="","",COUNTIF(June[Resident Name],$B229))</f>
        <v/>
      </c>
      <c r="I229" s="265" t="str">
        <f>IF($B229="","",COUNTIF(July[Resident Name],$B229))</f>
        <v/>
      </c>
      <c r="J229" s="265" t="str">
        <f>IF($B229="","",COUNTIF(Aug[Resident Name],$B229))</f>
        <v/>
      </c>
      <c r="K229" s="265" t="str">
        <f>IF($B229="","",COUNTIF(Sept[Resident Name],$B229))</f>
        <v/>
      </c>
      <c r="L229" s="265" t="str">
        <f>IF($B229="","",COUNTIF(Oct[Resident Name],$B229))</f>
        <v/>
      </c>
      <c r="M229" s="265" t="str">
        <f>IF($B229="","",COUNTIF(Nov[Resident Name],$B229))</f>
        <v/>
      </c>
      <c r="N229" s="265" t="str">
        <f>IF($B229="","",COUNTIF(Dec[Resident Name],$B229))</f>
        <v/>
      </c>
      <c r="O229" s="265" t="str">
        <f t="shared" si="9"/>
        <v/>
      </c>
      <c r="P229" s="11"/>
      <c r="R229" s="160" t="str">
        <f>IFERROR(INDEX($B$5:$B$172,MATCH(ROWS($R$5:R229),$X$5:$X$172,0)),"")</f>
        <v/>
      </c>
      <c r="S229" s="76" t="str">
        <f>IF($R229="","",INDEX($O$5:$O$172,MATCH(ROWS($R$5:R229),$X$5:$X$172,0)))</f>
        <v/>
      </c>
      <c r="U229" s="160" t="str">
        <f>IFERROR(INDEX($Z$5:$Z$448,MATCH(ROWS($U$5:U229),$AA$5:$AA$448,0)),"")</f>
        <v/>
      </c>
      <c r="V229" s="274" t="str">
        <f>IF(July!C6="","",July!C6)</f>
        <v/>
      </c>
      <c r="W229" s="274" t="str" cm="1">
        <f t="array" ref="W229">IF(V229="","",IF(COUNTIF($V$5:V229,V229)&gt;1,"",ROUND(1+SUMPRODUCT(($V$5:$V$448&lt;&gt;"")*($V$5:$V$448&lt;V229)/COUNTIF($V$5:$V$448,$V$5:$V$448&amp;"")),0)))</f>
        <v/>
      </c>
      <c r="X229" s="274"/>
      <c r="Z229" s="274" t="str">
        <f>IF(July!H6="Major Injury",July!C6,"")</f>
        <v/>
      </c>
      <c r="AA229" s="274" t="str" cm="1">
        <f t="array" ref="AA229">IF(Z229="","",IF(COUNTIF($Z$5:Z229,Z229)&gt;1,"",ROUND(1+SUMPRODUCT(($Z$5:$Z$448&lt;&gt;"")*($Z$5:$Z$448&lt;Z229)/COUNTIF($Z$5:$Z$448,$Z$5:$Z$448&amp;"")),0)))</f>
        <v/>
      </c>
    </row>
    <row r="230" spans="2:27" x14ac:dyDescent="0.25">
      <c r="B230" s="160" t="str">
        <f>IFERROR(INDEX($V$5:$V$448,MATCH(ROWS($B$5:B230),$W$5:$W$448,0)),"")</f>
        <v/>
      </c>
      <c r="C230" s="265" t="str">
        <f>IF($B230="","",COUNTIF(Jan[Resident Name],$B230))</f>
        <v/>
      </c>
      <c r="D230" s="265" t="str">
        <f>IF($B230="","",COUNTIF(Feb[Resident Name],$B230))</f>
        <v/>
      </c>
      <c r="E230" s="265" t="str">
        <f>IF($B230="","",COUNTIF(Mar[Resident Name],$B230))</f>
        <v/>
      </c>
      <c r="F230" s="265" t="str">
        <f>IF($B230="","",COUNTIF(Apr[Resident Name],$B230))</f>
        <v/>
      </c>
      <c r="G230" s="265" t="str">
        <f>IF($B230="","",COUNTIF(May[Resident Name],$B230))</f>
        <v/>
      </c>
      <c r="H230" s="265" t="str">
        <f>IF($B230="","",COUNTIF(June[Resident Name],$B230))</f>
        <v/>
      </c>
      <c r="I230" s="265" t="str">
        <f>IF($B230="","",COUNTIF(July[Resident Name],$B230))</f>
        <v/>
      </c>
      <c r="J230" s="265" t="str">
        <f>IF($B230="","",COUNTIF(Aug[Resident Name],$B230))</f>
        <v/>
      </c>
      <c r="K230" s="265" t="str">
        <f>IF($B230="","",COUNTIF(Sept[Resident Name],$B230))</f>
        <v/>
      </c>
      <c r="L230" s="265" t="str">
        <f>IF($B230="","",COUNTIF(Oct[Resident Name],$B230))</f>
        <v/>
      </c>
      <c r="M230" s="265" t="str">
        <f>IF($B230="","",COUNTIF(Nov[Resident Name],$B230))</f>
        <v/>
      </c>
      <c r="N230" s="265" t="str">
        <f>IF($B230="","",COUNTIF(Dec[Resident Name],$B230))</f>
        <v/>
      </c>
      <c r="O230" s="265" t="str">
        <f t="shared" si="9"/>
        <v/>
      </c>
      <c r="P230" s="11"/>
      <c r="R230" s="160" t="str">
        <f>IFERROR(INDEX($B$5:$B$172,MATCH(ROWS($R$5:R230),$X$5:$X$172,0)),"")</f>
        <v/>
      </c>
      <c r="S230" s="76" t="str">
        <f>IF($R230="","",INDEX($O$5:$O$172,MATCH(ROWS($R$5:R230),$X$5:$X$172,0)))</f>
        <v/>
      </c>
      <c r="U230" s="160" t="str">
        <f>IFERROR(INDEX($Z$5:$Z$448,MATCH(ROWS($U$5:U230),$AA$5:$AA$448,0)),"")</f>
        <v/>
      </c>
      <c r="V230" s="274" t="str">
        <f>IF(July!C7="","",July!C7)</f>
        <v/>
      </c>
      <c r="W230" s="274" t="str" cm="1">
        <f t="array" ref="W230">IF(V230="","",IF(COUNTIF($V$5:V230,V230)&gt;1,"",ROUND(1+SUMPRODUCT(($V$5:$V$448&lt;&gt;"")*($V$5:$V$448&lt;V230)/COUNTIF($V$5:$V$448,$V$5:$V$448&amp;"")),0)))</f>
        <v/>
      </c>
      <c r="X230" s="274"/>
      <c r="Z230" s="274" t="str">
        <f>IF(July!H7="Major Injury",July!C7,"")</f>
        <v/>
      </c>
      <c r="AA230" s="274" t="str" cm="1">
        <f t="array" ref="AA230">IF(Z230="","",IF(COUNTIF($Z$5:Z230,Z230)&gt;1,"",ROUND(1+SUMPRODUCT(($Z$5:$Z$448&lt;&gt;"")*($Z$5:$Z$448&lt;Z230)/COUNTIF($Z$5:$Z$448,$Z$5:$Z$448&amp;"")),0)))</f>
        <v/>
      </c>
    </row>
    <row r="231" spans="2:27" x14ac:dyDescent="0.25">
      <c r="B231" s="160" t="str">
        <f>IFERROR(INDEX($V$5:$V$448,MATCH(ROWS($B$5:B231),$W$5:$W$448,0)),"")</f>
        <v/>
      </c>
      <c r="C231" s="265" t="str">
        <f>IF($B231="","",COUNTIF(Jan[Resident Name],$B231))</f>
        <v/>
      </c>
      <c r="D231" s="265" t="str">
        <f>IF($B231="","",COUNTIF(Feb[Resident Name],$B231))</f>
        <v/>
      </c>
      <c r="E231" s="265" t="str">
        <f>IF($B231="","",COUNTIF(Mar[Resident Name],$B231))</f>
        <v/>
      </c>
      <c r="F231" s="265" t="str">
        <f>IF($B231="","",COUNTIF(Apr[Resident Name],$B231))</f>
        <v/>
      </c>
      <c r="G231" s="265" t="str">
        <f>IF($B231="","",COUNTIF(May[Resident Name],$B231))</f>
        <v/>
      </c>
      <c r="H231" s="265" t="str">
        <f>IF($B231="","",COUNTIF(June[Resident Name],$B231))</f>
        <v/>
      </c>
      <c r="I231" s="265" t="str">
        <f>IF($B231="","",COUNTIF(July[Resident Name],$B231))</f>
        <v/>
      </c>
      <c r="J231" s="265" t="str">
        <f>IF($B231="","",COUNTIF(Aug[Resident Name],$B231))</f>
        <v/>
      </c>
      <c r="K231" s="265" t="str">
        <f>IF($B231="","",COUNTIF(Sept[Resident Name],$B231))</f>
        <v/>
      </c>
      <c r="L231" s="265" t="str">
        <f>IF($B231="","",COUNTIF(Oct[Resident Name],$B231))</f>
        <v/>
      </c>
      <c r="M231" s="265" t="str">
        <f>IF($B231="","",COUNTIF(Nov[Resident Name],$B231))</f>
        <v/>
      </c>
      <c r="N231" s="265" t="str">
        <f>IF($B231="","",COUNTIF(Dec[Resident Name],$B231))</f>
        <v/>
      </c>
      <c r="O231" s="265" t="str">
        <f t="shared" si="9"/>
        <v/>
      </c>
      <c r="P231" s="11"/>
      <c r="R231" s="160" t="str">
        <f>IFERROR(INDEX($B$5:$B$172,MATCH(ROWS($R$5:R231),$X$5:$X$172,0)),"")</f>
        <v/>
      </c>
      <c r="S231" s="76" t="str">
        <f>IF($R231="","",INDEX($O$5:$O$172,MATCH(ROWS($R$5:R231),$X$5:$X$172,0)))</f>
        <v/>
      </c>
      <c r="U231" s="160" t="str">
        <f>IFERROR(INDEX($Z$5:$Z$448,MATCH(ROWS($U$5:U231),$AA$5:$AA$448,0)),"")</f>
        <v/>
      </c>
      <c r="V231" s="274" t="str">
        <f>IF(July!C8="","",July!C8)</f>
        <v/>
      </c>
      <c r="W231" s="274" t="str" cm="1">
        <f t="array" ref="W231">IF(V231="","",IF(COUNTIF($V$5:V231,V231)&gt;1,"",ROUND(1+SUMPRODUCT(($V$5:$V$448&lt;&gt;"")*($V$5:$V$448&lt;V231)/COUNTIF($V$5:$V$448,$V$5:$V$448&amp;"")),0)))</f>
        <v/>
      </c>
      <c r="X231" s="274"/>
      <c r="Z231" s="274" t="str">
        <f>IF(July!H8="Major Injury",July!C8,"")</f>
        <v/>
      </c>
      <c r="AA231" s="274" t="str" cm="1">
        <f t="array" ref="AA231">IF(Z231="","",IF(COUNTIF($Z$5:Z231,Z231)&gt;1,"",ROUND(1+SUMPRODUCT(($Z$5:$Z$448&lt;&gt;"")*($Z$5:$Z$448&lt;Z231)/COUNTIF($Z$5:$Z$448,$Z$5:$Z$448&amp;"")),0)))</f>
        <v/>
      </c>
    </row>
    <row r="232" spans="2:27" x14ac:dyDescent="0.25">
      <c r="B232" s="160" t="str">
        <f>IFERROR(INDEX($V$5:$V$448,MATCH(ROWS($B$5:B232),$W$5:$W$448,0)),"")</f>
        <v/>
      </c>
      <c r="C232" s="265" t="str">
        <f>IF($B232="","",COUNTIF(Jan[Resident Name],$B232))</f>
        <v/>
      </c>
      <c r="D232" s="265" t="str">
        <f>IF($B232="","",COUNTIF(Feb[Resident Name],$B232))</f>
        <v/>
      </c>
      <c r="E232" s="265" t="str">
        <f>IF($B232="","",COUNTIF(Mar[Resident Name],$B232))</f>
        <v/>
      </c>
      <c r="F232" s="265" t="str">
        <f>IF($B232="","",COUNTIF(Apr[Resident Name],$B232))</f>
        <v/>
      </c>
      <c r="G232" s="265" t="str">
        <f>IF($B232="","",COUNTIF(May[Resident Name],$B232))</f>
        <v/>
      </c>
      <c r="H232" s="265" t="str">
        <f>IF($B232="","",COUNTIF(June[Resident Name],$B232))</f>
        <v/>
      </c>
      <c r="I232" s="265" t="str">
        <f>IF($B232="","",COUNTIF(July[Resident Name],$B232))</f>
        <v/>
      </c>
      <c r="J232" s="265" t="str">
        <f>IF($B232="","",COUNTIF(Aug[Resident Name],$B232))</f>
        <v/>
      </c>
      <c r="K232" s="265" t="str">
        <f>IF($B232="","",COUNTIF(Sept[Resident Name],$B232))</f>
        <v/>
      </c>
      <c r="L232" s="265" t="str">
        <f>IF($B232="","",COUNTIF(Oct[Resident Name],$B232))</f>
        <v/>
      </c>
      <c r="M232" s="265" t="str">
        <f>IF($B232="","",COUNTIF(Nov[Resident Name],$B232))</f>
        <v/>
      </c>
      <c r="N232" s="265" t="str">
        <f>IF($B232="","",COUNTIF(Dec[Resident Name],$B232))</f>
        <v/>
      </c>
      <c r="O232" s="265" t="str">
        <f t="shared" si="9"/>
        <v/>
      </c>
      <c r="P232" s="11"/>
      <c r="R232" s="160" t="str">
        <f>IFERROR(INDEX($B$5:$B$172,MATCH(ROWS($R$5:R232),$X$5:$X$172,0)),"")</f>
        <v/>
      </c>
      <c r="S232" s="76" t="str">
        <f>IF($R232="","",INDEX($O$5:$O$172,MATCH(ROWS($R$5:R232),$X$5:$X$172,0)))</f>
        <v/>
      </c>
      <c r="U232" s="160" t="str">
        <f>IFERROR(INDEX($Z$5:$Z$448,MATCH(ROWS($U$5:U232),$AA$5:$AA$448,0)),"")</f>
        <v/>
      </c>
      <c r="V232" s="274" t="str">
        <f>IF(July!C9="","",July!C9)</f>
        <v/>
      </c>
      <c r="W232" s="274" t="str" cm="1">
        <f t="array" ref="W232">IF(V232="","",IF(COUNTIF($V$5:V232,V232)&gt;1,"",ROUND(1+SUMPRODUCT(($V$5:$V$448&lt;&gt;"")*($V$5:$V$448&lt;V232)/COUNTIF($V$5:$V$448,$V$5:$V$448&amp;"")),0)))</f>
        <v/>
      </c>
      <c r="X232" s="274"/>
      <c r="Z232" s="274" t="str">
        <f>IF(July!H9="Major Injury",July!C9,"")</f>
        <v/>
      </c>
      <c r="AA232" s="274" t="str" cm="1">
        <f t="array" ref="AA232">IF(Z232="","",IF(COUNTIF($Z$5:Z232,Z232)&gt;1,"",ROUND(1+SUMPRODUCT(($Z$5:$Z$448&lt;&gt;"")*($Z$5:$Z$448&lt;Z232)/COUNTIF($Z$5:$Z$448,$Z$5:$Z$448&amp;"")),0)))</f>
        <v/>
      </c>
    </row>
    <row r="233" spans="2:27" x14ac:dyDescent="0.25">
      <c r="B233" s="160" t="str">
        <f>IFERROR(INDEX($V$5:$V$448,MATCH(ROWS($B$5:B233),$W$5:$W$448,0)),"")</f>
        <v/>
      </c>
      <c r="C233" s="265" t="str">
        <f>IF($B233="","",COUNTIF(Jan[Resident Name],$B233))</f>
        <v/>
      </c>
      <c r="D233" s="265" t="str">
        <f>IF($B233="","",COUNTIF(Feb[Resident Name],$B233))</f>
        <v/>
      </c>
      <c r="E233" s="265" t="str">
        <f>IF($B233="","",COUNTIF(Mar[Resident Name],$B233))</f>
        <v/>
      </c>
      <c r="F233" s="265" t="str">
        <f>IF($B233="","",COUNTIF(Apr[Resident Name],$B233))</f>
        <v/>
      </c>
      <c r="G233" s="265" t="str">
        <f>IF($B233="","",COUNTIF(May[Resident Name],$B233))</f>
        <v/>
      </c>
      <c r="H233" s="265" t="str">
        <f>IF($B233="","",COUNTIF(June[Resident Name],$B233))</f>
        <v/>
      </c>
      <c r="I233" s="265" t="str">
        <f>IF($B233="","",COUNTIF(July[Resident Name],$B233))</f>
        <v/>
      </c>
      <c r="J233" s="265" t="str">
        <f>IF($B233="","",COUNTIF(Aug[Resident Name],$B233))</f>
        <v/>
      </c>
      <c r="K233" s="265" t="str">
        <f>IF($B233="","",COUNTIF(Sept[Resident Name],$B233))</f>
        <v/>
      </c>
      <c r="L233" s="265" t="str">
        <f>IF($B233="","",COUNTIF(Oct[Resident Name],$B233))</f>
        <v/>
      </c>
      <c r="M233" s="265" t="str">
        <f>IF($B233="","",COUNTIF(Nov[Resident Name],$B233))</f>
        <v/>
      </c>
      <c r="N233" s="265" t="str">
        <f>IF($B233="","",COUNTIF(Dec[Resident Name],$B233))</f>
        <v/>
      </c>
      <c r="O233" s="265" t="str">
        <f t="shared" si="9"/>
        <v/>
      </c>
      <c r="P233" s="11"/>
      <c r="R233" s="160" t="str">
        <f>IFERROR(INDEX($B$5:$B$172,MATCH(ROWS($R$5:R233),$X$5:$X$172,0)),"")</f>
        <v/>
      </c>
      <c r="S233" s="76" t="str">
        <f>IF($R233="","",INDEX($O$5:$O$172,MATCH(ROWS($R$5:R233),$X$5:$X$172,0)))</f>
        <v/>
      </c>
      <c r="U233" s="160" t="str">
        <f>IFERROR(INDEX($Z$5:$Z$448,MATCH(ROWS($U$5:U233),$AA$5:$AA$448,0)),"")</f>
        <v/>
      </c>
      <c r="V233" s="274" t="str">
        <f>IF(July!C10="","",July!C10)</f>
        <v/>
      </c>
      <c r="W233" s="274" t="str" cm="1">
        <f t="array" ref="W233">IF(V233="","",IF(COUNTIF($V$5:V233,V233)&gt;1,"",ROUND(1+SUMPRODUCT(($V$5:$V$448&lt;&gt;"")*($V$5:$V$448&lt;V233)/COUNTIF($V$5:$V$448,$V$5:$V$448&amp;"")),0)))</f>
        <v/>
      </c>
      <c r="X233" s="274"/>
      <c r="Z233" s="274" t="str">
        <f>IF(July!H10="Major Injury",July!C10,"")</f>
        <v/>
      </c>
      <c r="AA233" s="274" t="str" cm="1">
        <f t="array" ref="AA233">IF(Z233="","",IF(COUNTIF($Z$5:Z233,Z233)&gt;1,"",ROUND(1+SUMPRODUCT(($Z$5:$Z$448&lt;&gt;"")*($Z$5:$Z$448&lt;Z233)/COUNTIF($Z$5:$Z$448,$Z$5:$Z$448&amp;"")),0)))</f>
        <v/>
      </c>
    </row>
    <row r="234" spans="2:27" x14ac:dyDescent="0.25">
      <c r="B234" s="160" t="str">
        <f>IFERROR(INDEX($V$5:$V$448,MATCH(ROWS($B$5:B234),$W$5:$W$448,0)),"")</f>
        <v/>
      </c>
      <c r="C234" s="265" t="str">
        <f>IF($B234="","",COUNTIF(Jan[Resident Name],$B234))</f>
        <v/>
      </c>
      <c r="D234" s="265" t="str">
        <f>IF($B234="","",COUNTIF(Feb[Resident Name],$B234))</f>
        <v/>
      </c>
      <c r="E234" s="265" t="str">
        <f>IF($B234="","",COUNTIF(Mar[Resident Name],$B234))</f>
        <v/>
      </c>
      <c r="F234" s="265" t="str">
        <f>IF($B234="","",COUNTIF(Apr[Resident Name],$B234))</f>
        <v/>
      </c>
      <c r="G234" s="265" t="str">
        <f>IF($B234="","",COUNTIF(May[Resident Name],$B234))</f>
        <v/>
      </c>
      <c r="H234" s="265" t="str">
        <f>IF($B234="","",COUNTIF(June[Resident Name],$B234))</f>
        <v/>
      </c>
      <c r="I234" s="265" t="str">
        <f>IF($B234="","",COUNTIF(July[Resident Name],$B234))</f>
        <v/>
      </c>
      <c r="J234" s="265" t="str">
        <f>IF($B234="","",COUNTIF(Aug[Resident Name],$B234))</f>
        <v/>
      </c>
      <c r="K234" s="265" t="str">
        <f>IF($B234="","",COUNTIF(Sept[Resident Name],$B234))</f>
        <v/>
      </c>
      <c r="L234" s="265" t="str">
        <f>IF($B234="","",COUNTIF(Oct[Resident Name],$B234))</f>
        <v/>
      </c>
      <c r="M234" s="265" t="str">
        <f>IF($B234="","",COUNTIF(Nov[Resident Name],$B234))</f>
        <v/>
      </c>
      <c r="N234" s="265" t="str">
        <f>IF($B234="","",COUNTIF(Dec[Resident Name],$B234))</f>
        <v/>
      </c>
      <c r="O234" s="265" t="str">
        <f t="shared" si="9"/>
        <v/>
      </c>
      <c r="P234" s="11"/>
      <c r="R234" s="160" t="str">
        <f>IFERROR(INDEX($B$5:$B$172,MATCH(ROWS($R$5:R234),$X$5:$X$172,0)),"")</f>
        <v/>
      </c>
      <c r="S234" s="76" t="str">
        <f>IF($R234="","",INDEX($O$5:$O$172,MATCH(ROWS($R$5:R234),$X$5:$X$172,0)))</f>
        <v/>
      </c>
      <c r="U234" s="160" t="str">
        <f>IFERROR(INDEX($Z$5:$Z$448,MATCH(ROWS($U$5:U234),$AA$5:$AA$448,0)),"")</f>
        <v/>
      </c>
      <c r="V234" s="274" t="str">
        <f>IF(July!C11="","",July!C11)</f>
        <v/>
      </c>
      <c r="W234" s="274" t="str" cm="1">
        <f t="array" ref="W234">IF(V234="","",IF(COUNTIF($V$5:V234,V234)&gt;1,"",ROUND(1+SUMPRODUCT(($V$5:$V$448&lt;&gt;"")*($V$5:$V$448&lt;V234)/COUNTIF($V$5:$V$448,$V$5:$V$448&amp;"")),0)))</f>
        <v/>
      </c>
      <c r="X234" s="274"/>
      <c r="Z234" s="274" t="str">
        <f>IF(July!H11="Major Injury",July!C11,"")</f>
        <v/>
      </c>
      <c r="AA234" s="274" t="str" cm="1">
        <f t="array" ref="AA234">IF(Z234="","",IF(COUNTIF($Z$5:Z234,Z234)&gt;1,"",ROUND(1+SUMPRODUCT(($Z$5:$Z$448&lt;&gt;"")*($Z$5:$Z$448&lt;Z234)/COUNTIF($Z$5:$Z$448,$Z$5:$Z$448&amp;"")),0)))</f>
        <v/>
      </c>
    </row>
    <row r="235" spans="2:27" x14ac:dyDescent="0.25">
      <c r="B235" s="160" t="str">
        <f>IFERROR(INDEX($V$5:$V$448,MATCH(ROWS($B$5:B235),$W$5:$W$448,0)),"")</f>
        <v/>
      </c>
      <c r="C235" s="265" t="str">
        <f>IF($B235="","",COUNTIF(Jan[Resident Name],$B235))</f>
        <v/>
      </c>
      <c r="D235" s="265" t="str">
        <f>IF($B235="","",COUNTIF(Feb[Resident Name],$B235))</f>
        <v/>
      </c>
      <c r="E235" s="265" t="str">
        <f>IF($B235="","",COUNTIF(Mar[Resident Name],$B235))</f>
        <v/>
      </c>
      <c r="F235" s="265" t="str">
        <f>IF($B235="","",COUNTIF(Apr[Resident Name],$B235))</f>
        <v/>
      </c>
      <c r="G235" s="265" t="str">
        <f>IF($B235="","",COUNTIF(May[Resident Name],$B235))</f>
        <v/>
      </c>
      <c r="H235" s="265" t="str">
        <f>IF($B235="","",COUNTIF(June[Resident Name],$B235))</f>
        <v/>
      </c>
      <c r="I235" s="265" t="str">
        <f>IF($B235="","",COUNTIF(July[Resident Name],$B235))</f>
        <v/>
      </c>
      <c r="J235" s="265" t="str">
        <f>IF($B235="","",COUNTIF(Aug[Resident Name],$B235))</f>
        <v/>
      </c>
      <c r="K235" s="265" t="str">
        <f>IF($B235="","",COUNTIF(Sept[Resident Name],$B235))</f>
        <v/>
      </c>
      <c r="L235" s="265" t="str">
        <f>IF($B235="","",COUNTIF(Oct[Resident Name],$B235))</f>
        <v/>
      </c>
      <c r="M235" s="265" t="str">
        <f>IF($B235="","",COUNTIF(Nov[Resident Name],$B235))</f>
        <v/>
      </c>
      <c r="N235" s="265" t="str">
        <f>IF($B235="","",COUNTIF(Dec[Resident Name],$B235))</f>
        <v/>
      </c>
      <c r="O235" s="265" t="str">
        <f t="shared" si="9"/>
        <v/>
      </c>
      <c r="P235" s="11"/>
      <c r="R235" s="160" t="str">
        <f>IFERROR(INDEX($B$5:$B$172,MATCH(ROWS($R$5:R235),$X$5:$X$172,0)),"")</f>
        <v/>
      </c>
      <c r="S235" s="76" t="str">
        <f>IF($R235="","",INDEX($O$5:$O$172,MATCH(ROWS($R$5:R235),$X$5:$X$172,0)))</f>
        <v/>
      </c>
      <c r="U235" s="160" t="str">
        <f>IFERROR(INDEX($Z$5:$Z$448,MATCH(ROWS($U$5:U235),$AA$5:$AA$448,0)),"")</f>
        <v/>
      </c>
      <c r="V235" s="274" t="str">
        <f>IF(July!C12="","",July!C12)</f>
        <v/>
      </c>
      <c r="W235" s="274" t="str" cm="1">
        <f t="array" ref="W235">IF(V235="","",IF(COUNTIF($V$5:V235,V235)&gt;1,"",ROUND(1+SUMPRODUCT(($V$5:$V$448&lt;&gt;"")*($V$5:$V$448&lt;V235)/COUNTIF($V$5:$V$448,$V$5:$V$448&amp;"")),0)))</f>
        <v/>
      </c>
      <c r="X235" s="274"/>
      <c r="Z235" s="274" t="str">
        <f>IF(July!H12="Major Injury",July!C12,"")</f>
        <v/>
      </c>
      <c r="AA235" s="274" t="str" cm="1">
        <f t="array" ref="AA235">IF(Z235="","",IF(COUNTIF($Z$5:Z235,Z235)&gt;1,"",ROUND(1+SUMPRODUCT(($Z$5:$Z$448&lt;&gt;"")*($Z$5:$Z$448&lt;Z235)/COUNTIF($Z$5:$Z$448,$Z$5:$Z$448&amp;"")),0)))</f>
        <v/>
      </c>
    </row>
    <row r="236" spans="2:27" x14ac:dyDescent="0.25">
      <c r="B236" s="160" t="str">
        <f>IFERROR(INDEX($V$5:$V$448,MATCH(ROWS($B$5:B236),$W$5:$W$448,0)),"")</f>
        <v/>
      </c>
      <c r="C236" s="265" t="str">
        <f>IF($B236="","",COUNTIF(Jan[Resident Name],$B236))</f>
        <v/>
      </c>
      <c r="D236" s="265" t="str">
        <f>IF($B236="","",COUNTIF(Feb[Resident Name],$B236))</f>
        <v/>
      </c>
      <c r="E236" s="265" t="str">
        <f>IF($B236="","",COUNTIF(Mar[Resident Name],$B236))</f>
        <v/>
      </c>
      <c r="F236" s="265" t="str">
        <f>IF($B236="","",COUNTIF(Apr[Resident Name],$B236))</f>
        <v/>
      </c>
      <c r="G236" s="265" t="str">
        <f>IF($B236="","",COUNTIF(May[Resident Name],$B236))</f>
        <v/>
      </c>
      <c r="H236" s="265" t="str">
        <f>IF($B236="","",COUNTIF(June[Resident Name],$B236))</f>
        <v/>
      </c>
      <c r="I236" s="265" t="str">
        <f>IF($B236="","",COUNTIF(July[Resident Name],$B236))</f>
        <v/>
      </c>
      <c r="J236" s="265" t="str">
        <f>IF($B236="","",COUNTIF(Aug[Resident Name],$B236))</f>
        <v/>
      </c>
      <c r="K236" s="265" t="str">
        <f>IF($B236="","",COUNTIF(Sept[Resident Name],$B236))</f>
        <v/>
      </c>
      <c r="L236" s="265" t="str">
        <f>IF($B236="","",COUNTIF(Oct[Resident Name],$B236))</f>
        <v/>
      </c>
      <c r="M236" s="265" t="str">
        <f>IF($B236="","",COUNTIF(Nov[Resident Name],$B236))</f>
        <v/>
      </c>
      <c r="N236" s="265" t="str">
        <f>IF($B236="","",COUNTIF(Dec[Resident Name],$B236))</f>
        <v/>
      </c>
      <c r="O236" s="265" t="str">
        <f t="shared" si="9"/>
        <v/>
      </c>
      <c r="P236" s="11"/>
      <c r="R236" s="160" t="str">
        <f>IFERROR(INDEX($B$5:$B$172,MATCH(ROWS($R$5:R236),$X$5:$X$172,0)),"")</f>
        <v/>
      </c>
      <c r="S236" s="76" t="str">
        <f>IF($R236="","",INDEX($O$5:$O$172,MATCH(ROWS($R$5:R236),$X$5:$X$172,0)))</f>
        <v/>
      </c>
      <c r="U236" s="160" t="str">
        <f>IFERROR(INDEX($Z$5:$Z$448,MATCH(ROWS($U$5:U236),$AA$5:$AA$448,0)),"")</f>
        <v/>
      </c>
      <c r="V236" s="274" t="str">
        <f>IF(July!C13="","",July!C13)</f>
        <v/>
      </c>
      <c r="W236" s="274" t="str" cm="1">
        <f t="array" ref="W236">IF(V236="","",IF(COUNTIF($V$5:V236,V236)&gt;1,"",ROUND(1+SUMPRODUCT(($V$5:$V$448&lt;&gt;"")*($V$5:$V$448&lt;V236)/COUNTIF($V$5:$V$448,$V$5:$V$448&amp;"")),0)))</f>
        <v/>
      </c>
      <c r="X236" s="274"/>
      <c r="Z236" s="274" t="str">
        <f>IF(July!H13="Major Injury",July!C13,"")</f>
        <v/>
      </c>
      <c r="AA236" s="274" t="str" cm="1">
        <f t="array" ref="AA236">IF(Z236="","",IF(COUNTIF($Z$5:Z236,Z236)&gt;1,"",ROUND(1+SUMPRODUCT(($Z$5:$Z$448&lt;&gt;"")*($Z$5:$Z$448&lt;Z236)/COUNTIF($Z$5:$Z$448,$Z$5:$Z$448&amp;"")),0)))</f>
        <v/>
      </c>
    </row>
    <row r="237" spans="2:27" x14ac:dyDescent="0.25">
      <c r="B237" s="160" t="str">
        <f>IFERROR(INDEX($V$5:$V$448,MATCH(ROWS($B$5:B237),$W$5:$W$448,0)),"")</f>
        <v/>
      </c>
      <c r="C237" s="265" t="str">
        <f>IF($B237="","",COUNTIF(Jan[Resident Name],$B237))</f>
        <v/>
      </c>
      <c r="D237" s="265" t="str">
        <f>IF($B237="","",COUNTIF(Feb[Resident Name],$B237))</f>
        <v/>
      </c>
      <c r="E237" s="265" t="str">
        <f>IF($B237="","",COUNTIF(Mar[Resident Name],$B237))</f>
        <v/>
      </c>
      <c r="F237" s="265" t="str">
        <f>IF($B237="","",COUNTIF(Apr[Resident Name],$B237))</f>
        <v/>
      </c>
      <c r="G237" s="265" t="str">
        <f>IF($B237="","",COUNTIF(May[Resident Name],$B237))</f>
        <v/>
      </c>
      <c r="H237" s="265" t="str">
        <f>IF($B237="","",COUNTIF(June[Resident Name],$B237))</f>
        <v/>
      </c>
      <c r="I237" s="265" t="str">
        <f>IF($B237="","",COUNTIF(July[Resident Name],$B237))</f>
        <v/>
      </c>
      <c r="J237" s="265" t="str">
        <f>IF($B237="","",COUNTIF(Aug[Resident Name],$B237))</f>
        <v/>
      </c>
      <c r="K237" s="265" t="str">
        <f>IF($B237="","",COUNTIF(Sept[Resident Name],$B237))</f>
        <v/>
      </c>
      <c r="L237" s="265" t="str">
        <f>IF($B237="","",COUNTIF(Oct[Resident Name],$B237))</f>
        <v/>
      </c>
      <c r="M237" s="265" t="str">
        <f>IF($B237="","",COUNTIF(Nov[Resident Name],$B237))</f>
        <v/>
      </c>
      <c r="N237" s="265" t="str">
        <f>IF($B237="","",COUNTIF(Dec[Resident Name],$B237))</f>
        <v/>
      </c>
      <c r="O237" s="265" t="str">
        <f t="shared" si="9"/>
        <v/>
      </c>
      <c r="P237" s="11"/>
      <c r="R237" s="160" t="str">
        <f>IFERROR(INDEX($B$5:$B$172,MATCH(ROWS($R$5:R237),$X$5:$X$172,0)),"")</f>
        <v/>
      </c>
      <c r="S237" s="76" t="str">
        <f>IF($R237="","",INDEX($O$5:$O$172,MATCH(ROWS($R$5:R237),$X$5:$X$172,0)))</f>
        <v/>
      </c>
      <c r="U237" s="160" t="str">
        <f>IFERROR(INDEX($Z$5:$Z$448,MATCH(ROWS($U$5:U237),$AA$5:$AA$448,0)),"")</f>
        <v/>
      </c>
      <c r="V237" s="274" t="str">
        <f>IF(July!C14="","",July!C14)</f>
        <v/>
      </c>
      <c r="W237" s="274" t="str" cm="1">
        <f t="array" ref="W237">IF(V237="","",IF(COUNTIF($V$5:V237,V237)&gt;1,"",ROUND(1+SUMPRODUCT(($V$5:$V$448&lt;&gt;"")*($V$5:$V$448&lt;V237)/COUNTIF($V$5:$V$448,$V$5:$V$448&amp;"")),0)))</f>
        <v/>
      </c>
      <c r="X237" s="274"/>
      <c r="Z237" s="274" t="str">
        <f>IF(July!H14="Major Injury",July!C14,"")</f>
        <v/>
      </c>
      <c r="AA237" s="274" t="str" cm="1">
        <f t="array" ref="AA237">IF(Z237="","",IF(COUNTIF($Z$5:Z237,Z237)&gt;1,"",ROUND(1+SUMPRODUCT(($Z$5:$Z$448&lt;&gt;"")*($Z$5:$Z$448&lt;Z237)/COUNTIF($Z$5:$Z$448,$Z$5:$Z$448&amp;"")),0)))</f>
        <v/>
      </c>
    </row>
    <row r="238" spans="2:27" x14ac:dyDescent="0.25">
      <c r="B238" s="160" t="str">
        <f>IFERROR(INDEX($V$5:$V$448,MATCH(ROWS($B$5:B238),$W$5:$W$448,0)),"")</f>
        <v/>
      </c>
      <c r="C238" s="265" t="str">
        <f>IF($B238="","",COUNTIF(Jan[Resident Name],$B238))</f>
        <v/>
      </c>
      <c r="D238" s="265" t="str">
        <f>IF($B238="","",COUNTIF(Feb[Resident Name],$B238))</f>
        <v/>
      </c>
      <c r="E238" s="265" t="str">
        <f>IF($B238="","",COUNTIF(Mar[Resident Name],$B238))</f>
        <v/>
      </c>
      <c r="F238" s="265" t="str">
        <f>IF($B238="","",COUNTIF(Apr[Resident Name],$B238))</f>
        <v/>
      </c>
      <c r="G238" s="265" t="str">
        <f>IF($B238="","",COUNTIF(May[Resident Name],$B238))</f>
        <v/>
      </c>
      <c r="H238" s="265" t="str">
        <f>IF($B238="","",COUNTIF(June[Resident Name],$B238))</f>
        <v/>
      </c>
      <c r="I238" s="265" t="str">
        <f>IF($B238="","",COUNTIF(July[Resident Name],$B238))</f>
        <v/>
      </c>
      <c r="J238" s="265" t="str">
        <f>IF($B238="","",COUNTIF(Aug[Resident Name],$B238))</f>
        <v/>
      </c>
      <c r="K238" s="265" t="str">
        <f>IF($B238="","",COUNTIF(Sept[Resident Name],$B238))</f>
        <v/>
      </c>
      <c r="L238" s="265" t="str">
        <f>IF($B238="","",COUNTIF(Oct[Resident Name],$B238))</f>
        <v/>
      </c>
      <c r="M238" s="265" t="str">
        <f>IF($B238="","",COUNTIF(Nov[Resident Name],$B238))</f>
        <v/>
      </c>
      <c r="N238" s="265" t="str">
        <f>IF($B238="","",COUNTIF(Dec[Resident Name],$B238))</f>
        <v/>
      </c>
      <c r="O238" s="265" t="str">
        <f t="shared" si="9"/>
        <v/>
      </c>
      <c r="P238" s="11"/>
      <c r="R238" s="160" t="str">
        <f>IFERROR(INDEX($B$5:$B$172,MATCH(ROWS($R$5:R238),$X$5:$X$172,0)),"")</f>
        <v/>
      </c>
      <c r="S238" s="76" t="str">
        <f>IF($R238="","",INDEX($O$5:$O$172,MATCH(ROWS($R$5:R238),$X$5:$X$172,0)))</f>
        <v/>
      </c>
      <c r="U238" s="160" t="str">
        <f>IFERROR(INDEX($Z$5:$Z$448,MATCH(ROWS($U$5:U238),$AA$5:$AA$448,0)),"")</f>
        <v/>
      </c>
      <c r="V238" s="274" t="str">
        <f>IF(July!C15="","",July!C15)</f>
        <v/>
      </c>
      <c r="W238" s="274" t="str" cm="1">
        <f t="array" ref="W238">IF(V238="","",IF(COUNTIF($V$5:V238,V238)&gt;1,"",ROUND(1+SUMPRODUCT(($V$5:$V$448&lt;&gt;"")*($V$5:$V$448&lt;V238)/COUNTIF($V$5:$V$448,$V$5:$V$448&amp;"")),0)))</f>
        <v/>
      </c>
      <c r="X238" s="274"/>
      <c r="Z238" s="274" t="str">
        <f>IF(July!H15="Major Injury",July!C15,"")</f>
        <v/>
      </c>
      <c r="AA238" s="274" t="str" cm="1">
        <f t="array" ref="AA238">IF(Z238="","",IF(COUNTIF($Z$5:Z238,Z238)&gt;1,"",ROUND(1+SUMPRODUCT(($Z$5:$Z$448&lt;&gt;"")*($Z$5:$Z$448&lt;Z238)/COUNTIF($Z$5:$Z$448,$Z$5:$Z$448&amp;"")),0)))</f>
        <v/>
      </c>
    </row>
    <row r="239" spans="2:27" x14ac:dyDescent="0.25">
      <c r="B239" s="160" t="str">
        <f>IFERROR(INDEX($V$5:$V$448,MATCH(ROWS($B$5:B239),$W$5:$W$448,0)),"")</f>
        <v/>
      </c>
      <c r="C239" s="265" t="str">
        <f>IF($B239="","",COUNTIF(Jan[Resident Name],$B239))</f>
        <v/>
      </c>
      <c r="D239" s="265" t="str">
        <f>IF($B239="","",COUNTIF(Feb[Resident Name],$B239))</f>
        <v/>
      </c>
      <c r="E239" s="265" t="str">
        <f>IF($B239="","",COUNTIF(Mar[Resident Name],$B239))</f>
        <v/>
      </c>
      <c r="F239" s="265" t="str">
        <f>IF($B239="","",COUNTIF(Apr[Resident Name],$B239))</f>
        <v/>
      </c>
      <c r="G239" s="265" t="str">
        <f>IF($B239="","",COUNTIF(May[Resident Name],$B239))</f>
        <v/>
      </c>
      <c r="H239" s="265" t="str">
        <f>IF($B239="","",COUNTIF(June[Resident Name],$B239))</f>
        <v/>
      </c>
      <c r="I239" s="265" t="str">
        <f>IF($B239="","",COUNTIF(July[Resident Name],$B239))</f>
        <v/>
      </c>
      <c r="J239" s="265" t="str">
        <f>IF($B239="","",COUNTIF(Aug[Resident Name],$B239))</f>
        <v/>
      </c>
      <c r="K239" s="265" t="str">
        <f>IF($B239="","",COUNTIF(Sept[Resident Name],$B239))</f>
        <v/>
      </c>
      <c r="L239" s="265" t="str">
        <f>IF($B239="","",COUNTIF(Oct[Resident Name],$B239))</f>
        <v/>
      </c>
      <c r="M239" s="265" t="str">
        <f>IF($B239="","",COUNTIF(Nov[Resident Name],$B239))</f>
        <v/>
      </c>
      <c r="N239" s="265" t="str">
        <f>IF($B239="","",COUNTIF(Dec[Resident Name],$B239))</f>
        <v/>
      </c>
      <c r="O239" s="265" t="str">
        <f t="shared" si="9"/>
        <v/>
      </c>
      <c r="P239" s="11"/>
      <c r="R239" s="160" t="str">
        <f>IFERROR(INDEX($B$5:$B$172,MATCH(ROWS($R$5:R239),$X$5:$X$172,0)),"")</f>
        <v/>
      </c>
      <c r="S239" s="76" t="str">
        <f>IF($R239="","",INDEX($O$5:$O$172,MATCH(ROWS($R$5:R239),$X$5:$X$172,0)))</f>
        <v/>
      </c>
      <c r="U239" s="160" t="str">
        <f>IFERROR(INDEX($Z$5:$Z$448,MATCH(ROWS($U$5:U239),$AA$5:$AA$448,0)),"")</f>
        <v/>
      </c>
      <c r="V239" s="274" t="str">
        <f>IF(July!C16="","",July!C16)</f>
        <v/>
      </c>
      <c r="W239" s="274" t="str" cm="1">
        <f t="array" ref="W239">IF(V239="","",IF(COUNTIF($V$5:V239,V239)&gt;1,"",ROUND(1+SUMPRODUCT(($V$5:$V$448&lt;&gt;"")*($V$5:$V$448&lt;V239)/COUNTIF($V$5:$V$448,$V$5:$V$448&amp;"")),0)))</f>
        <v/>
      </c>
      <c r="X239" s="274"/>
      <c r="Z239" s="274" t="str">
        <f>IF(July!H16="Major Injury",July!C16,"")</f>
        <v/>
      </c>
      <c r="AA239" s="274" t="str" cm="1">
        <f t="array" ref="AA239">IF(Z239="","",IF(COUNTIF($Z$5:Z239,Z239)&gt;1,"",ROUND(1+SUMPRODUCT(($Z$5:$Z$448&lt;&gt;"")*($Z$5:$Z$448&lt;Z239)/COUNTIF($Z$5:$Z$448,$Z$5:$Z$448&amp;"")),0)))</f>
        <v/>
      </c>
    </row>
    <row r="240" spans="2:27" x14ac:dyDescent="0.25">
      <c r="B240" s="160" t="str">
        <f>IFERROR(INDEX($V$5:$V$448,MATCH(ROWS($B$5:B240),$W$5:$W$448,0)),"")</f>
        <v/>
      </c>
      <c r="C240" s="265" t="str">
        <f>IF($B240="","",COUNTIF(Jan[Resident Name],$B240))</f>
        <v/>
      </c>
      <c r="D240" s="265" t="str">
        <f>IF($B240="","",COUNTIF(Feb[Resident Name],$B240))</f>
        <v/>
      </c>
      <c r="E240" s="265" t="str">
        <f>IF($B240="","",COUNTIF(Mar[Resident Name],$B240))</f>
        <v/>
      </c>
      <c r="F240" s="265" t="str">
        <f>IF($B240="","",COUNTIF(Apr[Resident Name],$B240))</f>
        <v/>
      </c>
      <c r="G240" s="265" t="str">
        <f>IF($B240="","",COUNTIF(May[Resident Name],$B240))</f>
        <v/>
      </c>
      <c r="H240" s="265" t="str">
        <f>IF($B240="","",COUNTIF(June[Resident Name],$B240))</f>
        <v/>
      </c>
      <c r="I240" s="265" t="str">
        <f>IF($B240="","",COUNTIF(July[Resident Name],$B240))</f>
        <v/>
      </c>
      <c r="J240" s="265" t="str">
        <f>IF($B240="","",COUNTIF(Aug[Resident Name],$B240))</f>
        <v/>
      </c>
      <c r="K240" s="265" t="str">
        <f>IF($B240="","",COUNTIF(Sept[Resident Name],$B240))</f>
        <v/>
      </c>
      <c r="L240" s="265" t="str">
        <f>IF($B240="","",COUNTIF(Oct[Resident Name],$B240))</f>
        <v/>
      </c>
      <c r="M240" s="265" t="str">
        <f>IF($B240="","",COUNTIF(Nov[Resident Name],$B240))</f>
        <v/>
      </c>
      <c r="N240" s="265" t="str">
        <f>IF($B240="","",COUNTIF(Dec[Resident Name],$B240))</f>
        <v/>
      </c>
      <c r="O240" s="265" t="str">
        <f t="shared" si="9"/>
        <v/>
      </c>
      <c r="P240" s="11"/>
      <c r="R240" s="160" t="str">
        <f>IFERROR(INDEX($B$5:$B$172,MATCH(ROWS($R$5:R240),$X$5:$X$172,0)),"")</f>
        <v/>
      </c>
      <c r="S240" s="76" t="str">
        <f>IF($R240="","",INDEX($O$5:$O$172,MATCH(ROWS($R$5:R240),$X$5:$X$172,0)))</f>
        <v/>
      </c>
      <c r="U240" s="160" t="str">
        <f>IFERROR(INDEX($Z$5:$Z$448,MATCH(ROWS($U$5:U240),$AA$5:$AA$448,0)),"")</f>
        <v/>
      </c>
      <c r="V240" s="274" t="str">
        <f>IF(July!C17="","",July!C17)</f>
        <v/>
      </c>
      <c r="W240" s="274" t="str" cm="1">
        <f t="array" ref="W240">IF(V240="","",IF(COUNTIF($V$5:V240,V240)&gt;1,"",ROUND(1+SUMPRODUCT(($V$5:$V$448&lt;&gt;"")*($V$5:$V$448&lt;V240)/COUNTIF($V$5:$V$448,$V$5:$V$448&amp;"")),0)))</f>
        <v/>
      </c>
      <c r="X240" s="274"/>
      <c r="Z240" s="274" t="str">
        <f>IF(July!H17="Major Injury",July!C17,"")</f>
        <v/>
      </c>
      <c r="AA240" s="274" t="str" cm="1">
        <f t="array" ref="AA240">IF(Z240="","",IF(COUNTIF($Z$5:Z240,Z240)&gt;1,"",ROUND(1+SUMPRODUCT(($Z$5:$Z$448&lt;&gt;"")*($Z$5:$Z$448&lt;Z240)/COUNTIF($Z$5:$Z$448,$Z$5:$Z$448&amp;"")),0)))</f>
        <v/>
      </c>
    </row>
    <row r="241" spans="2:27" x14ac:dyDescent="0.25">
      <c r="B241" s="160" t="str">
        <f>IFERROR(INDEX($V$5:$V$448,MATCH(ROWS($B$5:B241),$W$5:$W$448,0)),"")</f>
        <v/>
      </c>
      <c r="C241" s="265" t="str">
        <f>IF($B241="","",COUNTIF(Jan[Resident Name],$B241))</f>
        <v/>
      </c>
      <c r="D241" s="265" t="str">
        <f>IF($B241="","",COUNTIF(Feb[Resident Name],$B241))</f>
        <v/>
      </c>
      <c r="E241" s="265" t="str">
        <f>IF($B241="","",COUNTIF(Mar[Resident Name],$B241))</f>
        <v/>
      </c>
      <c r="F241" s="265" t="str">
        <f>IF($B241="","",COUNTIF(Apr[Resident Name],$B241))</f>
        <v/>
      </c>
      <c r="G241" s="265" t="str">
        <f>IF($B241="","",COUNTIF(May[Resident Name],$B241))</f>
        <v/>
      </c>
      <c r="H241" s="265" t="str">
        <f>IF($B241="","",COUNTIF(June[Resident Name],$B241))</f>
        <v/>
      </c>
      <c r="I241" s="265" t="str">
        <f>IF($B241="","",COUNTIF(July[Resident Name],$B241))</f>
        <v/>
      </c>
      <c r="J241" s="265" t="str">
        <f>IF($B241="","",COUNTIF(Aug[Resident Name],$B241))</f>
        <v/>
      </c>
      <c r="K241" s="265" t="str">
        <f>IF($B241="","",COUNTIF(Sept[Resident Name],$B241))</f>
        <v/>
      </c>
      <c r="L241" s="265" t="str">
        <f>IF($B241="","",COUNTIF(Oct[Resident Name],$B241))</f>
        <v/>
      </c>
      <c r="M241" s="265" t="str">
        <f>IF($B241="","",COUNTIF(Nov[Resident Name],$B241))</f>
        <v/>
      </c>
      <c r="N241" s="265" t="str">
        <f>IF($B241="","",COUNTIF(Dec[Resident Name],$B241))</f>
        <v/>
      </c>
      <c r="O241" s="265" t="str">
        <f t="shared" si="9"/>
        <v/>
      </c>
      <c r="P241" s="11"/>
      <c r="R241" s="160" t="str">
        <f>IFERROR(INDEX($B$5:$B$172,MATCH(ROWS($R$5:R241),$X$5:$X$172,0)),"")</f>
        <v/>
      </c>
      <c r="S241" s="76" t="str">
        <f>IF($R241="","",INDEX($O$5:$O$172,MATCH(ROWS($R$5:R241),$X$5:$X$172,0)))</f>
        <v/>
      </c>
      <c r="U241" s="160" t="str">
        <f>IFERROR(INDEX($Z$5:$Z$448,MATCH(ROWS($U$5:U241),$AA$5:$AA$448,0)),"")</f>
        <v/>
      </c>
      <c r="V241" s="274" t="str">
        <f>IF(July!C18="","",July!C18)</f>
        <v/>
      </c>
      <c r="W241" s="274" t="str" cm="1">
        <f t="array" ref="W241">IF(V241="","",IF(COUNTIF($V$5:V241,V241)&gt;1,"",ROUND(1+SUMPRODUCT(($V$5:$V$448&lt;&gt;"")*($V$5:$V$448&lt;V241)/COUNTIF($V$5:$V$448,$V$5:$V$448&amp;"")),0)))</f>
        <v/>
      </c>
      <c r="X241" s="274"/>
      <c r="Z241" s="274" t="str">
        <f>IF(July!H18="Major Injury",July!C18,"")</f>
        <v/>
      </c>
      <c r="AA241" s="274" t="str" cm="1">
        <f t="array" ref="AA241">IF(Z241="","",IF(COUNTIF($Z$5:Z241,Z241)&gt;1,"",ROUND(1+SUMPRODUCT(($Z$5:$Z$448&lt;&gt;"")*($Z$5:$Z$448&lt;Z241)/COUNTIF($Z$5:$Z$448,$Z$5:$Z$448&amp;"")),0)))</f>
        <v/>
      </c>
    </row>
    <row r="242" spans="2:27" x14ac:dyDescent="0.25">
      <c r="B242" s="160" t="str">
        <f>IFERROR(INDEX($V$5:$V$448,MATCH(ROWS($B$5:B242),$W$5:$W$448,0)),"")</f>
        <v/>
      </c>
      <c r="C242" s="265" t="str">
        <f>IF($B242="","",COUNTIF(Jan[Resident Name],$B242))</f>
        <v/>
      </c>
      <c r="D242" s="265" t="str">
        <f>IF($B242="","",COUNTIF(Feb[Resident Name],$B242))</f>
        <v/>
      </c>
      <c r="E242" s="265" t="str">
        <f>IF($B242="","",COUNTIF(Mar[Resident Name],$B242))</f>
        <v/>
      </c>
      <c r="F242" s="265" t="str">
        <f>IF($B242="","",COUNTIF(Apr[Resident Name],$B242))</f>
        <v/>
      </c>
      <c r="G242" s="265" t="str">
        <f>IF($B242="","",COUNTIF(May[Resident Name],$B242))</f>
        <v/>
      </c>
      <c r="H242" s="265" t="str">
        <f>IF($B242="","",COUNTIF(June[Resident Name],$B242))</f>
        <v/>
      </c>
      <c r="I242" s="265" t="str">
        <f>IF($B242="","",COUNTIF(July[Resident Name],$B242))</f>
        <v/>
      </c>
      <c r="J242" s="265" t="str">
        <f>IF($B242="","",COUNTIF(Aug[Resident Name],$B242))</f>
        <v/>
      </c>
      <c r="K242" s="265" t="str">
        <f>IF($B242="","",COUNTIF(Sept[Resident Name],$B242))</f>
        <v/>
      </c>
      <c r="L242" s="265" t="str">
        <f>IF($B242="","",COUNTIF(Oct[Resident Name],$B242))</f>
        <v/>
      </c>
      <c r="M242" s="265" t="str">
        <f>IF($B242="","",COUNTIF(Nov[Resident Name],$B242))</f>
        <v/>
      </c>
      <c r="N242" s="265" t="str">
        <f>IF($B242="","",COUNTIF(Dec[Resident Name],$B242))</f>
        <v/>
      </c>
      <c r="O242" s="265" t="str">
        <f t="shared" si="9"/>
        <v/>
      </c>
      <c r="P242" s="11"/>
      <c r="R242" s="160" t="str">
        <f>IFERROR(INDEX($B$5:$B$172,MATCH(ROWS($R$5:R242),$X$5:$X$172,0)),"")</f>
        <v/>
      </c>
      <c r="S242" s="76" t="str">
        <f>IF($R242="","",INDEX($O$5:$O$172,MATCH(ROWS($R$5:R242),$X$5:$X$172,0)))</f>
        <v/>
      </c>
      <c r="U242" s="160" t="str">
        <f>IFERROR(INDEX($Z$5:$Z$448,MATCH(ROWS($U$5:U242),$AA$5:$AA$448,0)),"")</f>
        <v/>
      </c>
      <c r="V242" s="274" t="str">
        <f>IF(July!C19="","",July!C19)</f>
        <v/>
      </c>
      <c r="W242" s="274" t="str" cm="1">
        <f t="array" ref="W242">IF(V242="","",IF(COUNTIF($V$5:V242,V242)&gt;1,"",ROUND(1+SUMPRODUCT(($V$5:$V$448&lt;&gt;"")*($V$5:$V$448&lt;V242)/COUNTIF($V$5:$V$448,$V$5:$V$448&amp;"")),0)))</f>
        <v/>
      </c>
      <c r="X242" s="274"/>
      <c r="Z242" s="274" t="str">
        <f>IF(July!H19="Major Injury",July!C19,"")</f>
        <v/>
      </c>
      <c r="AA242" s="274" t="str" cm="1">
        <f t="array" ref="AA242">IF(Z242="","",IF(COUNTIF($Z$5:Z242,Z242)&gt;1,"",ROUND(1+SUMPRODUCT(($Z$5:$Z$448&lt;&gt;"")*($Z$5:$Z$448&lt;Z242)/COUNTIF($Z$5:$Z$448,$Z$5:$Z$448&amp;"")),0)))</f>
        <v/>
      </c>
    </row>
    <row r="243" spans="2:27" x14ac:dyDescent="0.25">
      <c r="B243" s="160" t="str">
        <f>IFERROR(INDEX($V$5:$V$448,MATCH(ROWS($B$5:B243),$W$5:$W$448,0)),"")</f>
        <v/>
      </c>
      <c r="C243" s="265" t="str">
        <f>IF($B243="","",COUNTIF(Jan[Resident Name],$B243))</f>
        <v/>
      </c>
      <c r="D243" s="265" t="str">
        <f>IF($B243="","",COUNTIF(Feb[Resident Name],$B243))</f>
        <v/>
      </c>
      <c r="E243" s="265" t="str">
        <f>IF($B243="","",COUNTIF(Mar[Resident Name],$B243))</f>
        <v/>
      </c>
      <c r="F243" s="265" t="str">
        <f>IF($B243="","",COUNTIF(Apr[Resident Name],$B243))</f>
        <v/>
      </c>
      <c r="G243" s="265" t="str">
        <f>IF($B243="","",COUNTIF(May[Resident Name],$B243))</f>
        <v/>
      </c>
      <c r="H243" s="265" t="str">
        <f>IF($B243="","",COUNTIF(June[Resident Name],$B243))</f>
        <v/>
      </c>
      <c r="I243" s="265" t="str">
        <f>IF($B243="","",COUNTIF(July[Resident Name],$B243))</f>
        <v/>
      </c>
      <c r="J243" s="265" t="str">
        <f>IF($B243="","",COUNTIF(Aug[Resident Name],$B243))</f>
        <v/>
      </c>
      <c r="K243" s="265" t="str">
        <f>IF($B243="","",COUNTIF(Sept[Resident Name],$B243))</f>
        <v/>
      </c>
      <c r="L243" s="265" t="str">
        <f>IF($B243="","",COUNTIF(Oct[Resident Name],$B243))</f>
        <v/>
      </c>
      <c r="M243" s="265" t="str">
        <f>IF($B243="","",COUNTIF(Nov[Resident Name],$B243))</f>
        <v/>
      </c>
      <c r="N243" s="265" t="str">
        <f>IF($B243="","",COUNTIF(Dec[Resident Name],$B243))</f>
        <v/>
      </c>
      <c r="O243" s="265" t="str">
        <f t="shared" si="9"/>
        <v/>
      </c>
      <c r="P243" s="11"/>
      <c r="R243" s="160" t="str">
        <f>IFERROR(INDEX($B$5:$B$172,MATCH(ROWS($R$5:R243),$X$5:$X$172,0)),"")</f>
        <v/>
      </c>
      <c r="S243" s="76" t="str">
        <f>IF($R243="","",INDEX($O$5:$O$172,MATCH(ROWS($R$5:R243),$X$5:$X$172,0)))</f>
        <v/>
      </c>
      <c r="U243" s="160" t="str">
        <f>IFERROR(INDEX($Z$5:$Z$448,MATCH(ROWS($U$5:U243),$AA$5:$AA$448,0)),"")</f>
        <v/>
      </c>
      <c r="V243" s="274" t="str">
        <f>IF(July!C20="","",July!C20)</f>
        <v/>
      </c>
      <c r="W243" s="274" t="str" cm="1">
        <f t="array" ref="W243">IF(V243="","",IF(COUNTIF($V$5:V243,V243)&gt;1,"",ROUND(1+SUMPRODUCT(($V$5:$V$448&lt;&gt;"")*($V$5:$V$448&lt;V243)/COUNTIF($V$5:$V$448,$V$5:$V$448&amp;"")),0)))</f>
        <v/>
      </c>
      <c r="X243" s="274"/>
      <c r="Z243" s="274" t="str">
        <f>IF(July!H20="Major Injury",July!C20,"")</f>
        <v/>
      </c>
      <c r="AA243" s="274" t="str" cm="1">
        <f t="array" ref="AA243">IF(Z243="","",IF(COUNTIF($Z$5:Z243,Z243)&gt;1,"",ROUND(1+SUMPRODUCT(($Z$5:$Z$448&lt;&gt;"")*($Z$5:$Z$448&lt;Z243)/COUNTIF($Z$5:$Z$448,$Z$5:$Z$448&amp;"")),0)))</f>
        <v/>
      </c>
    </row>
    <row r="244" spans="2:27" x14ac:dyDescent="0.25">
      <c r="B244" s="160" t="str">
        <f>IFERROR(INDEX($V$5:$V$448,MATCH(ROWS($B$5:B244),$W$5:$W$448,0)),"")</f>
        <v/>
      </c>
      <c r="C244" s="265" t="str">
        <f>IF($B244="","",COUNTIF(Jan[Resident Name],$B244))</f>
        <v/>
      </c>
      <c r="D244" s="265" t="str">
        <f>IF($B244="","",COUNTIF(Feb[Resident Name],$B244))</f>
        <v/>
      </c>
      <c r="E244" s="265" t="str">
        <f>IF($B244="","",COUNTIF(Mar[Resident Name],$B244))</f>
        <v/>
      </c>
      <c r="F244" s="265" t="str">
        <f>IF($B244="","",COUNTIF(Apr[Resident Name],$B244))</f>
        <v/>
      </c>
      <c r="G244" s="265" t="str">
        <f>IF($B244="","",COUNTIF(May[Resident Name],$B244))</f>
        <v/>
      </c>
      <c r="H244" s="265" t="str">
        <f>IF($B244="","",COUNTIF(June[Resident Name],$B244))</f>
        <v/>
      </c>
      <c r="I244" s="265" t="str">
        <f>IF($B244="","",COUNTIF(July[Resident Name],$B244))</f>
        <v/>
      </c>
      <c r="J244" s="265" t="str">
        <f>IF($B244="","",COUNTIF(Aug[Resident Name],$B244))</f>
        <v/>
      </c>
      <c r="K244" s="265" t="str">
        <f>IF($B244="","",COUNTIF(Sept[Resident Name],$B244))</f>
        <v/>
      </c>
      <c r="L244" s="265" t="str">
        <f>IF($B244="","",COUNTIF(Oct[Resident Name],$B244))</f>
        <v/>
      </c>
      <c r="M244" s="265" t="str">
        <f>IF($B244="","",COUNTIF(Nov[Resident Name],$B244))</f>
        <v/>
      </c>
      <c r="N244" s="265" t="str">
        <f>IF($B244="","",COUNTIF(Dec[Resident Name],$B244))</f>
        <v/>
      </c>
      <c r="O244" s="265" t="str">
        <f t="shared" si="9"/>
        <v/>
      </c>
      <c r="P244" s="11"/>
      <c r="R244" s="160" t="str">
        <f>IFERROR(INDEX($B$5:$B$172,MATCH(ROWS($R$5:R244),$X$5:$X$172,0)),"")</f>
        <v/>
      </c>
      <c r="S244" s="76" t="str">
        <f>IF($R244="","",INDEX($O$5:$O$172,MATCH(ROWS($R$5:R244),$X$5:$X$172,0)))</f>
        <v/>
      </c>
      <c r="U244" s="160" t="str">
        <f>IFERROR(INDEX($Z$5:$Z$448,MATCH(ROWS($U$5:U244),$AA$5:$AA$448,0)),"")</f>
        <v/>
      </c>
      <c r="V244" s="274" t="str">
        <f>IF(July!C21="","",July!C21)</f>
        <v/>
      </c>
      <c r="W244" s="274" t="str" cm="1">
        <f t="array" ref="W244">IF(V244="","",IF(COUNTIF($V$5:V244,V244)&gt;1,"",ROUND(1+SUMPRODUCT(($V$5:$V$448&lt;&gt;"")*($V$5:$V$448&lt;V244)/COUNTIF($V$5:$V$448,$V$5:$V$448&amp;"")),0)))</f>
        <v/>
      </c>
      <c r="X244" s="274"/>
      <c r="Z244" s="274" t="str">
        <f>IF(July!H21="Major Injury",July!C21,"")</f>
        <v/>
      </c>
      <c r="AA244" s="274" t="str" cm="1">
        <f t="array" ref="AA244">IF(Z244="","",IF(COUNTIF($Z$5:Z244,Z244)&gt;1,"",ROUND(1+SUMPRODUCT(($Z$5:$Z$448&lt;&gt;"")*($Z$5:$Z$448&lt;Z244)/COUNTIF($Z$5:$Z$448,$Z$5:$Z$448&amp;"")),0)))</f>
        <v/>
      </c>
    </row>
    <row r="245" spans="2:27" x14ac:dyDescent="0.25">
      <c r="B245" s="160" t="str">
        <f>IFERROR(INDEX($V$5:$V$448,MATCH(ROWS($B$5:B245),$W$5:$W$448,0)),"")</f>
        <v/>
      </c>
      <c r="C245" s="265" t="str">
        <f>IF($B245="","",COUNTIF(Jan[Resident Name],$B245))</f>
        <v/>
      </c>
      <c r="D245" s="265" t="str">
        <f>IF($B245="","",COUNTIF(Feb[Resident Name],$B245))</f>
        <v/>
      </c>
      <c r="E245" s="265" t="str">
        <f>IF($B245="","",COUNTIF(Mar[Resident Name],$B245))</f>
        <v/>
      </c>
      <c r="F245" s="265" t="str">
        <f>IF($B245="","",COUNTIF(Apr[Resident Name],$B245))</f>
        <v/>
      </c>
      <c r="G245" s="265" t="str">
        <f>IF($B245="","",COUNTIF(May[Resident Name],$B245))</f>
        <v/>
      </c>
      <c r="H245" s="265" t="str">
        <f>IF($B245="","",COUNTIF(June[Resident Name],$B245))</f>
        <v/>
      </c>
      <c r="I245" s="265" t="str">
        <f>IF($B245="","",COUNTIF(July[Resident Name],$B245))</f>
        <v/>
      </c>
      <c r="J245" s="265" t="str">
        <f>IF($B245="","",COUNTIF(Aug[Resident Name],$B245))</f>
        <v/>
      </c>
      <c r="K245" s="265" t="str">
        <f>IF($B245="","",COUNTIF(Sept[Resident Name],$B245))</f>
        <v/>
      </c>
      <c r="L245" s="265" t="str">
        <f>IF($B245="","",COUNTIF(Oct[Resident Name],$B245))</f>
        <v/>
      </c>
      <c r="M245" s="265" t="str">
        <f>IF($B245="","",COUNTIF(Nov[Resident Name],$B245))</f>
        <v/>
      </c>
      <c r="N245" s="265" t="str">
        <f>IF($B245="","",COUNTIF(Dec[Resident Name],$B245))</f>
        <v/>
      </c>
      <c r="O245" s="265" t="str">
        <f t="shared" si="9"/>
        <v/>
      </c>
      <c r="P245" s="11"/>
      <c r="R245" s="160" t="str">
        <f>IFERROR(INDEX($B$5:$B$172,MATCH(ROWS($R$5:R245),$X$5:$X$172,0)),"")</f>
        <v/>
      </c>
      <c r="S245" s="76" t="str">
        <f>IF($R245="","",INDEX($O$5:$O$172,MATCH(ROWS($R$5:R245),$X$5:$X$172,0)))</f>
        <v/>
      </c>
      <c r="U245" s="160" t="str">
        <f>IFERROR(INDEX($Z$5:$Z$448,MATCH(ROWS($U$5:U245),$AA$5:$AA$448,0)),"")</f>
        <v/>
      </c>
      <c r="V245" s="274" t="str">
        <f>IF(July!C22="","",July!C22)</f>
        <v/>
      </c>
      <c r="W245" s="274" t="str" cm="1">
        <f t="array" ref="W245">IF(V245="","",IF(COUNTIF($V$5:V245,V245)&gt;1,"",ROUND(1+SUMPRODUCT(($V$5:$V$448&lt;&gt;"")*($V$5:$V$448&lt;V245)/COUNTIF($V$5:$V$448,$V$5:$V$448&amp;"")),0)))</f>
        <v/>
      </c>
      <c r="X245" s="274"/>
      <c r="Z245" s="274" t="str">
        <f>IF(July!H22="Major Injury",July!C22,"")</f>
        <v/>
      </c>
      <c r="AA245" s="274" t="str" cm="1">
        <f t="array" ref="AA245">IF(Z245="","",IF(COUNTIF($Z$5:Z245,Z245)&gt;1,"",ROUND(1+SUMPRODUCT(($Z$5:$Z$448&lt;&gt;"")*($Z$5:$Z$448&lt;Z245)/COUNTIF($Z$5:$Z$448,$Z$5:$Z$448&amp;"")),0)))</f>
        <v/>
      </c>
    </row>
    <row r="246" spans="2:27" x14ac:dyDescent="0.25">
      <c r="B246" s="160" t="str">
        <f>IFERROR(INDEX($V$5:$V$448,MATCH(ROWS($B$5:B246),$W$5:$W$448,0)),"")</f>
        <v/>
      </c>
      <c r="C246" s="265" t="str">
        <f>IF($B246="","",COUNTIF(Jan[Resident Name],$B246))</f>
        <v/>
      </c>
      <c r="D246" s="265" t="str">
        <f>IF($B246="","",COUNTIF(Feb[Resident Name],$B246))</f>
        <v/>
      </c>
      <c r="E246" s="265" t="str">
        <f>IF($B246="","",COUNTIF(Mar[Resident Name],$B246))</f>
        <v/>
      </c>
      <c r="F246" s="265" t="str">
        <f>IF($B246="","",COUNTIF(Apr[Resident Name],$B246))</f>
        <v/>
      </c>
      <c r="G246" s="265" t="str">
        <f>IF($B246="","",COUNTIF(May[Resident Name],$B246))</f>
        <v/>
      </c>
      <c r="H246" s="265" t="str">
        <f>IF($B246="","",COUNTIF(June[Resident Name],$B246))</f>
        <v/>
      </c>
      <c r="I246" s="265" t="str">
        <f>IF($B246="","",COUNTIF(July[Resident Name],$B246))</f>
        <v/>
      </c>
      <c r="J246" s="265" t="str">
        <f>IF($B246="","",COUNTIF(Aug[Resident Name],$B246))</f>
        <v/>
      </c>
      <c r="K246" s="265" t="str">
        <f>IF($B246="","",COUNTIF(Sept[Resident Name],$B246))</f>
        <v/>
      </c>
      <c r="L246" s="265" t="str">
        <f>IF($B246="","",COUNTIF(Oct[Resident Name],$B246))</f>
        <v/>
      </c>
      <c r="M246" s="265" t="str">
        <f>IF($B246="","",COUNTIF(Nov[Resident Name],$B246))</f>
        <v/>
      </c>
      <c r="N246" s="265" t="str">
        <f>IF($B246="","",COUNTIF(Dec[Resident Name],$B246))</f>
        <v/>
      </c>
      <c r="O246" s="265" t="str">
        <f t="shared" si="9"/>
        <v/>
      </c>
      <c r="P246" s="11"/>
      <c r="R246" s="160" t="str">
        <f>IFERROR(INDEX($B$5:$B$172,MATCH(ROWS($R$5:R246),$X$5:$X$172,0)),"")</f>
        <v/>
      </c>
      <c r="S246" s="76" t="str">
        <f>IF($R246="","",INDEX($O$5:$O$172,MATCH(ROWS($R$5:R246),$X$5:$X$172,0)))</f>
        <v/>
      </c>
      <c r="U246" s="160" t="str">
        <f>IFERROR(INDEX($Z$5:$Z$448,MATCH(ROWS($U$5:U246),$AA$5:$AA$448,0)),"")</f>
        <v/>
      </c>
      <c r="V246" s="274" t="str">
        <f>IF(July!C23="","",July!C23)</f>
        <v/>
      </c>
      <c r="W246" s="274" t="str" cm="1">
        <f t="array" ref="W246">IF(V246="","",IF(COUNTIF($V$5:V246,V246)&gt;1,"",ROUND(1+SUMPRODUCT(($V$5:$V$448&lt;&gt;"")*($V$5:$V$448&lt;V246)/COUNTIF($V$5:$V$448,$V$5:$V$448&amp;"")),0)))</f>
        <v/>
      </c>
      <c r="X246" s="274"/>
      <c r="Z246" s="274" t="str">
        <f>IF(July!H23="Major Injury",July!C23,"")</f>
        <v/>
      </c>
      <c r="AA246" s="274" t="str" cm="1">
        <f t="array" ref="AA246">IF(Z246="","",IF(COUNTIF($Z$5:Z246,Z246)&gt;1,"",ROUND(1+SUMPRODUCT(($Z$5:$Z$448&lt;&gt;"")*($Z$5:$Z$448&lt;Z246)/COUNTIF($Z$5:$Z$448,$Z$5:$Z$448&amp;"")),0)))</f>
        <v/>
      </c>
    </row>
    <row r="247" spans="2:27" x14ac:dyDescent="0.25">
      <c r="B247" s="160" t="str">
        <f>IFERROR(INDEX($V$5:$V$448,MATCH(ROWS($B$5:B247),$W$5:$W$448,0)),"")</f>
        <v/>
      </c>
      <c r="C247" s="265" t="str">
        <f>IF($B247="","",COUNTIF(Jan[Resident Name],$B247))</f>
        <v/>
      </c>
      <c r="D247" s="265" t="str">
        <f>IF($B247="","",COUNTIF(Feb[Resident Name],$B247))</f>
        <v/>
      </c>
      <c r="E247" s="265" t="str">
        <f>IF($B247="","",COUNTIF(Mar[Resident Name],$B247))</f>
        <v/>
      </c>
      <c r="F247" s="265" t="str">
        <f>IF($B247="","",COUNTIF(Apr[Resident Name],$B247))</f>
        <v/>
      </c>
      <c r="G247" s="265" t="str">
        <f>IF($B247="","",COUNTIF(May[Resident Name],$B247))</f>
        <v/>
      </c>
      <c r="H247" s="265" t="str">
        <f>IF($B247="","",COUNTIF(June[Resident Name],$B247))</f>
        <v/>
      </c>
      <c r="I247" s="265" t="str">
        <f>IF($B247="","",COUNTIF(July[Resident Name],$B247))</f>
        <v/>
      </c>
      <c r="J247" s="265" t="str">
        <f>IF($B247="","",COUNTIF(Aug[Resident Name],$B247))</f>
        <v/>
      </c>
      <c r="K247" s="265" t="str">
        <f>IF($B247="","",COUNTIF(Sept[Resident Name],$B247))</f>
        <v/>
      </c>
      <c r="L247" s="265" t="str">
        <f>IF($B247="","",COUNTIF(Oct[Resident Name],$B247))</f>
        <v/>
      </c>
      <c r="M247" s="265" t="str">
        <f>IF($B247="","",COUNTIF(Nov[Resident Name],$B247))</f>
        <v/>
      </c>
      <c r="N247" s="265" t="str">
        <f>IF($B247="","",COUNTIF(Dec[Resident Name],$B247))</f>
        <v/>
      </c>
      <c r="O247" s="265" t="str">
        <f t="shared" si="9"/>
        <v/>
      </c>
      <c r="P247" s="11"/>
      <c r="R247" s="160" t="str">
        <f>IFERROR(INDEX($B$5:$B$172,MATCH(ROWS($R$5:R247),$X$5:$X$172,0)),"")</f>
        <v/>
      </c>
      <c r="S247" s="76" t="str">
        <f>IF($R247="","",INDEX($O$5:$O$172,MATCH(ROWS($R$5:R247),$X$5:$X$172,0)))</f>
        <v/>
      </c>
      <c r="U247" s="160" t="str">
        <f>IFERROR(INDEX($Z$5:$Z$448,MATCH(ROWS($U$5:U247),$AA$5:$AA$448,0)),"")</f>
        <v/>
      </c>
      <c r="V247" s="274" t="str">
        <f>IF(July!C24="","",July!C24)</f>
        <v/>
      </c>
      <c r="W247" s="274" t="str" cm="1">
        <f t="array" ref="W247">IF(V247="","",IF(COUNTIF($V$5:V247,V247)&gt;1,"",ROUND(1+SUMPRODUCT(($V$5:$V$448&lt;&gt;"")*($V$5:$V$448&lt;V247)/COUNTIF($V$5:$V$448,$V$5:$V$448&amp;"")),0)))</f>
        <v/>
      </c>
      <c r="X247" s="274"/>
      <c r="Z247" s="274" t="str">
        <f>IF(July!H24="Major Injury",July!C24,"")</f>
        <v/>
      </c>
      <c r="AA247" s="274" t="str" cm="1">
        <f t="array" ref="AA247">IF(Z247="","",IF(COUNTIF($Z$5:Z247,Z247)&gt;1,"",ROUND(1+SUMPRODUCT(($Z$5:$Z$448&lt;&gt;"")*($Z$5:$Z$448&lt;Z247)/COUNTIF($Z$5:$Z$448,$Z$5:$Z$448&amp;"")),0)))</f>
        <v/>
      </c>
    </row>
    <row r="248" spans="2:27" x14ac:dyDescent="0.25">
      <c r="B248" s="160" t="str">
        <f>IFERROR(INDEX($V$5:$V$448,MATCH(ROWS($B$5:B248),$W$5:$W$448,0)),"")</f>
        <v/>
      </c>
      <c r="C248" s="265" t="str">
        <f>IF($B248="","",COUNTIF(Jan[Resident Name],$B248))</f>
        <v/>
      </c>
      <c r="D248" s="265" t="str">
        <f>IF($B248="","",COUNTIF(Feb[Resident Name],$B248))</f>
        <v/>
      </c>
      <c r="E248" s="265" t="str">
        <f>IF($B248="","",COUNTIF(Mar[Resident Name],$B248))</f>
        <v/>
      </c>
      <c r="F248" s="265" t="str">
        <f>IF($B248="","",COUNTIF(Apr[Resident Name],$B248))</f>
        <v/>
      </c>
      <c r="G248" s="265" t="str">
        <f>IF($B248="","",COUNTIF(May[Resident Name],$B248))</f>
        <v/>
      </c>
      <c r="H248" s="265" t="str">
        <f>IF($B248="","",COUNTIF(June[Resident Name],$B248))</f>
        <v/>
      </c>
      <c r="I248" s="265" t="str">
        <f>IF($B248="","",COUNTIF(July[Resident Name],$B248))</f>
        <v/>
      </c>
      <c r="J248" s="265" t="str">
        <f>IF($B248="","",COUNTIF(Aug[Resident Name],$B248))</f>
        <v/>
      </c>
      <c r="K248" s="265" t="str">
        <f>IF($B248="","",COUNTIF(Sept[Resident Name],$B248))</f>
        <v/>
      </c>
      <c r="L248" s="265" t="str">
        <f>IF($B248="","",COUNTIF(Oct[Resident Name],$B248))</f>
        <v/>
      </c>
      <c r="M248" s="265" t="str">
        <f>IF($B248="","",COUNTIF(Nov[Resident Name],$B248))</f>
        <v/>
      </c>
      <c r="N248" s="265" t="str">
        <f>IF($B248="","",COUNTIF(Dec[Resident Name],$B248))</f>
        <v/>
      </c>
      <c r="O248" s="265" t="str">
        <f t="shared" si="9"/>
        <v/>
      </c>
      <c r="P248" s="11"/>
      <c r="R248" s="160" t="str">
        <f>IFERROR(INDEX($B$5:$B$172,MATCH(ROWS($R$5:R248),$X$5:$X$172,0)),"")</f>
        <v/>
      </c>
      <c r="S248" s="76" t="str">
        <f>IF($R248="","",INDEX($O$5:$O$172,MATCH(ROWS($R$5:R248),$X$5:$X$172,0)))</f>
        <v/>
      </c>
      <c r="U248" s="160" t="str">
        <f>IFERROR(INDEX($Z$5:$Z$448,MATCH(ROWS($U$5:U248),$AA$5:$AA$448,0)),"")</f>
        <v/>
      </c>
      <c r="V248" s="274" t="str">
        <f>IF(July!C25="","",July!C25)</f>
        <v/>
      </c>
      <c r="W248" s="274" t="str" cm="1">
        <f t="array" ref="W248">IF(V248="","",IF(COUNTIF($V$5:V248,V248)&gt;1,"",ROUND(1+SUMPRODUCT(($V$5:$V$448&lt;&gt;"")*($V$5:$V$448&lt;V248)/COUNTIF($V$5:$V$448,$V$5:$V$448&amp;"")),0)))</f>
        <v/>
      </c>
      <c r="X248" s="274"/>
      <c r="Z248" s="274" t="str">
        <f>IF(July!H25="Major Injury",July!C25,"")</f>
        <v/>
      </c>
      <c r="AA248" s="274" t="str" cm="1">
        <f t="array" ref="AA248">IF(Z248="","",IF(COUNTIF($Z$5:Z248,Z248)&gt;1,"",ROUND(1+SUMPRODUCT(($Z$5:$Z$448&lt;&gt;"")*($Z$5:$Z$448&lt;Z248)/COUNTIF($Z$5:$Z$448,$Z$5:$Z$448&amp;"")),0)))</f>
        <v/>
      </c>
    </row>
    <row r="249" spans="2:27" x14ac:dyDescent="0.25">
      <c r="B249" s="160" t="str">
        <f>IFERROR(INDEX($V$5:$V$448,MATCH(ROWS($B$5:B249),$W$5:$W$448,0)),"")</f>
        <v/>
      </c>
      <c r="C249" s="265" t="str">
        <f>IF($B249="","",COUNTIF(Jan[Resident Name],$B249))</f>
        <v/>
      </c>
      <c r="D249" s="265" t="str">
        <f>IF($B249="","",COUNTIF(Feb[Resident Name],$B249))</f>
        <v/>
      </c>
      <c r="E249" s="265" t="str">
        <f>IF($B249="","",COUNTIF(Mar[Resident Name],$B249))</f>
        <v/>
      </c>
      <c r="F249" s="265" t="str">
        <f>IF($B249="","",COUNTIF(Apr[Resident Name],$B249))</f>
        <v/>
      </c>
      <c r="G249" s="265" t="str">
        <f>IF($B249="","",COUNTIF(May[Resident Name],$B249))</f>
        <v/>
      </c>
      <c r="H249" s="265" t="str">
        <f>IF($B249="","",COUNTIF(June[Resident Name],$B249))</f>
        <v/>
      </c>
      <c r="I249" s="265" t="str">
        <f>IF($B249="","",COUNTIF(July[Resident Name],$B249))</f>
        <v/>
      </c>
      <c r="J249" s="265" t="str">
        <f>IF($B249="","",COUNTIF(Aug[Resident Name],$B249))</f>
        <v/>
      </c>
      <c r="K249" s="265" t="str">
        <f>IF($B249="","",COUNTIF(Sept[Resident Name],$B249))</f>
        <v/>
      </c>
      <c r="L249" s="265" t="str">
        <f>IF($B249="","",COUNTIF(Oct[Resident Name],$B249))</f>
        <v/>
      </c>
      <c r="M249" s="265" t="str">
        <f>IF($B249="","",COUNTIF(Nov[Resident Name],$B249))</f>
        <v/>
      </c>
      <c r="N249" s="265" t="str">
        <f>IF($B249="","",COUNTIF(Dec[Resident Name],$B249))</f>
        <v/>
      </c>
      <c r="O249" s="265" t="str">
        <f t="shared" si="9"/>
        <v/>
      </c>
      <c r="P249" s="11"/>
      <c r="R249" s="160" t="str">
        <f>IFERROR(INDEX($B$5:$B$172,MATCH(ROWS($R$5:R249),$X$5:$X$172,0)),"")</f>
        <v/>
      </c>
      <c r="S249" s="76" t="str">
        <f>IF($R249="","",INDEX($O$5:$O$172,MATCH(ROWS($R$5:R249),$X$5:$X$172,0)))</f>
        <v/>
      </c>
      <c r="U249" s="160" t="str">
        <f>IFERROR(INDEX($Z$5:$Z$448,MATCH(ROWS($U$5:U249),$AA$5:$AA$448,0)),"")</f>
        <v/>
      </c>
      <c r="V249" s="274" t="str">
        <f>IF(July!C26="","",July!C26)</f>
        <v/>
      </c>
      <c r="W249" s="274" t="str" cm="1">
        <f t="array" ref="W249">IF(V249="","",IF(COUNTIF($V$5:V249,V249)&gt;1,"",ROUND(1+SUMPRODUCT(($V$5:$V$448&lt;&gt;"")*($V$5:$V$448&lt;V249)/COUNTIF($V$5:$V$448,$V$5:$V$448&amp;"")),0)))</f>
        <v/>
      </c>
      <c r="X249" s="274"/>
      <c r="Z249" s="274" t="str">
        <f>IF(July!H26="Major Injury",July!C26,"")</f>
        <v/>
      </c>
      <c r="AA249" s="274" t="str" cm="1">
        <f t="array" ref="AA249">IF(Z249="","",IF(COUNTIF($Z$5:Z249,Z249)&gt;1,"",ROUND(1+SUMPRODUCT(($Z$5:$Z$448&lt;&gt;"")*($Z$5:$Z$448&lt;Z249)/COUNTIF($Z$5:$Z$448,$Z$5:$Z$448&amp;"")),0)))</f>
        <v/>
      </c>
    </row>
    <row r="250" spans="2:27" x14ac:dyDescent="0.25">
      <c r="B250" s="160" t="str">
        <f>IFERROR(INDEX($V$5:$V$448,MATCH(ROWS($B$5:B250),$W$5:$W$448,0)),"")</f>
        <v/>
      </c>
      <c r="C250" s="265" t="str">
        <f>IF($B250="","",COUNTIF(Jan[Resident Name],$B250))</f>
        <v/>
      </c>
      <c r="D250" s="265" t="str">
        <f>IF($B250="","",COUNTIF(Feb[Resident Name],$B250))</f>
        <v/>
      </c>
      <c r="E250" s="265" t="str">
        <f>IF($B250="","",COUNTIF(Mar[Resident Name],$B250))</f>
        <v/>
      </c>
      <c r="F250" s="265" t="str">
        <f>IF($B250="","",COUNTIF(Apr[Resident Name],$B250))</f>
        <v/>
      </c>
      <c r="G250" s="265" t="str">
        <f>IF($B250="","",COUNTIF(May[Resident Name],$B250))</f>
        <v/>
      </c>
      <c r="H250" s="265" t="str">
        <f>IF($B250="","",COUNTIF(June[Resident Name],$B250))</f>
        <v/>
      </c>
      <c r="I250" s="265" t="str">
        <f>IF($B250="","",COUNTIF(July[Resident Name],$B250))</f>
        <v/>
      </c>
      <c r="J250" s="265" t="str">
        <f>IF($B250="","",COUNTIF(Aug[Resident Name],$B250))</f>
        <v/>
      </c>
      <c r="K250" s="265" t="str">
        <f>IF($B250="","",COUNTIF(Sept[Resident Name],$B250))</f>
        <v/>
      </c>
      <c r="L250" s="265" t="str">
        <f>IF($B250="","",COUNTIF(Oct[Resident Name],$B250))</f>
        <v/>
      </c>
      <c r="M250" s="265" t="str">
        <f>IF($B250="","",COUNTIF(Nov[Resident Name],$B250))</f>
        <v/>
      </c>
      <c r="N250" s="265" t="str">
        <f>IF($B250="","",COUNTIF(Dec[Resident Name],$B250))</f>
        <v/>
      </c>
      <c r="O250" s="265" t="str">
        <f t="shared" si="9"/>
        <v/>
      </c>
      <c r="P250" s="11"/>
      <c r="R250" s="160" t="str">
        <f>IFERROR(INDEX($B$5:$B$172,MATCH(ROWS($R$5:R250),$X$5:$X$172,0)),"")</f>
        <v/>
      </c>
      <c r="S250" s="76" t="str">
        <f>IF($R250="","",INDEX($O$5:$O$172,MATCH(ROWS($R$5:R250),$X$5:$X$172,0)))</f>
        <v/>
      </c>
      <c r="U250" s="160" t="str">
        <f>IFERROR(INDEX($Z$5:$Z$448,MATCH(ROWS($U$5:U250),$AA$5:$AA$448,0)),"")</f>
        <v/>
      </c>
      <c r="V250" s="274" t="str">
        <f>IF(July!C27="","",July!C27)</f>
        <v/>
      </c>
      <c r="W250" s="274" t="str" cm="1">
        <f t="array" ref="W250">IF(V250="","",IF(COUNTIF($V$5:V250,V250)&gt;1,"",ROUND(1+SUMPRODUCT(($V$5:$V$448&lt;&gt;"")*($V$5:$V$448&lt;V250)/COUNTIF($V$5:$V$448,$V$5:$V$448&amp;"")),0)))</f>
        <v/>
      </c>
      <c r="X250" s="274"/>
      <c r="Z250" s="274" t="str">
        <f>IF(July!H27="Major Injury",July!C27,"")</f>
        <v/>
      </c>
      <c r="AA250" s="274" t="str" cm="1">
        <f t="array" ref="AA250">IF(Z250="","",IF(COUNTIF($Z$5:Z250,Z250)&gt;1,"",ROUND(1+SUMPRODUCT(($Z$5:$Z$448&lt;&gt;"")*($Z$5:$Z$448&lt;Z250)/COUNTIF($Z$5:$Z$448,$Z$5:$Z$448&amp;"")),0)))</f>
        <v/>
      </c>
    </row>
    <row r="251" spans="2:27" x14ac:dyDescent="0.25">
      <c r="B251" s="160" t="str">
        <f>IFERROR(INDEX($V$5:$V$448,MATCH(ROWS($B$5:B251),$W$5:$W$448,0)),"")</f>
        <v/>
      </c>
      <c r="C251" s="265" t="str">
        <f>IF($B251="","",COUNTIF(Jan[Resident Name],$B251))</f>
        <v/>
      </c>
      <c r="D251" s="265" t="str">
        <f>IF($B251="","",COUNTIF(Feb[Resident Name],$B251))</f>
        <v/>
      </c>
      <c r="E251" s="265" t="str">
        <f>IF($B251="","",COUNTIF(Mar[Resident Name],$B251))</f>
        <v/>
      </c>
      <c r="F251" s="265" t="str">
        <f>IF($B251="","",COUNTIF(Apr[Resident Name],$B251))</f>
        <v/>
      </c>
      <c r="G251" s="265" t="str">
        <f>IF($B251="","",COUNTIF(May[Resident Name],$B251))</f>
        <v/>
      </c>
      <c r="H251" s="265" t="str">
        <f>IF($B251="","",COUNTIF(June[Resident Name],$B251))</f>
        <v/>
      </c>
      <c r="I251" s="265" t="str">
        <f>IF($B251="","",COUNTIF(July[Resident Name],$B251))</f>
        <v/>
      </c>
      <c r="J251" s="265" t="str">
        <f>IF($B251="","",COUNTIF(Aug[Resident Name],$B251))</f>
        <v/>
      </c>
      <c r="K251" s="265" t="str">
        <f>IF($B251="","",COUNTIF(Sept[Resident Name],$B251))</f>
        <v/>
      </c>
      <c r="L251" s="265" t="str">
        <f>IF($B251="","",COUNTIF(Oct[Resident Name],$B251))</f>
        <v/>
      </c>
      <c r="M251" s="265" t="str">
        <f>IF($B251="","",COUNTIF(Nov[Resident Name],$B251))</f>
        <v/>
      </c>
      <c r="N251" s="265" t="str">
        <f>IF($B251="","",COUNTIF(Dec[Resident Name],$B251))</f>
        <v/>
      </c>
      <c r="O251" s="265" t="str">
        <f t="shared" si="9"/>
        <v/>
      </c>
      <c r="P251" s="11"/>
      <c r="R251" s="160" t="str">
        <f>IFERROR(INDEX($B$5:$B$172,MATCH(ROWS($R$5:R251),$X$5:$X$172,0)),"")</f>
        <v/>
      </c>
      <c r="S251" s="76" t="str">
        <f>IF($R251="","",INDEX($O$5:$O$172,MATCH(ROWS($R$5:R251),$X$5:$X$172,0)))</f>
        <v/>
      </c>
      <c r="U251" s="160" t="str">
        <f>IFERROR(INDEX($Z$5:$Z$448,MATCH(ROWS($U$5:U251),$AA$5:$AA$448,0)),"")</f>
        <v/>
      </c>
      <c r="V251" s="274" t="str">
        <f>IF(July!C28="","",July!C28)</f>
        <v/>
      </c>
      <c r="W251" s="274" t="str" cm="1">
        <f t="array" ref="W251">IF(V251="","",IF(COUNTIF($V$5:V251,V251)&gt;1,"",ROUND(1+SUMPRODUCT(($V$5:$V$448&lt;&gt;"")*($V$5:$V$448&lt;V251)/COUNTIF($V$5:$V$448,$V$5:$V$448&amp;"")),0)))</f>
        <v/>
      </c>
      <c r="X251" s="274"/>
      <c r="Z251" s="274" t="str">
        <f>IF(July!H28="Major Injury",July!C28,"")</f>
        <v/>
      </c>
      <c r="AA251" s="274" t="str" cm="1">
        <f t="array" ref="AA251">IF(Z251="","",IF(COUNTIF($Z$5:Z251,Z251)&gt;1,"",ROUND(1+SUMPRODUCT(($Z$5:$Z$448&lt;&gt;"")*($Z$5:$Z$448&lt;Z251)/COUNTIF($Z$5:$Z$448,$Z$5:$Z$448&amp;"")),0)))</f>
        <v/>
      </c>
    </row>
    <row r="252" spans="2:27" x14ac:dyDescent="0.25">
      <c r="B252" s="160" t="str">
        <f>IFERROR(INDEX($V$5:$V$448,MATCH(ROWS($B$5:B252),$W$5:$W$448,0)),"")</f>
        <v/>
      </c>
      <c r="C252" s="265" t="str">
        <f>IF($B252="","",COUNTIF(Jan[Resident Name],$B252))</f>
        <v/>
      </c>
      <c r="D252" s="265" t="str">
        <f>IF($B252="","",COUNTIF(Feb[Resident Name],$B252))</f>
        <v/>
      </c>
      <c r="E252" s="265" t="str">
        <f>IF($B252="","",COUNTIF(Mar[Resident Name],$B252))</f>
        <v/>
      </c>
      <c r="F252" s="265" t="str">
        <f>IF($B252="","",COUNTIF(Apr[Resident Name],$B252))</f>
        <v/>
      </c>
      <c r="G252" s="265" t="str">
        <f>IF($B252="","",COUNTIF(May[Resident Name],$B252))</f>
        <v/>
      </c>
      <c r="H252" s="265" t="str">
        <f>IF($B252="","",COUNTIF(June[Resident Name],$B252))</f>
        <v/>
      </c>
      <c r="I252" s="265" t="str">
        <f>IF($B252="","",COUNTIF(July[Resident Name],$B252))</f>
        <v/>
      </c>
      <c r="J252" s="265" t="str">
        <f>IF($B252="","",COUNTIF(Aug[Resident Name],$B252))</f>
        <v/>
      </c>
      <c r="K252" s="265" t="str">
        <f>IF($B252="","",COUNTIF(Sept[Resident Name],$B252))</f>
        <v/>
      </c>
      <c r="L252" s="265" t="str">
        <f>IF($B252="","",COUNTIF(Oct[Resident Name],$B252))</f>
        <v/>
      </c>
      <c r="M252" s="265" t="str">
        <f>IF($B252="","",COUNTIF(Nov[Resident Name],$B252))</f>
        <v/>
      </c>
      <c r="N252" s="265" t="str">
        <f>IF($B252="","",COUNTIF(Dec[Resident Name],$B252))</f>
        <v/>
      </c>
      <c r="O252" s="265" t="str">
        <f t="shared" si="9"/>
        <v/>
      </c>
      <c r="P252" s="11"/>
      <c r="R252" s="160" t="str">
        <f>IFERROR(INDEX($B$5:$B$172,MATCH(ROWS($R$5:R252),$X$5:$X$172,0)),"")</f>
        <v/>
      </c>
      <c r="S252" s="76" t="str">
        <f>IF($R252="","",INDEX($O$5:$O$172,MATCH(ROWS($R$5:R252),$X$5:$X$172,0)))</f>
        <v/>
      </c>
      <c r="U252" s="160" t="str">
        <f>IFERROR(INDEX($Z$5:$Z$448,MATCH(ROWS($U$5:U252),$AA$5:$AA$448,0)),"")</f>
        <v/>
      </c>
      <c r="V252" s="274" t="str">
        <f>IF(July!C29="","",July!C29)</f>
        <v/>
      </c>
      <c r="W252" s="274" t="str" cm="1">
        <f t="array" ref="W252">IF(V252="","",IF(COUNTIF($V$5:V252,V252)&gt;1,"",ROUND(1+SUMPRODUCT(($V$5:$V$448&lt;&gt;"")*($V$5:$V$448&lt;V252)/COUNTIF($V$5:$V$448,$V$5:$V$448&amp;"")),0)))</f>
        <v/>
      </c>
      <c r="X252" s="274"/>
      <c r="Z252" s="274" t="str">
        <f>IF(July!H29="Major Injury",July!C29,"")</f>
        <v/>
      </c>
      <c r="AA252" s="274" t="str" cm="1">
        <f t="array" ref="AA252">IF(Z252="","",IF(COUNTIF($Z$5:Z252,Z252)&gt;1,"",ROUND(1+SUMPRODUCT(($Z$5:$Z$448&lt;&gt;"")*($Z$5:$Z$448&lt;Z252)/COUNTIF($Z$5:$Z$448,$Z$5:$Z$448&amp;"")),0)))</f>
        <v/>
      </c>
    </row>
    <row r="253" spans="2:27" x14ac:dyDescent="0.25">
      <c r="B253" s="160" t="str">
        <f>IFERROR(INDEX($V$5:$V$448,MATCH(ROWS($B$5:B253),$W$5:$W$448,0)),"")</f>
        <v/>
      </c>
      <c r="C253" s="265" t="str">
        <f>IF($B253="","",COUNTIF(Jan[Resident Name],$B253))</f>
        <v/>
      </c>
      <c r="D253" s="265" t="str">
        <f>IF($B253="","",COUNTIF(Feb[Resident Name],$B253))</f>
        <v/>
      </c>
      <c r="E253" s="265" t="str">
        <f>IF($B253="","",COUNTIF(Mar[Resident Name],$B253))</f>
        <v/>
      </c>
      <c r="F253" s="265" t="str">
        <f>IF($B253="","",COUNTIF(Apr[Resident Name],$B253))</f>
        <v/>
      </c>
      <c r="G253" s="265" t="str">
        <f>IF($B253="","",COUNTIF(May[Resident Name],$B253))</f>
        <v/>
      </c>
      <c r="H253" s="265" t="str">
        <f>IF($B253="","",COUNTIF(June[Resident Name],$B253))</f>
        <v/>
      </c>
      <c r="I253" s="265" t="str">
        <f>IF($B253="","",COUNTIF(July[Resident Name],$B253))</f>
        <v/>
      </c>
      <c r="J253" s="265" t="str">
        <f>IF($B253="","",COUNTIF(Aug[Resident Name],$B253))</f>
        <v/>
      </c>
      <c r="K253" s="265" t="str">
        <f>IF($B253="","",COUNTIF(Sept[Resident Name],$B253))</f>
        <v/>
      </c>
      <c r="L253" s="265" t="str">
        <f>IF($B253="","",COUNTIF(Oct[Resident Name],$B253))</f>
        <v/>
      </c>
      <c r="M253" s="265" t="str">
        <f>IF($B253="","",COUNTIF(Nov[Resident Name],$B253))</f>
        <v/>
      </c>
      <c r="N253" s="265" t="str">
        <f>IF($B253="","",COUNTIF(Dec[Resident Name],$B253))</f>
        <v/>
      </c>
      <c r="O253" s="265" t="str">
        <f t="shared" si="9"/>
        <v/>
      </c>
      <c r="P253" s="11"/>
      <c r="R253" s="160" t="str">
        <f>IFERROR(INDEX($B$5:$B$172,MATCH(ROWS($R$5:R253),$X$5:$X$172,0)),"")</f>
        <v/>
      </c>
      <c r="S253" s="76" t="str">
        <f>IF($R253="","",INDEX($O$5:$O$172,MATCH(ROWS($R$5:R253),$X$5:$X$172,0)))</f>
        <v/>
      </c>
      <c r="U253" s="160" t="str">
        <f>IFERROR(INDEX($Z$5:$Z$448,MATCH(ROWS($U$5:U253),$AA$5:$AA$448,0)),"")</f>
        <v/>
      </c>
      <c r="V253" s="274" t="str">
        <f>IF(July!C30="","",July!C30)</f>
        <v/>
      </c>
      <c r="W253" s="274" t="str" cm="1">
        <f t="array" ref="W253">IF(V253="","",IF(COUNTIF($V$5:V253,V253)&gt;1,"",ROUND(1+SUMPRODUCT(($V$5:$V$448&lt;&gt;"")*($V$5:$V$448&lt;V253)/COUNTIF($V$5:$V$448,$V$5:$V$448&amp;"")),0)))</f>
        <v/>
      </c>
      <c r="X253" s="274"/>
      <c r="Z253" s="274" t="str">
        <f>IF(July!H30="Major Injury",July!C30,"")</f>
        <v/>
      </c>
      <c r="AA253" s="274" t="str" cm="1">
        <f t="array" ref="AA253">IF(Z253="","",IF(COUNTIF($Z$5:Z253,Z253)&gt;1,"",ROUND(1+SUMPRODUCT(($Z$5:$Z$448&lt;&gt;"")*($Z$5:$Z$448&lt;Z253)/COUNTIF($Z$5:$Z$448,$Z$5:$Z$448&amp;"")),0)))</f>
        <v/>
      </c>
    </row>
    <row r="254" spans="2:27" x14ac:dyDescent="0.25">
      <c r="B254" s="160" t="str">
        <f>IFERROR(INDEX($V$5:$V$448,MATCH(ROWS($B$5:B254),$W$5:$W$448,0)),"")</f>
        <v/>
      </c>
      <c r="C254" s="265" t="str">
        <f>IF($B254="","",COUNTIF(Jan[Resident Name],$B254))</f>
        <v/>
      </c>
      <c r="D254" s="265" t="str">
        <f>IF($B254="","",COUNTIF(Feb[Resident Name],$B254))</f>
        <v/>
      </c>
      <c r="E254" s="265" t="str">
        <f>IF($B254="","",COUNTIF(Mar[Resident Name],$B254))</f>
        <v/>
      </c>
      <c r="F254" s="265" t="str">
        <f>IF($B254="","",COUNTIF(Apr[Resident Name],$B254))</f>
        <v/>
      </c>
      <c r="G254" s="265" t="str">
        <f>IF($B254="","",COUNTIF(May[Resident Name],$B254))</f>
        <v/>
      </c>
      <c r="H254" s="265" t="str">
        <f>IF($B254="","",COUNTIF(June[Resident Name],$B254))</f>
        <v/>
      </c>
      <c r="I254" s="265" t="str">
        <f>IF($B254="","",COUNTIF(July[Resident Name],$B254))</f>
        <v/>
      </c>
      <c r="J254" s="265" t="str">
        <f>IF($B254="","",COUNTIF(Aug[Resident Name],$B254))</f>
        <v/>
      </c>
      <c r="K254" s="265" t="str">
        <f>IF($B254="","",COUNTIF(Sept[Resident Name],$B254))</f>
        <v/>
      </c>
      <c r="L254" s="265" t="str">
        <f>IF($B254="","",COUNTIF(Oct[Resident Name],$B254))</f>
        <v/>
      </c>
      <c r="M254" s="265" t="str">
        <f>IF($B254="","",COUNTIF(Nov[Resident Name],$B254))</f>
        <v/>
      </c>
      <c r="N254" s="265" t="str">
        <f>IF($B254="","",COUNTIF(Dec[Resident Name],$B254))</f>
        <v/>
      </c>
      <c r="O254" s="265" t="str">
        <f t="shared" si="9"/>
        <v/>
      </c>
      <c r="P254" s="11"/>
      <c r="R254" s="160" t="str">
        <f>IFERROR(INDEX($B$5:$B$172,MATCH(ROWS($R$5:R254),$X$5:$X$172,0)),"")</f>
        <v/>
      </c>
      <c r="S254" s="76" t="str">
        <f>IF($R254="","",INDEX($O$5:$O$172,MATCH(ROWS($R$5:R254),$X$5:$X$172,0)))</f>
        <v/>
      </c>
      <c r="U254" s="160" t="str">
        <f>IFERROR(INDEX($Z$5:$Z$448,MATCH(ROWS($U$5:U254),$AA$5:$AA$448,0)),"")</f>
        <v/>
      </c>
      <c r="V254" s="274" t="str">
        <f>IF(July!C31="","",July!C31)</f>
        <v/>
      </c>
      <c r="W254" s="274" t="str" cm="1">
        <f t="array" ref="W254">IF(V254="","",IF(COUNTIF($V$5:V254,V254)&gt;1,"",ROUND(1+SUMPRODUCT(($V$5:$V$448&lt;&gt;"")*($V$5:$V$448&lt;V254)/COUNTIF($V$5:$V$448,$V$5:$V$448&amp;"")),0)))</f>
        <v/>
      </c>
      <c r="X254" s="274"/>
      <c r="Z254" s="274" t="str">
        <f>IF(July!H31="Major Injury",July!C31,"")</f>
        <v/>
      </c>
      <c r="AA254" s="274" t="str" cm="1">
        <f t="array" ref="AA254">IF(Z254="","",IF(COUNTIF($Z$5:Z254,Z254)&gt;1,"",ROUND(1+SUMPRODUCT(($Z$5:$Z$448&lt;&gt;"")*($Z$5:$Z$448&lt;Z254)/COUNTIF($Z$5:$Z$448,$Z$5:$Z$448&amp;"")),0)))</f>
        <v/>
      </c>
    </row>
    <row r="255" spans="2:27" x14ac:dyDescent="0.25">
      <c r="B255" s="160" t="str">
        <f>IFERROR(INDEX($V$5:$V$448,MATCH(ROWS($B$5:B255),$W$5:$W$448,0)),"")</f>
        <v/>
      </c>
      <c r="C255" s="265" t="str">
        <f>IF($B255="","",COUNTIF(Jan[Resident Name],$B255))</f>
        <v/>
      </c>
      <c r="D255" s="265" t="str">
        <f>IF($B255="","",COUNTIF(Feb[Resident Name],$B255))</f>
        <v/>
      </c>
      <c r="E255" s="265" t="str">
        <f>IF($B255="","",COUNTIF(Mar[Resident Name],$B255))</f>
        <v/>
      </c>
      <c r="F255" s="265" t="str">
        <f>IF($B255="","",COUNTIF(Apr[Resident Name],$B255))</f>
        <v/>
      </c>
      <c r="G255" s="265" t="str">
        <f>IF($B255="","",COUNTIF(May[Resident Name],$B255))</f>
        <v/>
      </c>
      <c r="H255" s="265" t="str">
        <f>IF($B255="","",COUNTIF(June[Resident Name],$B255))</f>
        <v/>
      </c>
      <c r="I255" s="265" t="str">
        <f>IF($B255="","",COUNTIF(July[Resident Name],$B255))</f>
        <v/>
      </c>
      <c r="J255" s="265" t="str">
        <f>IF($B255="","",COUNTIF(Aug[Resident Name],$B255))</f>
        <v/>
      </c>
      <c r="K255" s="265" t="str">
        <f>IF($B255="","",COUNTIF(Sept[Resident Name],$B255))</f>
        <v/>
      </c>
      <c r="L255" s="265" t="str">
        <f>IF($B255="","",COUNTIF(Oct[Resident Name],$B255))</f>
        <v/>
      </c>
      <c r="M255" s="265" t="str">
        <f>IF($B255="","",COUNTIF(Nov[Resident Name],$B255))</f>
        <v/>
      </c>
      <c r="N255" s="265" t="str">
        <f>IF($B255="","",COUNTIF(Dec[Resident Name],$B255))</f>
        <v/>
      </c>
      <c r="O255" s="265" t="str">
        <f t="shared" si="9"/>
        <v/>
      </c>
      <c r="P255" s="11"/>
      <c r="R255" s="160" t="str">
        <f>IFERROR(INDEX($B$5:$B$172,MATCH(ROWS($R$5:R255),$X$5:$X$172,0)),"")</f>
        <v/>
      </c>
      <c r="S255" s="76" t="str">
        <f>IF($R255="","",INDEX($O$5:$O$172,MATCH(ROWS($R$5:R255),$X$5:$X$172,0)))</f>
        <v/>
      </c>
      <c r="U255" s="160" t="str">
        <f>IFERROR(INDEX($Z$5:$Z$448,MATCH(ROWS($U$5:U255),$AA$5:$AA$448,0)),"")</f>
        <v/>
      </c>
      <c r="V255" s="274" t="str">
        <f>IF(July!C32="","",July!C32)</f>
        <v/>
      </c>
      <c r="W255" s="274" t="str" cm="1">
        <f t="array" ref="W255">IF(V255="","",IF(COUNTIF($V$5:V255,V255)&gt;1,"",ROUND(1+SUMPRODUCT(($V$5:$V$448&lt;&gt;"")*($V$5:$V$448&lt;V255)/COUNTIF($V$5:$V$448,$V$5:$V$448&amp;"")),0)))</f>
        <v/>
      </c>
      <c r="X255" s="274"/>
      <c r="Z255" s="274" t="str">
        <f>IF(July!H32="Major Injury",July!C32,"")</f>
        <v/>
      </c>
      <c r="AA255" s="274" t="str" cm="1">
        <f t="array" ref="AA255">IF(Z255="","",IF(COUNTIF($Z$5:Z255,Z255)&gt;1,"",ROUND(1+SUMPRODUCT(($Z$5:$Z$448&lt;&gt;"")*($Z$5:$Z$448&lt;Z255)/COUNTIF($Z$5:$Z$448,$Z$5:$Z$448&amp;"")),0)))</f>
        <v/>
      </c>
    </row>
    <row r="256" spans="2:27" x14ac:dyDescent="0.25">
      <c r="B256" s="160" t="str">
        <f>IFERROR(INDEX($V$5:$V$448,MATCH(ROWS($B$5:B256),$W$5:$W$448,0)),"")</f>
        <v/>
      </c>
      <c r="C256" s="265" t="str">
        <f>IF($B256="","",COUNTIF(Jan[Resident Name],$B256))</f>
        <v/>
      </c>
      <c r="D256" s="265" t="str">
        <f>IF($B256="","",COUNTIF(Feb[Resident Name],$B256))</f>
        <v/>
      </c>
      <c r="E256" s="265" t="str">
        <f>IF($B256="","",COUNTIF(Mar[Resident Name],$B256))</f>
        <v/>
      </c>
      <c r="F256" s="265" t="str">
        <f>IF($B256="","",COUNTIF(Apr[Resident Name],$B256))</f>
        <v/>
      </c>
      <c r="G256" s="265" t="str">
        <f>IF($B256="","",COUNTIF(May[Resident Name],$B256))</f>
        <v/>
      </c>
      <c r="H256" s="265" t="str">
        <f>IF($B256="","",COUNTIF(June[Resident Name],$B256))</f>
        <v/>
      </c>
      <c r="I256" s="265" t="str">
        <f>IF($B256="","",COUNTIF(July[Resident Name],$B256))</f>
        <v/>
      </c>
      <c r="J256" s="265" t="str">
        <f>IF($B256="","",COUNTIF(Aug[Resident Name],$B256))</f>
        <v/>
      </c>
      <c r="K256" s="265" t="str">
        <f>IF($B256="","",COUNTIF(Sept[Resident Name],$B256))</f>
        <v/>
      </c>
      <c r="L256" s="265" t="str">
        <f>IF($B256="","",COUNTIF(Oct[Resident Name],$B256))</f>
        <v/>
      </c>
      <c r="M256" s="265" t="str">
        <f>IF($B256="","",COUNTIF(Nov[Resident Name],$B256))</f>
        <v/>
      </c>
      <c r="N256" s="265" t="str">
        <f>IF($B256="","",COUNTIF(Dec[Resident Name],$B256))</f>
        <v/>
      </c>
      <c r="O256" s="265" t="str">
        <f t="shared" si="9"/>
        <v/>
      </c>
      <c r="P256" s="11"/>
      <c r="R256" s="160" t="str">
        <f>IFERROR(INDEX($B$5:$B$172,MATCH(ROWS($R$5:R256),$X$5:$X$172,0)),"")</f>
        <v/>
      </c>
      <c r="S256" s="76" t="str">
        <f>IF($R256="","",INDEX($O$5:$O$172,MATCH(ROWS($R$5:R256),$X$5:$X$172,0)))</f>
        <v/>
      </c>
      <c r="U256" s="160" t="str">
        <f>IFERROR(INDEX($Z$5:$Z$448,MATCH(ROWS($U$5:U256),$AA$5:$AA$448,0)),"")</f>
        <v/>
      </c>
      <c r="V256" s="274" t="str">
        <f>IF(July!C33="","",July!C33)</f>
        <v/>
      </c>
      <c r="W256" s="274" t="str" cm="1">
        <f t="array" ref="W256">IF(V256="","",IF(COUNTIF($V$5:V256,V256)&gt;1,"",ROUND(1+SUMPRODUCT(($V$5:$V$448&lt;&gt;"")*($V$5:$V$448&lt;V256)/COUNTIF($V$5:$V$448,$V$5:$V$448&amp;"")),0)))</f>
        <v/>
      </c>
      <c r="X256" s="274"/>
      <c r="Z256" s="274" t="str">
        <f>IF(July!H33="Major Injury",July!C33,"")</f>
        <v/>
      </c>
      <c r="AA256" s="274" t="str" cm="1">
        <f t="array" ref="AA256">IF(Z256="","",IF(COUNTIF($Z$5:Z256,Z256)&gt;1,"",ROUND(1+SUMPRODUCT(($Z$5:$Z$448&lt;&gt;"")*($Z$5:$Z$448&lt;Z256)/COUNTIF($Z$5:$Z$448,$Z$5:$Z$448&amp;"")),0)))</f>
        <v/>
      </c>
    </row>
    <row r="257" spans="2:27" x14ac:dyDescent="0.25">
      <c r="B257" s="160" t="str">
        <f>IFERROR(INDEX($V$5:$V$448,MATCH(ROWS($B$5:B257),$W$5:$W$448,0)),"")</f>
        <v/>
      </c>
      <c r="C257" s="265" t="str">
        <f>IF($B257="","",COUNTIF(Jan[Resident Name],$B257))</f>
        <v/>
      </c>
      <c r="D257" s="265" t="str">
        <f>IF($B257="","",COUNTIF(Feb[Resident Name],$B257))</f>
        <v/>
      </c>
      <c r="E257" s="265" t="str">
        <f>IF($B257="","",COUNTIF(Mar[Resident Name],$B257))</f>
        <v/>
      </c>
      <c r="F257" s="265" t="str">
        <f>IF($B257="","",COUNTIF(Apr[Resident Name],$B257))</f>
        <v/>
      </c>
      <c r="G257" s="265" t="str">
        <f>IF($B257="","",COUNTIF(May[Resident Name],$B257))</f>
        <v/>
      </c>
      <c r="H257" s="265" t="str">
        <f>IF($B257="","",COUNTIF(June[Resident Name],$B257))</f>
        <v/>
      </c>
      <c r="I257" s="265" t="str">
        <f>IF($B257="","",COUNTIF(July[Resident Name],$B257))</f>
        <v/>
      </c>
      <c r="J257" s="265" t="str">
        <f>IF($B257="","",COUNTIF(Aug[Resident Name],$B257))</f>
        <v/>
      </c>
      <c r="K257" s="265" t="str">
        <f>IF($B257="","",COUNTIF(Sept[Resident Name],$B257))</f>
        <v/>
      </c>
      <c r="L257" s="265" t="str">
        <f>IF($B257="","",COUNTIF(Oct[Resident Name],$B257))</f>
        <v/>
      </c>
      <c r="M257" s="265" t="str">
        <f>IF($B257="","",COUNTIF(Nov[Resident Name],$B257))</f>
        <v/>
      </c>
      <c r="N257" s="265" t="str">
        <f>IF($B257="","",COUNTIF(Dec[Resident Name],$B257))</f>
        <v/>
      </c>
      <c r="O257" s="265" t="str">
        <f t="shared" si="9"/>
        <v/>
      </c>
      <c r="P257" s="11"/>
      <c r="R257" s="160" t="str">
        <f>IFERROR(INDEX($B$5:$B$172,MATCH(ROWS($R$5:R257),$X$5:$X$172,0)),"")</f>
        <v/>
      </c>
      <c r="S257" s="76" t="str">
        <f>IF($R257="","",INDEX($O$5:$O$172,MATCH(ROWS($R$5:R257),$X$5:$X$172,0)))</f>
        <v/>
      </c>
      <c r="U257" s="160" t="str">
        <f>IFERROR(INDEX($Z$5:$Z$448,MATCH(ROWS($U$5:U257),$AA$5:$AA$448,0)),"")</f>
        <v/>
      </c>
      <c r="V257" s="274" t="str">
        <f>IF(July!C34="","",July!C34)</f>
        <v/>
      </c>
      <c r="W257" s="274" t="str" cm="1">
        <f t="array" ref="W257">IF(V257="","",IF(COUNTIF($V$5:V257,V257)&gt;1,"",ROUND(1+SUMPRODUCT(($V$5:$V$448&lt;&gt;"")*($V$5:$V$448&lt;V257)/COUNTIF($V$5:$V$448,$V$5:$V$448&amp;"")),0)))</f>
        <v/>
      </c>
      <c r="X257" s="274"/>
      <c r="Z257" s="274" t="str">
        <f>IF(July!H34="Major Injury",July!C34,"")</f>
        <v/>
      </c>
      <c r="AA257" s="274" t="str" cm="1">
        <f t="array" ref="AA257">IF(Z257="","",IF(COUNTIF($Z$5:Z257,Z257)&gt;1,"",ROUND(1+SUMPRODUCT(($Z$5:$Z$448&lt;&gt;"")*($Z$5:$Z$448&lt;Z257)/COUNTIF($Z$5:$Z$448,$Z$5:$Z$448&amp;"")),0)))</f>
        <v/>
      </c>
    </row>
    <row r="258" spans="2:27" x14ac:dyDescent="0.25">
      <c r="B258" s="160" t="str">
        <f>IFERROR(INDEX($V$5:$V$448,MATCH(ROWS($B$5:B258),$W$5:$W$448,0)),"")</f>
        <v/>
      </c>
      <c r="C258" s="265" t="str">
        <f>IF($B258="","",COUNTIF(Jan[Resident Name],$B258))</f>
        <v/>
      </c>
      <c r="D258" s="265" t="str">
        <f>IF($B258="","",COUNTIF(Feb[Resident Name],$B258))</f>
        <v/>
      </c>
      <c r="E258" s="265" t="str">
        <f>IF($B258="","",COUNTIF(Mar[Resident Name],$B258))</f>
        <v/>
      </c>
      <c r="F258" s="265" t="str">
        <f>IF($B258="","",COUNTIF(Apr[Resident Name],$B258))</f>
        <v/>
      </c>
      <c r="G258" s="265" t="str">
        <f>IF($B258="","",COUNTIF(May[Resident Name],$B258))</f>
        <v/>
      </c>
      <c r="H258" s="265" t="str">
        <f>IF($B258="","",COUNTIF(June[Resident Name],$B258))</f>
        <v/>
      </c>
      <c r="I258" s="265" t="str">
        <f>IF($B258="","",COUNTIF(July[Resident Name],$B258))</f>
        <v/>
      </c>
      <c r="J258" s="265" t="str">
        <f>IF($B258="","",COUNTIF(Aug[Resident Name],$B258))</f>
        <v/>
      </c>
      <c r="K258" s="265" t="str">
        <f>IF($B258="","",COUNTIF(Sept[Resident Name],$B258))</f>
        <v/>
      </c>
      <c r="L258" s="265" t="str">
        <f>IF($B258="","",COUNTIF(Oct[Resident Name],$B258))</f>
        <v/>
      </c>
      <c r="M258" s="265" t="str">
        <f>IF($B258="","",COUNTIF(Nov[Resident Name],$B258))</f>
        <v/>
      </c>
      <c r="N258" s="265" t="str">
        <f>IF($B258="","",COUNTIF(Dec[Resident Name],$B258))</f>
        <v/>
      </c>
      <c r="O258" s="265" t="str">
        <f t="shared" si="9"/>
        <v/>
      </c>
      <c r="P258" s="11"/>
      <c r="R258" s="160" t="str">
        <f>IFERROR(INDEX($B$5:$B$172,MATCH(ROWS($R$5:R258),$X$5:$X$172,0)),"")</f>
        <v/>
      </c>
      <c r="S258" s="76" t="str">
        <f>IF($R258="","",INDEX($O$5:$O$172,MATCH(ROWS($R$5:R258),$X$5:$X$172,0)))</f>
        <v/>
      </c>
      <c r="U258" s="160" t="str">
        <f>IFERROR(INDEX($Z$5:$Z$448,MATCH(ROWS($U$5:U258),$AA$5:$AA$448,0)),"")</f>
        <v/>
      </c>
      <c r="V258" s="274" t="str">
        <f>IF(July!C35="","",July!C35)</f>
        <v/>
      </c>
      <c r="W258" s="274" t="str" cm="1">
        <f t="array" ref="W258">IF(V258="","",IF(COUNTIF($V$5:V258,V258)&gt;1,"",ROUND(1+SUMPRODUCT(($V$5:$V$448&lt;&gt;"")*($V$5:$V$448&lt;V258)/COUNTIF($V$5:$V$448,$V$5:$V$448&amp;"")),0)))</f>
        <v/>
      </c>
      <c r="X258" s="274"/>
      <c r="Z258" s="274" t="str">
        <f>IF(July!H35="Major Injury",July!C35,"")</f>
        <v/>
      </c>
      <c r="AA258" s="274" t="str" cm="1">
        <f t="array" ref="AA258">IF(Z258="","",IF(COUNTIF($Z$5:Z258,Z258)&gt;1,"",ROUND(1+SUMPRODUCT(($Z$5:$Z$448&lt;&gt;"")*($Z$5:$Z$448&lt;Z258)/COUNTIF($Z$5:$Z$448,$Z$5:$Z$448&amp;"")),0)))</f>
        <v/>
      </c>
    </row>
    <row r="259" spans="2:27" x14ac:dyDescent="0.25">
      <c r="B259" s="160" t="str">
        <f>IFERROR(INDEX($V$5:$V$448,MATCH(ROWS($B$5:B259),$W$5:$W$448,0)),"")</f>
        <v/>
      </c>
      <c r="C259" s="265" t="str">
        <f>IF($B259="","",COUNTIF(Jan[Resident Name],$B259))</f>
        <v/>
      </c>
      <c r="D259" s="265" t="str">
        <f>IF($B259="","",COUNTIF(Feb[Resident Name],$B259))</f>
        <v/>
      </c>
      <c r="E259" s="265" t="str">
        <f>IF($B259="","",COUNTIF(Mar[Resident Name],$B259))</f>
        <v/>
      </c>
      <c r="F259" s="265" t="str">
        <f>IF($B259="","",COUNTIF(Apr[Resident Name],$B259))</f>
        <v/>
      </c>
      <c r="G259" s="265" t="str">
        <f>IF($B259="","",COUNTIF(May[Resident Name],$B259))</f>
        <v/>
      </c>
      <c r="H259" s="265" t="str">
        <f>IF($B259="","",COUNTIF(June[Resident Name],$B259))</f>
        <v/>
      </c>
      <c r="I259" s="265" t="str">
        <f>IF($B259="","",COUNTIF(July[Resident Name],$B259))</f>
        <v/>
      </c>
      <c r="J259" s="265" t="str">
        <f>IF($B259="","",COUNTIF(Aug[Resident Name],$B259))</f>
        <v/>
      </c>
      <c r="K259" s="265" t="str">
        <f>IF($B259="","",COUNTIF(Sept[Resident Name],$B259))</f>
        <v/>
      </c>
      <c r="L259" s="265" t="str">
        <f>IF($B259="","",COUNTIF(Oct[Resident Name],$B259))</f>
        <v/>
      </c>
      <c r="M259" s="265" t="str">
        <f>IF($B259="","",COUNTIF(Nov[Resident Name],$B259))</f>
        <v/>
      </c>
      <c r="N259" s="265" t="str">
        <f>IF($B259="","",COUNTIF(Dec[Resident Name],$B259))</f>
        <v/>
      </c>
      <c r="O259" s="265" t="str">
        <f t="shared" si="9"/>
        <v/>
      </c>
      <c r="P259" s="11"/>
      <c r="R259" s="160" t="str">
        <f>IFERROR(INDEX($B$5:$B$172,MATCH(ROWS($R$5:R259),$X$5:$X$172,0)),"")</f>
        <v/>
      </c>
      <c r="S259" s="76" t="str">
        <f>IF($R259="","",INDEX($O$5:$O$172,MATCH(ROWS($R$5:R259),$X$5:$X$172,0)))</f>
        <v/>
      </c>
      <c r="U259" s="160" t="str">
        <f>IFERROR(INDEX($Z$5:$Z$448,MATCH(ROWS($U$5:U259),$AA$5:$AA$448,0)),"")</f>
        <v/>
      </c>
      <c r="V259" s="274" t="str">
        <f>IF(July!C36="","",July!C36)</f>
        <v/>
      </c>
      <c r="W259" s="274" t="str" cm="1">
        <f t="array" ref="W259">IF(V259="","",IF(COUNTIF($V$5:V259,V259)&gt;1,"",ROUND(1+SUMPRODUCT(($V$5:$V$448&lt;&gt;"")*($V$5:$V$448&lt;V259)/COUNTIF($V$5:$V$448,$V$5:$V$448&amp;"")),0)))</f>
        <v/>
      </c>
      <c r="X259" s="274"/>
      <c r="Z259" s="274" t="str">
        <f>IF(July!H36="Major Injury",July!C36,"")</f>
        <v/>
      </c>
      <c r="AA259" s="274" t="str" cm="1">
        <f t="array" ref="AA259">IF(Z259="","",IF(COUNTIF($Z$5:Z259,Z259)&gt;1,"",ROUND(1+SUMPRODUCT(($Z$5:$Z$448&lt;&gt;"")*($Z$5:$Z$448&lt;Z259)/COUNTIF($Z$5:$Z$448,$Z$5:$Z$448&amp;"")),0)))</f>
        <v/>
      </c>
    </row>
    <row r="260" spans="2:27" x14ac:dyDescent="0.25">
      <c r="B260" s="160" t="str">
        <f>IFERROR(INDEX($V$5:$V$448,MATCH(ROWS($B$5:B260),$W$5:$W$448,0)),"")</f>
        <v/>
      </c>
      <c r="C260" s="265" t="str">
        <f>IF($B260="","",COUNTIF(Jan[Resident Name],$B260))</f>
        <v/>
      </c>
      <c r="D260" s="265" t="str">
        <f>IF($B260="","",COUNTIF(Feb[Resident Name],$B260))</f>
        <v/>
      </c>
      <c r="E260" s="265" t="str">
        <f>IF($B260="","",COUNTIF(Mar[Resident Name],$B260))</f>
        <v/>
      </c>
      <c r="F260" s="265" t="str">
        <f>IF($B260="","",COUNTIF(Apr[Resident Name],$B260))</f>
        <v/>
      </c>
      <c r="G260" s="265" t="str">
        <f>IF($B260="","",COUNTIF(May[Resident Name],$B260))</f>
        <v/>
      </c>
      <c r="H260" s="265" t="str">
        <f>IF($B260="","",COUNTIF(June[Resident Name],$B260))</f>
        <v/>
      </c>
      <c r="I260" s="265" t="str">
        <f>IF($B260="","",COUNTIF(July[Resident Name],$B260))</f>
        <v/>
      </c>
      <c r="J260" s="265" t="str">
        <f>IF($B260="","",COUNTIF(Aug[Resident Name],$B260))</f>
        <v/>
      </c>
      <c r="K260" s="265" t="str">
        <f>IF($B260="","",COUNTIF(Sept[Resident Name],$B260))</f>
        <v/>
      </c>
      <c r="L260" s="265" t="str">
        <f>IF($B260="","",COUNTIF(Oct[Resident Name],$B260))</f>
        <v/>
      </c>
      <c r="M260" s="265" t="str">
        <f>IF($B260="","",COUNTIF(Nov[Resident Name],$B260))</f>
        <v/>
      </c>
      <c r="N260" s="265" t="str">
        <f>IF($B260="","",COUNTIF(Dec[Resident Name],$B260))</f>
        <v/>
      </c>
      <c r="O260" s="265" t="str">
        <f t="shared" si="9"/>
        <v/>
      </c>
      <c r="P260" s="11"/>
      <c r="R260" s="160" t="str">
        <f>IFERROR(INDEX($B$5:$B$172,MATCH(ROWS($R$5:R260),$X$5:$X$172,0)),"")</f>
        <v/>
      </c>
      <c r="S260" s="76" t="str">
        <f>IF($R260="","",INDEX($O$5:$O$172,MATCH(ROWS($R$5:R260),$X$5:$X$172,0)))</f>
        <v/>
      </c>
      <c r="U260" s="160" t="str">
        <f>IFERROR(INDEX($Z$5:$Z$448,MATCH(ROWS($U$5:U260),$AA$5:$AA$448,0)),"")</f>
        <v/>
      </c>
      <c r="V260" s="274" t="str">
        <f>IF(July!C37="","",July!C37)</f>
        <v/>
      </c>
      <c r="W260" s="274" t="str" cm="1">
        <f t="array" ref="W260">IF(V260="","",IF(COUNTIF($V$5:V260,V260)&gt;1,"",ROUND(1+SUMPRODUCT(($V$5:$V$448&lt;&gt;"")*($V$5:$V$448&lt;V260)/COUNTIF($V$5:$V$448,$V$5:$V$448&amp;"")),0)))</f>
        <v/>
      </c>
      <c r="X260" s="274"/>
      <c r="Z260" s="274" t="str">
        <f>IF(July!H37="Major Injury",July!C37,"")</f>
        <v/>
      </c>
      <c r="AA260" s="274" t="str" cm="1">
        <f t="array" ref="AA260">IF(Z260="","",IF(COUNTIF($Z$5:Z260,Z260)&gt;1,"",ROUND(1+SUMPRODUCT(($Z$5:$Z$448&lt;&gt;"")*($Z$5:$Z$448&lt;Z260)/COUNTIF($Z$5:$Z$448,$Z$5:$Z$448&amp;"")),0)))</f>
        <v/>
      </c>
    </row>
    <row r="261" spans="2:27" x14ac:dyDescent="0.25">
      <c r="B261" s="160" t="str">
        <f>IFERROR(INDEX($V$5:$V$448,MATCH(ROWS($B$5:B261),$W$5:$W$448,0)),"")</f>
        <v/>
      </c>
      <c r="C261" s="265" t="str">
        <f>IF($B261="","",COUNTIF(Jan[Resident Name],$B261))</f>
        <v/>
      </c>
      <c r="D261" s="265" t="str">
        <f>IF($B261="","",COUNTIF(Feb[Resident Name],$B261))</f>
        <v/>
      </c>
      <c r="E261" s="265" t="str">
        <f>IF($B261="","",COUNTIF(Mar[Resident Name],$B261))</f>
        <v/>
      </c>
      <c r="F261" s="265" t="str">
        <f>IF($B261="","",COUNTIF(Apr[Resident Name],$B261))</f>
        <v/>
      </c>
      <c r="G261" s="265" t="str">
        <f>IF($B261="","",COUNTIF(May[Resident Name],$B261))</f>
        <v/>
      </c>
      <c r="H261" s="265" t="str">
        <f>IF($B261="","",COUNTIF(June[Resident Name],$B261))</f>
        <v/>
      </c>
      <c r="I261" s="265" t="str">
        <f>IF($B261="","",COUNTIF(July[Resident Name],$B261))</f>
        <v/>
      </c>
      <c r="J261" s="265" t="str">
        <f>IF($B261="","",COUNTIF(Aug[Resident Name],$B261))</f>
        <v/>
      </c>
      <c r="K261" s="265" t="str">
        <f>IF($B261="","",COUNTIF(Sept[Resident Name],$B261))</f>
        <v/>
      </c>
      <c r="L261" s="265" t="str">
        <f>IF($B261="","",COUNTIF(Oct[Resident Name],$B261))</f>
        <v/>
      </c>
      <c r="M261" s="265" t="str">
        <f>IF($B261="","",COUNTIF(Nov[Resident Name],$B261))</f>
        <v/>
      </c>
      <c r="N261" s="265" t="str">
        <f>IF($B261="","",COUNTIF(Dec[Resident Name],$B261))</f>
        <v/>
      </c>
      <c r="O261" s="265" t="str">
        <f t="shared" si="9"/>
        <v/>
      </c>
      <c r="P261" s="11"/>
      <c r="R261" s="160" t="str">
        <f>IFERROR(INDEX($B$5:$B$172,MATCH(ROWS($R$5:R261),$X$5:$X$172,0)),"")</f>
        <v/>
      </c>
      <c r="S261" s="76" t="str">
        <f>IF($R261="","",INDEX($O$5:$O$172,MATCH(ROWS($R$5:R261),$X$5:$X$172,0)))</f>
        <v/>
      </c>
      <c r="U261" s="160" t="str">
        <f>IFERROR(INDEX($Z$5:$Z$448,MATCH(ROWS($U$5:U261),$AA$5:$AA$448,0)),"")</f>
        <v/>
      </c>
      <c r="V261" s="274" t="str">
        <f>IF(July!C38="","",July!C38)</f>
        <v/>
      </c>
      <c r="W261" s="274" t="str" cm="1">
        <f t="array" ref="W261">IF(V261="","",IF(COUNTIF($V$5:V261,V261)&gt;1,"",ROUND(1+SUMPRODUCT(($V$5:$V$448&lt;&gt;"")*($V$5:$V$448&lt;V261)/COUNTIF($V$5:$V$448,$V$5:$V$448&amp;"")),0)))</f>
        <v/>
      </c>
      <c r="X261" s="274"/>
      <c r="Z261" s="274" t="str">
        <f>IF(July!H38="Major Injury",July!C38,"")</f>
        <v/>
      </c>
      <c r="AA261" s="274" t="str" cm="1">
        <f t="array" ref="AA261">IF(Z261="","",IF(COUNTIF($Z$5:Z261,Z261)&gt;1,"",ROUND(1+SUMPRODUCT(($Z$5:$Z$448&lt;&gt;"")*($Z$5:$Z$448&lt;Z261)/COUNTIF($Z$5:$Z$448,$Z$5:$Z$448&amp;"")),0)))</f>
        <v/>
      </c>
    </row>
    <row r="262" spans="2:27" x14ac:dyDescent="0.25">
      <c r="B262" s="160" t="str">
        <f>IFERROR(INDEX($V$5:$V$448,MATCH(ROWS($B$5:B262),$W$5:$W$448,0)),"")</f>
        <v/>
      </c>
      <c r="C262" s="265" t="str">
        <f>IF($B262="","",COUNTIF(Jan[Resident Name],$B262))</f>
        <v/>
      </c>
      <c r="D262" s="265" t="str">
        <f>IF($B262="","",COUNTIF(Feb[Resident Name],$B262))</f>
        <v/>
      </c>
      <c r="E262" s="265" t="str">
        <f>IF($B262="","",COUNTIF(Mar[Resident Name],$B262))</f>
        <v/>
      </c>
      <c r="F262" s="265" t="str">
        <f>IF($B262="","",COUNTIF(Apr[Resident Name],$B262))</f>
        <v/>
      </c>
      <c r="G262" s="265" t="str">
        <f>IF($B262="","",COUNTIF(May[Resident Name],$B262))</f>
        <v/>
      </c>
      <c r="H262" s="265" t="str">
        <f>IF($B262="","",COUNTIF(June[Resident Name],$B262))</f>
        <v/>
      </c>
      <c r="I262" s="265" t="str">
        <f>IF($B262="","",COUNTIF(July[Resident Name],$B262))</f>
        <v/>
      </c>
      <c r="J262" s="265" t="str">
        <f>IF($B262="","",COUNTIF(Aug[Resident Name],$B262))</f>
        <v/>
      </c>
      <c r="K262" s="265" t="str">
        <f>IF($B262="","",COUNTIF(Sept[Resident Name],$B262))</f>
        <v/>
      </c>
      <c r="L262" s="265" t="str">
        <f>IF($B262="","",COUNTIF(Oct[Resident Name],$B262))</f>
        <v/>
      </c>
      <c r="M262" s="265" t="str">
        <f>IF($B262="","",COUNTIF(Nov[Resident Name],$B262))</f>
        <v/>
      </c>
      <c r="N262" s="265" t="str">
        <f>IF($B262="","",COUNTIF(Dec[Resident Name],$B262))</f>
        <v/>
      </c>
      <c r="O262" s="265" t="str">
        <f t="shared" si="9"/>
        <v/>
      </c>
      <c r="P262" s="11"/>
      <c r="R262" s="160" t="str">
        <f>IFERROR(INDEX($B$5:$B$172,MATCH(ROWS($R$5:R262),$X$5:$X$172,0)),"")</f>
        <v/>
      </c>
      <c r="S262" s="76" t="str">
        <f>IF($R262="","",INDEX($O$5:$O$172,MATCH(ROWS($R$5:R262),$X$5:$X$172,0)))</f>
        <v/>
      </c>
      <c r="U262" s="160" t="str">
        <f>IFERROR(INDEX($Z$5:$Z$448,MATCH(ROWS($U$5:U262),$AA$5:$AA$448,0)),"")</f>
        <v/>
      </c>
      <c r="V262" s="274" t="str">
        <f>IF(July!C39="","",July!C39)</f>
        <v/>
      </c>
      <c r="W262" s="274" t="str" cm="1">
        <f t="array" ref="W262">IF(V262="","",IF(COUNTIF($V$5:V262,V262)&gt;1,"",ROUND(1+SUMPRODUCT(($V$5:$V$448&lt;&gt;"")*($V$5:$V$448&lt;V262)/COUNTIF($V$5:$V$448,$V$5:$V$448&amp;"")),0)))</f>
        <v/>
      </c>
      <c r="X262" s="274"/>
      <c r="Z262" s="274" t="str">
        <f>IF(July!H39="Major Injury",July!C39,"")</f>
        <v/>
      </c>
      <c r="AA262" s="274" t="str" cm="1">
        <f t="array" ref="AA262">IF(Z262="","",IF(COUNTIF($Z$5:Z262,Z262)&gt;1,"",ROUND(1+SUMPRODUCT(($Z$5:$Z$448&lt;&gt;"")*($Z$5:$Z$448&lt;Z262)/COUNTIF($Z$5:$Z$448,$Z$5:$Z$448&amp;"")),0)))</f>
        <v/>
      </c>
    </row>
    <row r="263" spans="2:27" x14ac:dyDescent="0.25">
      <c r="B263" s="160" t="str">
        <f>IFERROR(INDEX($V$5:$V$448,MATCH(ROWS($B$5:B263),$W$5:$W$448,0)),"")</f>
        <v/>
      </c>
      <c r="C263" s="265" t="str">
        <f>IF($B263="","",COUNTIF(Jan[Resident Name],$B263))</f>
        <v/>
      </c>
      <c r="D263" s="265" t="str">
        <f>IF($B263="","",COUNTIF(Feb[Resident Name],$B263))</f>
        <v/>
      </c>
      <c r="E263" s="265" t="str">
        <f>IF($B263="","",COUNTIF(Mar[Resident Name],$B263))</f>
        <v/>
      </c>
      <c r="F263" s="265" t="str">
        <f>IF($B263="","",COUNTIF(Apr[Resident Name],$B263))</f>
        <v/>
      </c>
      <c r="G263" s="265" t="str">
        <f>IF($B263="","",COUNTIF(May[Resident Name],$B263))</f>
        <v/>
      </c>
      <c r="H263" s="265" t="str">
        <f>IF($B263="","",COUNTIF(June[Resident Name],$B263))</f>
        <v/>
      </c>
      <c r="I263" s="265" t="str">
        <f>IF($B263="","",COUNTIF(July[Resident Name],$B263))</f>
        <v/>
      </c>
      <c r="J263" s="265" t="str">
        <f>IF($B263="","",COUNTIF(Aug[Resident Name],$B263))</f>
        <v/>
      </c>
      <c r="K263" s="265" t="str">
        <f>IF($B263="","",COUNTIF(Sept[Resident Name],$B263))</f>
        <v/>
      </c>
      <c r="L263" s="265" t="str">
        <f>IF($B263="","",COUNTIF(Oct[Resident Name],$B263))</f>
        <v/>
      </c>
      <c r="M263" s="265" t="str">
        <f>IF($B263="","",COUNTIF(Nov[Resident Name],$B263))</f>
        <v/>
      </c>
      <c r="N263" s="265" t="str">
        <f>IF($B263="","",COUNTIF(Dec[Resident Name],$B263))</f>
        <v/>
      </c>
      <c r="O263" s="265" t="str">
        <f t="shared" si="9"/>
        <v/>
      </c>
      <c r="P263" s="11"/>
      <c r="R263" s="160" t="str">
        <f>IFERROR(INDEX($B$5:$B$172,MATCH(ROWS($R$5:R263),$X$5:$X$172,0)),"")</f>
        <v/>
      </c>
      <c r="S263" s="76" t="str">
        <f>IF($R263="","",INDEX($O$5:$O$172,MATCH(ROWS($R$5:R263),$X$5:$X$172,0)))</f>
        <v/>
      </c>
      <c r="U263" s="160" t="str">
        <f>IFERROR(INDEX($Z$5:$Z$448,MATCH(ROWS($U$5:U263),$AA$5:$AA$448,0)),"")</f>
        <v/>
      </c>
      <c r="V263" s="274" t="str">
        <f>IF(July!C40="","",July!C40)</f>
        <v/>
      </c>
      <c r="W263" s="274" t="str" cm="1">
        <f t="array" ref="W263">IF(V263="","",IF(COUNTIF($V$5:V263,V263)&gt;1,"",ROUND(1+SUMPRODUCT(($V$5:$V$448&lt;&gt;"")*($V$5:$V$448&lt;V263)/COUNTIF($V$5:$V$448,$V$5:$V$448&amp;"")),0)))</f>
        <v/>
      </c>
      <c r="X263" s="274"/>
      <c r="Z263" s="274" t="str">
        <f>IF(July!H40="Major Injury",July!C40,"")</f>
        <v/>
      </c>
      <c r="AA263" s="274" t="str" cm="1">
        <f t="array" ref="AA263">IF(Z263="","",IF(COUNTIF($Z$5:Z263,Z263)&gt;1,"",ROUND(1+SUMPRODUCT(($Z$5:$Z$448&lt;&gt;"")*($Z$5:$Z$448&lt;Z263)/COUNTIF($Z$5:$Z$448,$Z$5:$Z$448&amp;"")),0)))</f>
        <v/>
      </c>
    </row>
    <row r="264" spans="2:27" x14ac:dyDescent="0.25">
      <c r="B264" s="160" t="str">
        <f>IFERROR(INDEX($V$5:$V$448,MATCH(ROWS($B$5:B264),$W$5:$W$448,0)),"")</f>
        <v/>
      </c>
      <c r="C264" s="265" t="str">
        <f>IF($B264="","",COUNTIF(Jan[Resident Name],$B264))</f>
        <v/>
      </c>
      <c r="D264" s="265" t="str">
        <f>IF($B264="","",COUNTIF(Feb[Resident Name],$B264))</f>
        <v/>
      </c>
      <c r="E264" s="265" t="str">
        <f>IF($B264="","",COUNTIF(Mar[Resident Name],$B264))</f>
        <v/>
      </c>
      <c r="F264" s="265" t="str">
        <f>IF($B264="","",COUNTIF(Apr[Resident Name],$B264))</f>
        <v/>
      </c>
      <c r="G264" s="265" t="str">
        <f>IF($B264="","",COUNTIF(May[Resident Name],$B264))</f>
        <v/>
      </c>
      <c r="H264" s="265" t="str">
        <f>IF($B264="","",COUNTIF(June[Resident Name],$B264))</f>
        <v/>
      </c>
      <c r="I264" s="265" t="str">
        <f>IF($B264="","",COUNTIF(July[Resident Name],$B264))</f>
        <v/>
      </c>
      <c r="J264" s="265" t="str">
        <f>IF($B264="","",COUNTIF(Aug[Resident Name],$B264))</f>
        <v/>
      </c>
      <c r="K264" s="265" t="str">
        <f>IF($B264="","",COUNTIF(Sept[Resident Name],$B264))</f>
        <v/>
      </c>
      <c r="L264" s="265" t="str">
        <f>IF($B264="","",COUNTIF(Oct[Resident Name],$B264))</f>
        <v/>
      </c>
      <c r="M264" s="265" t="str">
        <f>IF($B264="","",COUNTIF(Nov[Resident Name],$B264))</f>
        <v/>
      </c>
      <c r="N264" s="265" t="str">
        <f>IF($B264="","",COUNTIF(Dec[Resident Name],$B264))</f>
        <v/>
      </c>
      <c r="O264" s="265" t="str">
        <f t="shared" si="9"/>
        <v/>
      </c>
      <c r="P264" s="11"/>
      <c r="R264" s="160" t="str">
        <f>IFERROR(INDEX($B$5:$B$172,MATCH(ROWS($R$5:R264),$X$5:$X$172,0)),"")</f>
        <v/>
      </c>
      <c r="S264" s="76" t="str">
        <f>IF($R264="","",INDEX($O$5:$O$172,MATCH(ROWS($R$5:R264),$X$5:$X$172,0)))</f>
        <v/>
      </c>
      <c r="U264" s="160" t="str">
        <f>IFERROR(INDEX($Z$5:$Z$448,MATCH(ROWS($U$5:U264),$AA$5:$AA$448,0)),"")</f>
        <v/>
      </c>
      <c r="V264" s="274" t="str">
        <f>IF(Aug!C4="","",Aug!C4)</f>
        <v/>
      </c>
      <c r="W264" s="274" t="str" cm="1">
        <f t="array" ref="W264">IF(V264="","",IF(COUNTIF($V$5:V264,V264)&gt;1,"",ROUND(1+SUMPRODUCT(($V$5:$V$448&lt;&gt;"")*($V$5:$V$448&lt;V264)/COUNTIF($V$5:$V$448,$V$5:$V$448&amp;"")),0)))</f>
        <v/>
      </c>
      <c r="X264" s="274"/>
      <c r="Z264" s="274" t="str">
        <f>IF(Aug!H4="Major Injury",Aug!C4,"")</f>
        <v/>
      </c>
      <c r="AA264" s="274" t="str" cm="1">
        <f t="array" ref="AA264">IF(Z264="","",IF(COUNTIF($Z$5:Z264,Z264)&gt;1,"",ROUND(1+SUMPRODUCT(($Z$5:$Z$448&lt;&gt;"")*($Z$5:$Z$448&lt;Z264)/COUNTIF($Z$5:$Z$448,$Z$5:$Z$448&amp;"")),0)))</f>
        <v/>
      </c>
    </row>
    <row r="265" spans="2:27" x14ac:dyDescent="0.25">
      <c r="B265" s="160" t="str">
        <f>IFERROR(INDEX($V$5:$V$448,MATCH(ROWS($B$5:B265),$W$5:$W$448,0)),"")</f>
        <v/>
      </c>
      <c r="C265" s="265" t="str">
        <f>IF($B265="","",COUNTIF(Jan[Resident Name],$B265))</f>
        <v/>
      </c>
      <c r="D265" s="265" t="str">
        <f>IF($B265="","",COUNTIF(Feb[Resident Name],$B265))</f>
        <v/>
      </c>
      <c r="E265" s="265" t="str">
        <f>IF($B265="","",COUNTIF(Mar[Resident Name],$B265))</f>
        <v/>
      </c>
      <c r="F265" s="265" t="str">
        <f>IF($B265="","",COUNTIF(Apr[Resident Name],$B265))</f>
        <v/>
      </c>
      <c r="G265" s="265" t="str">
        <f>IF($B265="","",COUNTIF(May[Resident Name],$B265))</f>
        <v/>
      </c>
      <c r="H265" s="265" t="str">
        <f>IF($B265="","",COUNTIF(June[Resident Name],$B265))</f>
        <v/>
      </c>
      <c r="I265" s="265" t="str">
        <f>IF($B265="","",COUNTIF(July[Resident Name],$B265))</f>
        <v/>
      </c>
      <c r="J265" s="265" t="str">
        <f>IF($B265="","",COUNTIF(Aug[Resident Name],$B265))</f>
        <v/>
      </c>
      <c r="K265" s="265" t="str">
        <f>IF($B265="","",COUNTIF(Sept[Resident Name],$B265))</f>
        <v/>
      </c>
      <c r="L265" s="265" t="str">
        <f>IF($B265="","",COUNTIF(Oct[Resident Name],$B265))</f>
        <v/>
      </c>
      <c r="M265" s="265" t="str">
        <f>IF($B265="","",COUNTIF(Nov[Resident Name],$B265))</f>
        <v/>
      </c>
      <c r="N265" s="265" t="str">
        <f>IF($B265="","",COUNTIF(Dec[Resident Name],$B265))</f>
        <v/>
      </c>
      <c r="O265" s="265" t="str">
        <f t="shared" ref="O265:O328" si="10">IF($B265="","",SUM(C265:N265))</f>
        <v/>
      </c>
      <c r="P265" s="11"/>
      <c r="R265" s="160" t="str">
        <f>IFERROR(INDEX($B$5:$B$172,MATCH(ROWS($R$5:R265),$X$5:$X$172,0)),"")</f>
        <v/>
      </c>
      <c r="S265" s="76" t="str">
        <f>IF($R265="","",INDEX($O$5:$O$172,MATCH(ROWS($R$5:R265),$X$5:$X$172,0)))</f>
        <v/>
      </c>
      <c r="U265" s="160" t="str">
        <f>IFERROR(INDEX($Z$5:$Z$448,MATCH(ROWS($U$5:U265),$AA$5:$AA$448,0)),"")</f>
        <v/>
      </c>
      <c r="V265" s="274" t="str">
        <f>IF(Aug!C5="","",Aug!C5)</f>
        <v/>
      </c>
      <c r="W265" s="274" t="str" cm="1">
        <f t="array" ref="W265">IF(V265="","",IF(COUNTIF($V$5:V265,V265)&gt;1,"",ROUND(1+SUMPRODUCT(($V$5:$V$448&lt;&gt;"")*($V$5:$V$448&lt;V265)/COUNTIF($V$5:$V$448,$V$5:$V$448&amp;"")),0)))</f>
        <v/>
      </c>
      <c r="X265" s="274"/>
      <c r="Z265" s="274" t="str">
        <f>IF(Aug!H5="Major Injury",Aug!C5,"")</f>
        <v/>
      </c>
      <c r="AA265" s="274" t="str" cm="1">
        <f t="array" ref="AA265">IF(Z265="","",IF(COUNTIF($Z$5:Z265,Z265)&gt;1,"",ROUND(1+SUMPRODUCT(($Z$5:$Z$448&lt;&gt;"")*($Z$5:$Z$448&lt;Z265)/COUNTIF($Z$5:$Z$448,$Z$5:$Z$448&amp;"")),0)))</f>
        <v/>
      </c>
    </row>
    <row r="266" spans="2:27" x14ac:dyDescent="0.25">
      <c r="B266" s="160" t="str">
        <f>IFERROR(INDEX($V$5:$V$448,MATCH(ROWS($B$5:B266),$W$5:$W$448,0)),"")</f>
        <v/>
      </c>
      <c r="C266" s="265" t="str">
        <f>IF($B266="","",COUNTIF(Jan[Resident Name],$B266))</f>
        <v/>
      </c>
      <c r="D266" s="265" t="str">
        <f>IF($B266="","",COUNTIF(Feb[Resident Name],$B266))</f>
        <v/>
      </c>
      <c r="E266" s="265" t="str">
        <f>IF($B266="","",COUNTIF(Mar[Resident Name],$B266))</f>
        <v/>
      </c>
      <c r="F266" s="265" t="str">
        <f>IF($B266="","",COUNTIF(Apr[Resident Name],$B266))</f>
        <v/>
      </c>
      <c r="G266" s="265" t="str">
        <f>IF($B266="","",COUNTIF(May[Resident Name],$B266))</f>
        <v/>
      </c>
      <c r="H266" s="265" t="str">
        <f>IF($B266="","",COUNTIF(June[Resident Name],$B266))</f>
        <v/>
      </c>
      <c r="I266" s="265" t="str">
        <f>IF($B266="","",COUNTIF(July[Resident Name],$B266))</f>
        <v/>
      </c>
      <c r="J266" s="265" t="str">
        <f>IF($B266="","",COUNTIF(Aug[Resident Name],$B266))</f>
        <v/>
      </c>
      <c r="K266" s="265" t="str">
        <f>IF($B266="","",COUNTIF(Sept[Resident Name],$B266))</f>
        <v/>
      </c>
      <c r="L266" s="265" t="str">
        <f>IF($B266="","",COUNTIF(Oct[Resident Name],$B266))</f>
        <v/>
      </c>
      <c r="M266" s="265" t="str">
        <f>IF($B266="","",COUNTIF(Nov[Resident Name],$B266))</f>
        <v/>
      </c>
      <c r="N266" s="265" t="str">
        <f>IF($B266="","",COUNTIF(Dec[Resident Name],$B266))</f>
        <v/>
      </c>
      <c r="O266" s="265" t="str">
        <f t="shared" si="10"/>
        <v/>
      </c>
      <c r="P266" s="11"/>
      <c r="R266" s="160" t="str">
        <f>IFERROR(INDEX($B$5:$B$172,MATCH(ROWS($R$5:R266),$X$5:$X$172,0)),"")</f>
        <v/>
      </c>
      <c r="S266" s="76" t="str">
        <f>IF($R266="","",INDEX($O$5:$O$172,MATCH(ROWS($R$5:R266),$X$5:$X$172,0)))</f>
        <v/>
      </c>
      <c r="U266" s="160" t="str">
        <f>IFERROR(INDEX($Z$5:$Z$448,MATCH(ROWS($U$5:U266),$AA$5:$AA$448,0)),"")</f>
        <v/>
      </c>
      <c r="V266" s="274" t="str">
        <f>IF(Aug!C6="","",Aug!C6)</f>
        <v/>
      </c>
      <c r="W266" s="274" t="str" cm="1">
        <f t="array" ref="W266">IF(V266="","",IF(COUNTIF($V$5:V266,V266)&gt;1,"",ROUND(1+SUMPRODUCT(($V$5:$V$448&lt;&gt;"")*($V$5:$V$448&lt;V266)/COUNTIF($V$5:$V$448,$V$5:$V$448&amp;"")),0)))</f>
        <v/>
      </c>
      <c r="X266" s="274"/>
      <c r="Z266" s="274" t="str">
        <f>IF(Aug!H6="Major Injury",Aug!C6,"")</f>
        <v/>
      </c>
      <c r="AA266" s="274" t="str" cm="1">
        <f t="array" ref="AA266">IF(Z266="","",IF(COUNTIF($Z$5:Z266,Z266)&gt;1,"",ROUND(1+SUMPRODUCT(($Z$5:$Z$448&lt;&gt;"")*($Z$5:$Z$448&lt;Z266)/COUNTIF($Z$5:$Z$448,$Z$5:$Z$448&amp;"")),0)))</f>
        <v/>
      </c>
    </row>
    <row r="267" spans="2:27" x14ac:dyDescent="0.25">
      <c r="B267" s="160" t="str">
        <f>IFERROR(INDEX($V$5:$V$448,MATCH(ROWS($B$5:B267),$W$5:$W$448,0)),"")</f>
        <v/>
      </c>
      <c r="C267" s="265" t="str">
        <f>IF($B267="","",COUNTIF(Jan[Resident Name],$B267))</f>
        <v/>
      </c>
      <c r="D267" s="265" t="str">
        <f>IF($B267="","",COUNTIF(Feb[Resident Name],$B267))</f>
        <v/>
      </c>
      <c r="E267" s="265" t="str">
        <f>IF($B267="","",COUNTIF(Mar[Resident Name],$B267))</f>
        <v/>
      </c>
      <c r="F267" s="265" t="str">
        <f>IF($B267="","",COUNTIF(Apr[Resident Name],$B267))</f>
        <v/>
      </c>
      <c r="G267" s="265" t="str">
        <f>IF($B267="","",COUNTIF(May[Resident Name],$B267))</f>
        <v/>
      </c>
      <c r="H267" s="265" t="str">
        <f>IF($B267="","",COUNTIF(June[Resident Name],$B267))</f>
        <v/>
      </c>
      <c r="I267" s="265" t="str">
        <f>IF($B267="","",COUNTIF(July[Resident Name],$B267))</f>
        <v/>
      </c>
      <c r="J267" s="265" t="str">
        <f>IF($B267="","",COUNTIF(Aug[Resident Name],$B267))</f>
        <v/>
      </c>
      <c r="K267" s="265" t="str">
        <f>IF($B267="","",COUNTIF(Sept[Resident Name],$B267))</f>
        <v/>
      </c>
      <c r="L267" s="265" t="str">
        <f>IF($B267="","",COUNTIF(Oct[Resident Name],$B267))</f>
        <v/>
      </c>
      <c r="M267" s="265" t="str">
        <f>IF($B267="","",COUNTIF(Nov[Resident Name],$B267))</f>
        <v/>
      </c>
      <c r="N267" s="265" t="str">
        <f>IF($B267="","",COUNTIF(Dec[Resident Name],$B267))</f>
        <v/>
      </c>
      <c r="O267" s="265" t="str">
        <f t="shared" si="10"/>
        <v/>
      </c>
      <c r="P267" s="11"/>
      <c r="R267" s="160" t="str">
        <f>IFERROR(INDEX($B$5:$B$172,MATCH(ROWS($R$5:R267),$X$5:$X$172,0)),"")</f>
        <v/>
      </c>
      <c r="S267" s="76" t="str">
        <f>IF($R267="","",INDEX($O$5:$O$172,MATCH(ROWS($R$5:R267),$X$5:$X$172,0)))</f>
        <v/>
      </c>
      <c r="U267" s="160" t="str">
        <f>IFERROR(INDEX($Z$5:$Z$448,MATCH(ROWS($U$5:U267),$AA$5:$AA$448,0)),"")</f>
        <v/>
      </c>
      <c r="V267" s="274" t="str">
        <f>IF(Aug!C7="","",Aug!C7)</f>
        <v/>
      </c>
      <c r="W267" s="274" t="str" cm="1">
        <f t="array" ref="W267">IF(V267="","",IF(COUNTIF($V$5:V267,V267)&gt;1,"",ROUND(1+SUMPRODUCT(($V$5:$V$448&lt;&gt;"")*($V$5:$V$448&lt;V267)/COUNTIF($V$5:$V$448,$V$5:$V$448&amp;"")),0)))</f>
        <v/>
      </c>
      <c r="X267" s="274"/>
      <c r="Z267" s="274" t="str">
        <f>IF(Aug!H7="Major Injury",Aug!C7,"")</f>
        <v/>
      </c>
      <c r="AA267" s="274" t="str" cm="1">
        <f t="array" ref="AA267">IF(Z267="","",IF(COUNTIF($Z$5:Z267,Z267)&gt;1,"",ROUND(1+SUMPRODUCT(($Z$5:$Z$448&lt;&gt;"")*($Z$5:$Z$448&lt;Z267)/COUNTIF($Z$5:$Z$448,$Z$5:$Z$448&amp;"")),0)))</f>
        <v/>
      </c>
    </row>
    <row r="268" spans="2:27" x14ac:dyDescent="0.25">
      <c r="B268" s="160" t="str">
        <f>IFERROR(INDEX($V$5:$V$448,MATCH(ROWS($B$5:B268),$W$5:$W$448,0)),"")</f>
        <v/>
      </c>
      <c r="C268" s="265" t="str">
        <f>IF($B268="","",COUNTIF(Jan[Resident Name],$B268))</f>
        <v/>
      </c>
      <c r="D268" s="265" t="str">
        <f>IF($B268="","",COUNTIF(Feb[Resident Name],$B268))</f>
        <v/>
      </c>
      <c r="E268" s="265" t="str">
        <f>IF($B268="","",COUNTIF(Mar[Resident Name],$B268))</f>
        <v/>
      </c>
      <c r="F268" s="265" t="str">
        <f>IF($B268="","",COUNTIF(Apr[Resident Name],$B268))</f>
        <v/>
      </c>
      <c r="G268" s="265" t="str">
        <f>IF($B268="","",COUNTIF(May[Resident Name],$B268))</f>
        <v/>
      </c>
      <c r="H268" s="265" t="str">
        <f>IF($B268="","",COUNTIF(June[Resident Name],$B268))</f>
        <v/>
      </c>
      <c r="I268" s="265" t="str">
        <f>IF($B268="","",COUNTIF(July[Resident Name],$B268))</f>
        <v/>
      </c>
      <c r="J268" s="265" t="str">
        <f>IF($B268="","",COUNTIF(Aug[Resident Name],$B268))</f>
        <v/>
      </c>
      <c r="K268" s="265" t="str">
        <f>IF($B268="","",COUNTIF(Sept[Resident Name],$B268))</f>
        <v/>
      </c>
      <c r="L268" s="265" t="str">
        <f>IF($B268="","",COUNTIF(Oct[Resident Name],$B268))</f>
        <v/>
      </c>
      <c r="M268" s="265" t="str">
        <f>IF($B268="","",COUNTIF(Nov[Resident Name],$B268))</f>
        <v/>
      </c>
      <c r="N268" s="265" t="str">
        <f>IF($B268="","",COUNTIF(Dec[Resident Name],$B268))</f>
        <v/>
      </c>
      <c r="O268" s="265" t="str">
        <f t="shared" si="10"/>
        <v/>
      </c>
      <c r="P268" s="11"/>
      <c r="R268" s="160" t="str">
        <f>IFERROR(INDEX($B$5:$B$172,MATCH(ROWS($R$5:R268),$X$5:$X$172,0)),"")</f>
        <v/>
      </c>
      <c r="S268" s="76" t="str">
        <f>IF($R268="","",INDEX($O$5:$O$172,MATCH(ROWS($R$5:R268),$X$5:$X$172,0)))</f>
        <v/>
      </c>
      <c r="U268" s="160" t="str">
        <f>IFERROR(INDEX($Z$5:$Z$448,MATCH(ROWS($U$5:U268),$AA$5:$AA$448,0)),"")</f>
        <v/>
      </c>
      <c r="V268" s="274" t="str">
        <f>IF(Aug!C8="","",Aug!C8)</f>
        <v/>
      </c>
      <c r="W268" s="274" t="str" cm="1">
        <f t="array" ref="W268">IF(V268="","",IF(COUNTIF($V$5:V268,V268)&gt;1,"",ROUND(1+SUMPRODUCT(($V$5:$V$448&lt;&gt;"")*($V$5:$V$448&lt;V268)/COUNTIF($V$5:$V$448,$V$5:$V$448&amp;"")),0)))</f>
        <v/>
      </c>
      <c r="X268" s="274"/>
      <c r="Z268" s="274" t="str">
        <f>IF(Aug!H8="Major Injury",Aug!C8,"")</f>
        <v/>
      </c>
      <c r="AA268" s="274" t="str" cm="1">
        <f t="array" ref="AA268">IF(Z268="","",IF(COUNTIF($Z$5:Z268,Z268)&gt;1,"",ROUND(1+SUMPRODUCT(($Z$5:$Z$448&lt;&gt;"")*($Z$5:$Z$448&lt;Z268)/COUNTIF($Z$5:$Z$448,$Z$5:$Z$448&amp;"")),0)))</f>
        <v/>
      </c>
    </row>
    <row r="269" spans="2:27" x14ac:dyDescent="0.25">
      <c r="B269" s="160" t="str">
        <f>IFERROR(INDEX($V$5:$V$448,MATCH(ROWS($B$5:B269),$W$5:$W$448,0)),"")</f>
        <v/>
      </c>
      <c r="C269" s="265" t="str">
        <f>IF($B269="","",COUNTIF(Jan[Resident Name],$B269))</f>
        <v/>
      </c>
      <c r="D269" s="265" t="str">
        <f>IF($B269="","",COUNTIF(Feb[Resident Name],$B269))</f>
        <v/>
      </c>
      <c r="E269" s="265" t="str">
        <f>IF($B269="","",COUNTIF(Mar[Resident Name],$B269))</f>
        <v/>
      </c>
      <c r="F269" s="265" t="str">
        <f>IF($B269="","",COUNTIF(Apr[Resident Name],$B269))</f>
        <v/>
      </c>
      <c r="G269" s="265" t="str">
        <f>IF($B269="","",COUNTIF(May[Resident Name],$B269))</f>
        <v/>
      </c>
      <c r="H269" s="265" t="str">
        <f>IF($B269="","",COUNTIF(June[Resident Name],$B269))</f>
        <v/>
      </c>
      <c r="I269" s="265" t="str">
        <f>IF($B269="","",COUNTIF(July[Resident Name],$B269))</f>
        <v/>
      </c>
      <c r="J269" s="265" t="str">
        <f>IF($B269="","",COUNTIF(Aug[Resident Name],$B269))</f>
        <v/>
      </c>
      <c r="K269" s="265" t="str">
        <f>IF($B269="","",COUNTIF(Sept[Resident Name],$B269))</f>
        <v/>
      </c>
      <c r="L269" s="265" t="str">
        <f>IF($B269="","",COUNTIF(Oct[Resident Name],$B269))</f>
        <v/>
      </c>
      <c r="M269" s="265" t="str">
        <f>IF($B269="","",COUNTIF(Nov[Resident Name],$B269))</f>
        <v/>
      </c>
      <c r="N269" s="265" t="str">
        <f>IF($B269="","",COUNTIF(Dec[Resident Name],$B269))</f>
        <v/>
      </c>
      <c r="O269" s="265" t="str">
        <f t="shared" si="10"/>
        <v/>
      </c>
      <c r="P269" s="11"/>
      <c r="R269" s="160" t="str">
        <f>IFERROR(INDEX($B$5:$B$172,MATCH(ROWS($R$5:R269),$X$5:$X$172,0)),"")</f>
        <v/>
      </c>
      <c r="S269" s="76" t="str">
        <f>IF($R269="","",INDEX($O$5:$O$172,MATCH(ROWS($R$5:R269),$X$5:$X$172,0)))</f>
        <v/>
      </c>
      <c r="U269" s="160" t="str">
        <f>IFERROR(INDEX($Z$5:$Z$448,MATCH(ROWS($U$5:U269),$AA$5:$AA$448,0)),"")</f>
        <v/>
      </c>
      <c r="V269" s="274" t="str">
        <f>IF(Aug!C9="","",Aug!C9)</f>
        <v/>
      </c>
      <c r="W269" s="274" t="str" cm="1">
        <f t="array" ref="W269">IF(V269="","",IF(COUNTIF($V$5:V269,V269)&gt;1,"",ROUND(1+SUMPRODUCT(($V$5:$V$448&lt;&gt;"")*($V$5:$V$448&lt;V269)/COUNTIF($V$5:$V$448,$V$5:$V$448&amp;"")),0)))</f>
        <v/>
      </c>
      <c r="X269" s="274"/>
      <c r="Z269" s="274" t="str">
        <f>IF(Aug!H9="Major Injury",Aug!C9,"")</f>
        <v/>
      </c>
      <c r="AA269" s="274" t="str" cm="1">
        <f t="array" ref="AA269">IF(Z269="","",IF(COUNTIF($Z$5:Z269,Z269)&gt;1,"",ROUND(1+SUMPRODUCT(($Z$5:$Z$448&lt;&gt;"")*($Z$5:$Z$448&lt;Z269)/COUNTIF($Z$5:$Z$448,$Z$5:$Z$448&amp;"")),0)))</f>
        <v/>
      </c>
    </row>
    <row r="270" spans="2:27" x14ac:dyDescent="0.25">
      <c r="B270" s="160" t="str">
        <f>IFERROR(INDEX($V$5:$V$448,MATCH(ROWS($B$5:B270),$W$5:$W$448,0)),"")</f>
        <v/>
      </c>
      <c r="C270" s="265" t="str">
        <f>IF($B270="","",COUNTIF(Jan[Resident Name],$B270))</f>
        <v/>
      </c>
      <c r="D270" s="265" t="str">
        <f>IF($B270="","",COUNTIF(Feb[Resident Name],$B270))</f>
        <v/>
      </c>
      <c r="E270" s="265" t="str">
        <f>IF($B270="","",COUNTIF(Mar[Resident Name],$B270))</f>
        <v/>
      </c>
      <c r="F270" s="265" t="str">
        <f>IF($B270="","",COUNTIF(Apr[Resident Name],$B270))</f>
        <v/>
      </c>
      <c r="G270" s="265" t="str">
        <f>IF($B270="","",COUNTIF(May[Resident Name],$B270))</f>
        <v/>
      </c>
      <c r="H270" s="265" t="str">
        <f>IF($B270="","",COUNTIF(June[Resident Name],$B270))</f>
        <v/>
      </c>
      <c r="I270" s="265" t="str">
        <f>IF($B270="","",COUNTIF(July[Resident Name],$B270))</f>
        <v/>
      </c>
      <c r="J270" s="265" t="str">
        <f>IF($B270="","",COUNTIF(Aug[Resident Name],$B270))</f>
        <v/>
      </c>
      <c r="K270" s="265" t="str">
        <f>IF($B270="","",COUNTIF(Sept[Resident Name],$B270))</f>
        <v/>
      </c>
      <c r="L270" s="265" t="str">
        <f>IF($B270="","",COUNTIF(Oct[Resident Name],$B270))</f>
        <v/>
      </c>
      <c r="M270" s="265" t="str">
        <f>IF($B270="","",COUNTIF(Nov[Resident Name],$B270))</f>
        <v/>
      </c>
      <c r="N270" s="265" t="str">
        <f>IF($B270="","",COUNTIF(Dec[Resident Name],$B270))</f>
        <v/>
      </c>
      <c r="O270" s="265" t="str">
        <f t="shared" si="10"/>
        <v/>
      </c>
      <c r="P270" s="11"/>
      <c r="R270" s="160" t="str">
        <f>IFERROR(INDEX($B$5:$B$172,MATCH(ROWS($R$5:R270),$X$5:$X$172,0)),"")</f>
        <v/>
      </c>
      <c r="S270" s="76" t="str">
        <f>IF($R270="","",INDEX($O$5:$O$172,MATCH(ROWS($R$5:R270),$X$5:$X$172,0)))</f>
        <v/>
      </c>
      <c r="U270" s="160" t="str">
        <f>IFERROR(INDEX($Z$5:$Z$448,MATCH(ROWS($U$5:U270),$AA$5:$AA$448,0)),"")</f>
        <v/>
      </c>
      <c r="V270" s="274" t="str">
        <f>IF(Aug!C10="","",Aug!C10)</f>
        <v/>
      </c>
      <c r="W270" s="274" t="str" cm="1">
        <f t="array" ref="W270">IF(V270="","",IF(COUNTIF($V$5:V270,V270)&gt;1,"",ROUND(1+SUMPRODUCT(($V$5:$V$448&lt;&gt;"")*($V$5:$V$448&lt;V270)/COUNTIF($V$5:$V$448,$V$5:$V$448&amp;"")),0)))</f>
        <v/>
      </c>
      <c r="X270" s="274"/>
      <c r="Z270" s="274" t="str">
        <f>IF(Aug!H10="Major Injury",Aug!C10,"")</f>
        <v/>
      </c>
      <c r="AA270" s="274" t="str" cm="1">
        <f t="array" ref="AA270">IF(Z270="","",IF(COUNTIF($Z$5:Z270,Z270)&gt;1,"",ROUND(1+SUMPRODUCT(($Z$5:$Z$448&lt;&gt;"")*($Z$5:$Z$448&lt;Z270)/COUNTIF($Z$5:$Z$448,$Z$5:$Z$448&amp;"")),0)))</f>
        <v/>
      </c>
    </row>
    <row r="271" spans="2:27" x14ac:dyDescent="0.25">
      <c r="B271" s="160" t="str">
        <f>IFERROR(INDEX($V$5:$V$448,MATCH(ROWS($B$5:B271),$W$5:$W$448,0)),"")</f>
        <v/>
      </c>
      <c r="C271" s="265" t="str">
        <f>IF($B271="","",COUNTIF(Jan[Resident Name],$B271))</f>
        <v/>
      </c>
      <c r="D271" s="265" t="str">
        <f>IF($B271="","",COUNTIF(Feb[Resident Name],$B271))</f>
        <v/>
      </c>
      <c r="E271" s="265" t="str">
        <f>IF($B271="","",COUNTIF(Mar[Resident Name],$B271))</f>
        <v/>
      </c>
      <c r="F271" s="265" t="str">
        <f>IF($B271="","",COUNTIF(Apr[Resident Name],$B271))</f>
        <v/>
      </c>
      <c r="G271" s="265" t="str">
        <f>IF($B271="","",COUNTIF(May[Resident Name],$B271))</f>
        <v/>
      </c>
      <c r="H271" s="265" t="str">
        <f>IF($B271="","",COUNTIF(June[Resident Name],$B271))</f>
        <v/>
      </c>
      <c r="I271" s="265" t="str">
        <f>IF($B271="","",COUNTIF(July[Resident Name],$B271))</f>
        <v/>
      </c>
      <c r="J271" s="265" t="str">
        <f>IF($B271="","",COUNTIF(Aug[Resident Name],$B271))</f>
        <v/>
      </c>
      <c r="K271" s="265" t="str">
        <f>IF($B271="","",COUNTIF(Sept[Resident Name],$B271))</f>
        <v/>
      </c>
      <c r="L271" s="265" t="str">
        <f>IF($B271="","",COUNTIF(Oct[Resident Name],$B271))</f>
        <v/>
      </c>
      <c r="M271" s="265" t="str">
        <f>IF($B271="","",COUNTIF(Nov[Resident Name],$B271))</f>
        <v/>
      </c>
      <c r="N271" s="265" t="str">
        <f>IF($B271="","",COUNTIF(Dec[Resident Name],$B271))</f>
        <v/>
      </c>
      <c r="O271" s="265" t="str">
        <f t="shared" si="10"/>
        <v/>
      </c>
      <c r="P271" s="11"/>
      <c r="R271" s="160" t="str">
        <f>IFERROR(INDEX($B$5:$B$172,MATCH(ROWS($R$5:R271),$X$5:$X$172,0)),"")</f>
        <v/>
      </c>
      <c r="S271" s="76" t="str">
        <f>IF($R271="","",INDEX($O$5:$O$172,MATCH(ROWS($R$5:R271),$X$5:$X$172,0)))</f>
        <v/>
      </c>
      <c r="U271" s="160" t="str">
        <f>IFERROR(INDEX($Z$5:$Z$448,MATCH(ROWS($U$5:U271),$AA$5:$AA$448,0)),"")</f>
        <v/>
      </c>
      <c r="V271" s="274" t="str">
        <f>IF(Aug!C11="","",Aug!C11)</f>
        <v/>
      </c>
      <c r="W271" s="274" t="str" cm="1">
        <f t="array" ref="W271">IF(V271="","",IF(COUNTIF($V$5:V271,V271)&gt;1,"",ROUND(1+SUMPRODUCT(($V$5:$V$448&lt;&gt;"")*($V$5:$V$448&lt;V271)/COUNTIF($V$5:$V$448,$V$5:$V$448&amp;"")),0)))</f>
        <v/>
      </c>
      <c r="X271" s="274"/>
      <c r="Z271" s="274" t="str">
        <f>IF(Aug!H11="Major Injury",Aug!C11,"")</f>
        <v/>
      </c>
      <c r="AA271" s="274" t="str" cm="1">
        <f t="array" ref="AA271">IF(Z271="","",IF(COUNTIF($Z$5:Z271,Z271)&gt;1,"",ROUND(1+SUMPRODUCT(($Z$5:$Z$448&lt;&gt;"")*($Z$5:$Z$448&lt;Z271)/COUNTIF($Z$5:$Z$448,$Z$5:$Z$448&amp;"")),0)))</f>
        <v/>
      </c>
    </row>
    <row r="272" spans="2:27" x14ac:dyDescent="0.25">
      <c r="B272" s="160" t="str">
        <f>IFERROR(INDEX($V$5:$V$448,MATCH(ROWS($B$5:B272),$W$5:$W$448,0)),"")</f>
        <v/>
      </c>
      <c r="C272" s="265" t="str">
        <f>IF($B272="","",COUNTIF(Jan[Resident Name],$B272))</f>
        <v/>
      </c>
      <c r="D272" s="265" t="str">
        <f>IF($B272="","",COUNTIF(Feb[Resident Name],$B272))</f>
        <v/>
      </c>
      <c r="E272" s="265" t="str">
        <f>IF($B272="","",COUNTIF(Mar[Resident Name],$B272))</f>
        <v/>
      </c>
      <c r="F272" s="265" t="str">
        <f>IF($B272="","",COUNTIF(Apr[Resident Name],$B272))</f>
        <v/>
      </c>
      <c r="G272" s="265" t="str">
        <f>IF($B272="","",COUNTIF(May[Resident Name],$B272))</f>
        <v/>
      </c>
      <c r="H272" s="265" t="str">
        <f>IF($B272="","",COUNTIF(June[Resident Name],$B272))</f>
        <v/>
      </c>
      <c r="I272" s="265" t="str">
        <f>IF($B272="","",COUNTIF(July[Resident Name],$B272))</f>
        <v/>
      </c>
      <c r="J272" s="265" t="str">
        <f>IF($B272="","",COUNTIF(Aug[Resident Name],$B272))</f>
        <v/>
      </c>
      <c r="K272" s="265" t="str">
        <f>IF($B272="","",COUNTIF(Sept[Resident Name],$B272))</f>
        <v/>
      </c>
      <c r="L272" s="265" t="str">
        <f>IF($B272="","",COUNTIF(Oct[Resident Name],$B272))</f>
        <v/>
      </c>
      <c r="M272" s="265" t="str">
        <f>IF($B272="","",COUNTIF(Nov[Resident Name],$B272))</f>
        <v/>
      </c>
      <c r="N272" s="265" t="str">
        <f>IF($B272="","",COUNTIF(Dec[Resident Name],$B272))</f>
        <v/>
      </c>
      <c r="O272" s="265" t="str">
        <f t="shared" si="10"/>
        <v/>
      </c>
      <c r="P272" s="11"/>
      <c r="R272" s="160" t="str">
        <f>IFERROR(INDEX($B$5:$B$172,MATCH(ROWS($R$5:R272),$X$5:$X$172,0)),"")</f>
        <v/>
      </c>
      <c r="S272" s="76" t="str">
        <f>IF($R272="","",INDEX($O$5:$O$172,MATCH(ROWS($R$5:R272),$X$5:$X$172,0)))</f>
        <v/>
      </c>
      <c r="U272" s="160" t="str">
        <f>IFERROR(INDEX($Z$5:$Z$448,MATCH(ROWS($U$5:U272),$AA$5:$AA$448,0)),"")</f>
        <v/>
      </c>
      <c r="V272" s="274" t="str">
        <f>IF(Aug!C12="","",Aug!C12)</f>
        <v/>
      </c>
      <c r="W272" s="274" t="str" cm="1">
        <f t="array" ref="W272">IF(V272="","",IF(COUNTIF($V$5:V272,V272)&gt;1,"",ROUND(1+SUMPRODUCT(($V$5:$V$448&lt;&gt;"")*($V$5:$V$448&lt;V272)/COUNTIF($V$5:$V$448,$V$5:$V$448&amp;"")),0)))</f>
        <v/>
      </c>
      <c r="X272" s="274"/>
      <c r="Z272" s="274" t="str">
        <f>IF(Aug!H12="Major Injury",Aug!C12,"")</f>
        <v/>
      </c>
      <c r="AA272" s="274" t="str" cm="1">
        <f t="array" ref="AA272">IF(Z272="","",IF(COUNTIF($Z$5:Z272,Z272)&gt;1,"",ROUND(1+SUMPRODUCT(($Z$5:$Z$448&lt;&gt;"")*($Z$5:$Z$448&lt;Z272)/COUNTIF($Z$5:$Z$448,$Z$5:$Z$448&amp;"")),0)))</f>
        <v/>
      </c>
    </row>
    <row r="273" spans="2:27" x14ac:dyDescent="0.25">
      <c r="B273" s="160" t="str">
        <f>IFERROR(INDEX($V$5:$V$448,MATCH(ROWS($B$5:B273),$W$5:$W$448,0)),"")</f>
        <v/>
      </c>
      <c r="C273" s="265" t="str">
        <f>IF($B273="","",COUNTIF(Jan[Resident Name],$B273))</f>
        <v/>
      </c>
      <c r="D273" s="265" t="str">
        <f>IF($B273="","",COUNTIF(Feb[Resident Name],$B273))</f>
        <v/>
      </c>
      <c r="E273" s="265" t="str">
        <f>IF($B273="","",COUNTIF(Mar[Resident Name],$B273))</f>
        <v/>
      </c>
      <c r="F273" s="265" t="str">
        <f>IF($B273="","",COUNTIF(Apr[Resident Name],$B273))</f>
        <v/>
      </c>
      <c r="G273" s="265" t="str">
        <f>IF($B273="","",COUNTIF(May[Resident Name],$B273))</f>
        <v/>
      </c>
      <c r="H273" s="265" t="str">
        <f>IF($B273="","",COUNTIF(June[Resident Name],$B273))</f>
        <v/>
      </c>
      <c r="I273" s="265" t="str">
        <f>IF($B273="","",COUNTIF(July[Resident Name],$B273))</f>
        <v/>
      </c>
      <c r="J273" s="265" t="str">
        <f>IF($B273="","",COUNTIF(Aug[Resident Name],$B273))</f>
        <v/>
      </c>
      <c r="K273" s="265" t="str">
        <f>IF($B273="","",COUNTIF(Sept[Resident Name],$B273))</f>
        <v/>
      </c>
      <c r="L273" s="265" t="str">
        <f>IF($B273="","",COUNTIF(Oct[Resident Name],$B273))</f>
        <v/>
      </c>
      <c r="M273" s="265" t="str">
        <f>IF($B273="","",COUNTIF(Nov[Resident Name],$B273))</f>
        <v/>
      </c>
      <c r="N273" s="265" t="str">
        <f>IF($B273="","",COUNTIF(Dec[Resident Name],$B273))</f>
        <v/>
      </c>
      <c r="O273" s="265" t="str">
        <f t="shared" si="10"/>
        <v/>
      </c>
      <c r="P273" s="11"/>
      <c r="R273" s="160" t="str">
        <f>IFERROR(INDEX($B$5:$B$172,MATCH(ROWS($R$5:R273),$X$5:$X$172,0)),"")</f>
        <v/>
      </c>
      <c r="S273" s="76" t="str">
        <f>IF($R273="","",INDEX($O$5:$O$172,MATCH(ROWS($R$5:R273),$X$5:$X$172,0)))</f>
        <v/>
      </c>
      <c r="U273" s="160" t="str">
        <f>IFERROR(INDEX($Z$5:$Z$448,MATCH(ROWS($U$5:U273),$AA$5:$AA$448,0)),"")</f>
        <v/>
      </c>
      <c r="V273" s="274" t="str">
        <f>IF(Aug!C13="","",Aug!C13)</f>
        <v/>
      </c>
      <c r="W273" s="274" t="str" cm="1">
        <f t="array" ref="W273">IF(V273="","",IF(COUNTIF($V$5:V273,V273)&gt;1,"",ROUND(1+SUMPRODUCT(($V$5:$V$448&lt;&gt;"")*($V$5:$V$448&lt;V273)/COUNTIF($V$5:$V$448,$V$5:$V$448&amp;"")),0)))</f>
        <v/>
      </c>
      <c r="X273" s="274"/>
      <c r="Z273" s="274" t="str">
        <f>IF(Aug!H13="Major Injury",Aug!C13,"")</f>
        <v/>
      </c>
      <c r="AA273" s="274" t="str" cm="1">
        <f t="array" ref="AA273">IF(Z273="","",IF(COUNTIF($Z$5:Z273,Z273)&gt;1,"",ROUND(1+SUMPRODUCT(($Z$5:$Z$448&lt;&gt;"")*($Z$5:$Z$448&lt;Z273)/COUNTIF($Z$5:$Z$448,$Z$5:$Z$448&amp;"")),0)))</f>
        <v/>
      </c>
    </row>
    <row r="274" spans="2:27" x14ac:dyDescent="0.25">
      <c r="B274" s="160" t="str">
        <f>IFERROR(INDEX($V$5:$V$448,MATCH(ROWS($B$5:B274),$W$5:$W$448,0)),"")</f>
        <v/>
      </c>
      <c r="C274" s="265" t="str">
        <f>IF($B274="","",COUNTIF(Jan[Resident Name],$B274))</f>
        <v/>
      </c>
      <c r="D274" s="265" t="str">
        <f>IF($B274="","",COUNTIF(Feb[Resident Name],$B274))</f>
        <v/>
      </c>
      <c r="E274" s="265" t="str">
        <f>IF($B274="","",COUNTIF(Mar[Resident Name],$B274))</f>
        <v/>
      </c>
      <c r="F274" s="265" t="str">
        <f>IF($B274="","",COUNTIF(Apr[Resident Name],$B274))</f>
        <v/>
      </c>
      <c r="G274" s="265" t="str">
        <f>IF($B274="","",COUNTIF(May[Resident Name],$B274))</f>
        <v/>
      </c>
      <c r="H274" s="265" t="str">
        <f>IF($B274="","",COUNTIF(June[Resident Name],$B274))</f>
        <v/>
      </c>
      <c r="I274" s="265" t="str">
        <f>IF($B274="","",COUNTIF(July[Resident Name],$B274))</f>
        <v/>
      </c>
      <c r="J274" s="265" t="str">
        <f>IF($B274="","",COUNTIF(Aug[Resident Name],$B274))</f>
        <v/>
      </c>
      <c r="K274" s="265" t="str">
        <f>IF($B274="","",COUNTIF(Sept[Resident Name],$B274))</f>
        <v/>
      </c>
      <c r="L274" s="265" t="str">
        <f>IF($B274="","",COUNTIF(Oct[Resident Name],$B274))</f>
        <v/>
      </c>
      <c r="M274" s="265" t="str">
        <f>IF($B274="","",COUNTIF(Nov[Resident Name],$B274))</f>
        <v/>
      </c>
      <c r="N274" s="265" t="str">
        <f>IF($B274="","",COUNTIF(Dec[Resident Name],$B274))</f>
        <v/>
      </c>
      <c r="O274" s="265" t="str">
        <f t="shared" si="10"/>
        <v/>
      </c>
      <c r="P274" s="11"/>
      <c r="R274" s="160" t="str">
        <f>IFERROR(INDEX($B$5:$B$172,MATCH(ROWS($R$5:R274),$X$5:$X$172,0)),"")</f>
        <v/>
      </c>
      <c r="S274" s="76" t="str">
        <f>IF($R274="","",INDEX($O$5:$O$172,MATCH(ROWS($R$5:R274),$X$5:$X$172,0)))</f>
        <v/>
      </c>
      <c r="U274" s="160" t="str">
        <f>IFERROR(INDEX($Z$5:$Z$448,MATCH(ROWS($U$5:U274),$AA$5:$AA$448,0)),"")</f>
        <v/>
      </c>
      <c r="V274" s="274" t="str">
        <f>IF(Aug!C14="","",Aug!C14)</f>
        <v/>
      </c>
      <c r="W274" s="274" t="str" cm="1">
        <f t="array" ref="W274">IF(V274="","",IF(COUNTIF($V$5:V274,V274)&gt;1,"",ROUND(1+SUMPRODUCT(($V$5:$V$448&lt;&gt;"")*($V$5:$V$448&lt;V274)/COUNTIF($V$5:$V$448,$V$5:$V$448&amp;"")),0)))</f>
        <v/>
      </c>
      <c r="X274" s="274"/>
      <c r="Z274" s="274" t="str">
        <f>IF(Aug!H14="Major Injury",Aug!C14,"")</f>
        <v/>
      </c>
      <c r="AA274" s="274" t="str" cm="1">
        <f t="array" ref="AA274">IF(Z274="","",IF(COUNTIF($Z$5:Z274,Z274)&gt;1,"",ROUND(1+SUMPRODUCT(($Z$5:$Z$448&lt;&gt;"")*($Z$5:$Z$448&lt;Z274)/COUNTIF($Z$5:$Z$448,$Z$5:$Z$448&amp;"")),0)))</f>
        <v/>
      </c>
    </row>
    <row r="275" spans="2:27" x14ac:dyDescent="0.25">
      <c r="B275" s="160" t="str">
        <f>IFERROR(INDEX($V$5:$V$448,MATCH(ROWS($B$5:B275),$W$5:$W$448,0)),"")</f>
        <v/>
      </c>
      <c r="C275" s="265" t="str">
        <f>IF($B275="","",COUNTIF(Jan[Resident Name],$B275))</f>
        <v/>
      </c>
      <c r="D275" s="265" t="str">
        <f>IF($B275="","",COUNTIF(Feb[Resident Name],$B275))</f>
        <v/>
      </c>
      <c r="E275" s="265" t="str">
        <f>IF($B275="","",COUNTIF(Mar[Resident Name],$B275))</f>
        <v/>
      </c>
      <c r="F275" s="265" t="str">
        <f>IF($B275="","",COUNTIF(Apr[Resident Name],$B275))</f>
        <v/>
      </c>
      <c r="G275" s="265" t="str">
        <f>IF($B275="","",COUNTIF(May[Resident Name],$B275))</f>
        <v/>
      </c>
      <c r="H275" s="265" t="str">
        <f>IF($B275="","",COUNTIF(June[Resident Name],$B275))</f>
        <v/>
      </c>
      <c r="I275" s="265" t="str">
        <f>IF($B275="","",COUNTIF(July[Resident Name],$B275))</f>
        <v/>
      </c>
      <c r="J275" s="265" t="str">
        <f>IF($B275="","",COUNTIF(Aug[Resident Name],$B275))</f>
        <v/>
      </c>
      <c r="K275" s="265" t="str">
        <f>IF($B275="","",COUNTIF(Sept[Resident Name],$B275))</f>
        <v/>
      </c>
      <c r="L275" s="265" t="str">
        <f>IF($B275="","",COUNTIF(Oct[Resident Name],$B275))</f>
        <v/>
      </c>
      <c r="M275" s="265" t="str">
        <f>IF($B275="","",COUNTIF(Nov[Resident Name],$B275))</f>
        <v/>
      </c>
      <c r="N275" s="265" t="str">
        <f>IF($B275="","",COUNTIF(Dec[Resident Name],$B275))</f>
        <v/>
      </c>
      <c r="O275" s="265" t="str">
        <f t="shared" si="10"/>
        <v/>
      </c>
      <c r="P275" s="11"/>
      <c r="R275" s="160" t="str">
        <f>IFERROR(INDEX($B$5:$B$172,MATCH(ROWS($R$5:R275),$X$5:$X$172,0)),"")</f>
        <v/>
      </c>
      <c r="S275" s="76" t="str">
        <f>IF($R275="","",INDEX($O$5:$O$172,MATCH(ROWS($R$5:R275),$X$5:$X$172,0)))</f>
        <v/>
      </c>
      <c r="U275" s="160" t="str">
        <f>IFERROR(INDEX($Z$5:$Z$448,MATCH(ROWS($U$5:U275),$AA$5:$AA$448,0)),"")</f>
        <v/>
      </c>
      <c r="V275" s="274" t="str">
        <f>IF(Aug!C15="","",Aug!C15)</f>
        <v/>
      </c>
      <c r="W275" s="274" t="str" cm="1">
        <f t="array" ref="W275">IF(V275="","",IF(COUNTIF($V$5:V275,V275)&gt;1,"",ROUND(1+SUMPRODUCT(($V$5:$V$448&lt;&gt;"")*($V$5:$V$448&lt;V275)/COUNTIF($V$5:$V$448,$V$5:$V$448&amp;"")),0)))</f>
        <v/>
      </c>
      <c r="X275" s="274"/>
      <c r="Z275" s="274" t="str">
        <f>IF(Aug!H15="Major Injury",Aug!C15,"")</f>
        <v/>
      </c>
      <c r="AA275" s="274" t="str" cm="1">
        <f t="array" ref="AA275">IF(Z275="","",IF(COUNTIF($Z$5:Z275,Z275)&gt;1,"",ROUND(1+SUMPRODUCT(($Z$5:$Z$448&lt;&gt;"")*($Z$5:$Z$448&lt;Z275)/COUNTIF($Z$5:$Z$448,$Z$5:$Z$448&amp;"")),0)))</f>
        <v/>
      </c>
    </row>
    <row r="276" spans="2:27" x14ac:dyDescent="0.25">
      <c r="B276" s="160" t="str">
        <f>IFERROR(INDEX($V$5:$V$448,MATCH(ROWS($B$5:B276),$W$5:$W$448,0)),"")</f>
        <v/>
      </c>
      <c r="C276" s="265" t="str">
        <f>IF($B276="","",COUNTIF(Jan[Resident Name],$B276))</f>
        <v/>
      </c>
      <c r="D276" s="265" t="str">
        <f>IF($B276="","",COUNTIF(Feb[Resident Name],$B276))</f>
        <v/>
      </c>
      <c r="E276" s="265" t="str">
        <f>IF($B276="","",COUNTIF(Mar[Resident Name],$B276))</f>
        <v/>
      </c>
      <c r="F276" s="265" t="str">
        <f>IF($B276="","",COUNTIF(Apr[Resident Name],$B276))</f>
        <v/>
      </c>
      <c r="G276" s="265" t="str">
        <f>IF($B276="","",COUNTIF(May[Resident Name],$B276))</f>
        <v/>
      </c>
      <c r="H276" s="265" t="str">
        <f>IF($B276="","",COUNTIF(June[Resident Name],$B276))</f>
        <v/>
      </c>
      <c r="I276" s="265" t="str">
        <f>IF($B276="","",COUNTIF(July[Resident Name],$B276))</f>
        <v/>
      </c>
      <c r="J276" s="265" t="str">
        <f>IF($B276="","",COUNTIF(Aug[Resident Name],$B276))</f>
        <v/>
      </c>
      <c r="K276" s="265" t="str">
        <f>IF($B276="","",COUNTIF(Sept[Resident Name],$B276))</f>
        <v/>
      </c>
      <c r="L276" s="265" t="str">
        <f>IF($B276="","",COUNTIF(Oct[Resident Name],$B276))</f>
        <v/>
      </c>
      <c r="M276" s="265" t="str">
        <f>IF($B276="","",COUNTIF(Nov[Resident Name],$B276))</f>
        <v/>
      </c>
      <c r="N276" s="265" t="str">
        <f>IF($B276="","",COUNTIF(Dec[Resident Name],$B276))</f>
        <v/>
      </c>
      <c r="O276" s="265" t="str">
        <f t="shared" si="10"/>
        <v/>
      </c>
      <c r="P276" s="11"/>
      <c r="R276" s="160" t="str">
        <f>IFERROR(INDEX($B$5:$B$172,MATCH(ROWS($R$5:R276),$X$5:$X$172,0)),"")</f>
        <v/>
      </c>
      <c r="S276" s="76" t="str">
        <f>IF($R276="","",INDEX($O$5:$O$172,MATCH(ROWS($R$5:R276),$X$5:$X$172,0)))</f>
        <v/>
      </c>
      <c r="U276" s="160" t="str">
        <f>IFERROR(INDEX($Z$5:$Z$448,MATCH(ROWS($U$5:U276),$AA$5:$AA$448,0)),"")</f>
        <v/>
      </c>
      <c r="V276" s="274" t="str">
        <f>IF(Aug!C16="","",Aug!C16)</f>
        <v/>
      </c>
      <c r="W276" s="274" t="str" cm="1">
        <f t="array" ref="W276">IF(V276="","",IF(COUNTIF($V$5:V276,V276)&gt;1,"",ROUND(1+SUMPRODUCT(($V$5:$V$448&lt;&gt;"")*($V$5:$V$448&lt;V276)/COUNTIF($V$5:$V$448,$V$5:$V$448&amp;"")),0)))</f>
        <v/>
      </c>
      <c r="X276" s="274"/>
      <c r="Z276" s="274" t="str">
        <f>IF(Aug!H16="Major Injury",Aug!C16,"")</f>
        <v/>
      </c>
      <c r="AA276" s="274" t="str" cm="1">
        <f t="array" ref="AA276">IF(Z276="","",IF(COUNTIF($Z$5:Z276,Z276)&gt;1,"",ROUND(1+SUMPRODUCT(($Z$5:$Z$448&lt;&gt;"")*($Z$5:$Z$448&lt;Z276)/COUNTIF($Z$5:$Z$448,$Z$5:$Z$448&amp;"")),0)))</f>
        <v/>
      </c>
    </row>
    <row r="277" spans="2:27" x14ac:dyDescent="0.25">
      <c r="B277" s="160" t="str">
        <f>IFERROR(INDEX($V$5:$V$448,MATCH(ROWS($B$5:B277),$W$5:$W$448,0)),"")</f>
        <v/>
      </c>
      <c r="C277" s="265" t="str">
        <f>IF($B277="","",COUNTIF(Jan[Resident Name],$B277))</f>
        <v/>
      </c>
      <c r="D277" s="265" t="str">
        <f>IF($B277="","",COUNTIF(Feb[Resident Name],$B277))</f>
        <v/>
      </c>
      <c r="E277" s="265" t="str">
        <f>IF($B277="","",COUNTIF(Mar[Resident Name],$B277))</f>
        <v/>
      </c>
      <c r="F277" s="265" t="str">
        <f>IF($B277="","",COUNTIF(Apr[Resident Name],$B277))</f>
        <v/>
      </c>
      <c r="G277" s="265" t="str">
        <f>IF($B277="","",COUNTIF(May[Resident Name],$B277))</f>
        <v/>
      </c>
      <c r="H277" s="265" t="str">
        <f>IF($B277="","",COUNTIF(June[Resident Name],$B277))</f>
        <v/>
      </c>
      <c r="I277" s="265" t="str">
        <f>IF($B277="","",COUNTIF(July[Resident Name],$B277))</f>
        <v/>
      </c>
      <c r="J277" s="265" t="str">
        <f>IF($B277="","",COUNTIF(Aug[Resident Name],$B277))</f>
        <v/>
      </c>
      <c r="K277" s="265" t="str">
        <f>IF($B277="","",COUNTIF(Sept[Resident Name],$B277))</f>
        <v/>
      </c>
      <c r="L277" s="265" t="str">
        <f>IF($B277="","",COUNTIF(Oct[Resident Name],$B277))</f>
        <v/>
      </c>
      <c r="M277" s="265" t="str">
        <f>IF($B277="","",COUNTIF(Nov[Resident Name],$B277))</f>
        <v/>
      </c>
      <c r="N277" s="265" t="str">
        <f>IF($B277="","",COUNTIF(Dec[Resident Name],$B277))</f>
        <v/>
      </c>
      <c r="O277" s="265" t="str">
        <f t="shared" si="10"/>
        <v/>
      </c>
      <c r="P277" s="11"/>
      <c r="R277" s="160" t="str">
        <f>IFERROR(INDEX($B$5:$B$172,MATCH(ROWS($R$5:R277),$X$5:$X$172,0)),"")</f>
        <v/>
      </c>
      <c r="S277" s="76" t="str">
        <f>IF($R277="","",INDEX($O$5:$O$172,MATCH(ROWS($R$5:R277),$X$5:$X$172,0)))</f>
        <v/>
      </c>
      <c r="U277" s="160" t="str">
        <f>IFERROR(INDEX($Z$5:$Z$448,MATCH(ROWS($U$5:U277),$AA$5:$AA$448,0)),"")</f>
        <v/>
      </c>
      <c r="V277" s="274" t="str">
        <f>IF(Aug!C17="","",Aug!C17)</f>
        <v/>
      </c>
      <c r="W277" s="274" t="str" cm="1">
        <f t="array" ref="W277">IF(V277="","",IF(COUNTIF($V$5:V277,V277)&gt;1,"",ROUND(1+SUMPRODUCT(($V$5:$V$448&lt;&gt;"")*($V$5:$V$448&lt;V277)/COUNTIF($V$5:$V$448,$V$5:$V$448&amp;"")),0)))</f>
        <v/>
      </c>
      <c r="X277" s="274"/>
      <c r="Z277" s="274" t="str">
        <f>IF(Aug!H17="Major Injury",Aug!C17,"")</f>
        <v/>
      </c>
      <c r="AA277" s="274" t="str" cm="1">
        <f t="array" ref="AA277">IF(Z277="","",IF(COUNTIF($Z$5:Z277,Z277)&gt;1,"",ROUND(1+SUMPRODUCT(($Z$5:$Z$448&lt;&gt;"")*($Z$5:$Z$448&lt;Z277)/COUNTIF($Z$5:$Z$448,$Z$5:$Z$448&amp;"")),0)))</f>
        <v/>
      </c>
    </row>
    <row r="278" spans="2:27" x14ac:dyDescent="0.25">
      <c r="B278" s="160" t="str">
        <f>IFERROR(INDEX($V$5:$V$448,MATCH(ROWS($B$5:B278),$W$5:$W$448,0)),"")</f>
        <v/>
      </c>
      <c r="C278" s="265" t="str">
        <f>IF($B278="","",COUNTIF(Jan[Resident Name],$B278))</f>
        <v/>
      </c>
      <c r="D278" s="265" t="str">
        <f>IF($B278="","",COUNTIF(Feb[Resident Name],$B278))</f>
        <v/>
      </c>
      <c r="E278" s="265" t="str">
        <f>IF($B278="","",COUNTIF(Mar[Resident Name],$B278))</f>
        <v/>
      </c>
      <c r="F278" s="265" t="str">
        <f>IF($B278="","",COUNTIF(Apr[Resident Name],$B278))</f>
        <v/>
      </c>
      <c r="G278" s="265" t="str">
        <f>IF($B278="","",COUNTIF(May[Resident Name],$B278))</f>
        <v/>
      </c>
      <c r="H278" s="265" t="str">
        <f>IF($B278="","",COUNTIF(June[Resident Name],$B278))</f>
        <v/>
      </c>
      <c r="I278" s="265" t="str">
        <f>IF($B278="","",COUNTIF(July[Resident Name],$B278))</f>
        <v/>
      </c>
      <c r="J278" s="265" t="str">
        <f>IF($B278="","",COUNTIF(Aug[Resident Name],$B278))</f>
        <v/>
      </c>
      <c r="K278" s="265" t="str">
        <f>IF($B278="","",COUNTIF(Sept[Resident Name],$B278))</f>
        <v/>
      </c>
      <c r="L278" s="265" t="str">
        <f>IF($B278="","",COUNTIF(Oct[Resident Name],$B278))</f>
        <v/>
      </c>
      <c r="M278" s="265" t="str">
        <f>IF($B278="","",COUNTIF(Nov[Resident Name],$B278))</f>
        <v/>
      </c>
      <c r="N278" s="265" t="str">
        <f>IF($B278="","",COUNTIF(Dec[Resident Name],$B278))</f>
        <v/>
      </c>
      <c r="O278" s="265" t="str">
        <f t="shared" si="10"/>
        <v/>
      </c>
      <c r="P278" s="11"/>
      <c r="R278" s="160" t="str">
        <f>IFERROR(INDEX($B$5:$B$172,MATCH(ROWS($R$5:R278),$X$5:$X$172,0)),"")</f>
        <v/>
      </c>
      <c r="S278" s="76" t="str">
        <f>IF($R278="","",INDEX($O$5:$O$172,MATCH(ROWS($R$5:R278),$X$5:$X$172,0)))</f>
        <v/>
      </c>
      <c r="U278" s="160" t="str">
        <f>IFERROR(INDEX($Z$5:$Z$448,MATCH(ROWS($U$5:U278),$AA$5:$AA$448,0)),"")</f>
        <v/>
      </c>
      <c r="V278" s="274" t="str">
        <f>IF(Aug!C18="","",Aug!C18)</f>
        <v/>
      </c>
      <c r="W278" s="274" t="str" cm="1">
        <f t="array" ref="W278">IF(V278="","",IF(COUNTIF($V$5:V278,V278)&gt;1,"",ROUND(1+SUMPRODUCT(($V$5:$V$448&lt;&gt;"")*($V$5:$V$448&lt;V278)/COUNTIF($V$5:$V$448,$V$5:$V$448&amp;"")),0)))</f>
        <v/>
      </c>
      <c r="X278" s="274"/>
      <c r="Z278" s="274" t="str">
        <f>IF(Aug!H18="Major Injury",Aug!C18,"")</f>
        <v/>
      </c>
      <c r="AA278" s="274" t="str" cm="1">
        <f t="array" ref="AA278">IF(Z278="","",IF(COUNTIF($Z$5:Z278,Z278)&gt;1,"",ROUND(1+SUMPRODUCT(($Z$5:$Z$448&lt;&gt;"")*($Z$5:$Z$448&lt;Z278)/COUNTIF($Z$5:$Z$448,$Z$5:$Z$448&amp;"")),0)))</f>
        <v/>
      </c>
    </row>
    <row r="279" spans="2:27" x14ac:dyDescent="0.25">
      <c r="B279" s="160" t="str">
        <f>IFERROR(INDEX($V$5:$V$448,MATCH(ROWS($B$5:B279),$W$5:$W$448,0)),"")</f>
        <v/>
      </c>
      <c r="C279" s="265" t="str">
        <f>IF($B279="","",COUNTIF(Jan[Resident Name],$B279))</f>
        <v/>
      </c>
      <c r="D279" s="265" t="str">
        <f>IF($B279="","",COUNTIF(Feb[Resident Name],$B279))</f>
        <v/>
      </c>
      <c r="E279" s="265" t="str">
        <f>IF($B279="","",COUNTIF(Mar[Resident Name],$B279))</f>
        <v/>
      </c>
      <c r="F279" s="265" t="str">
        <f>IF($B279="","",COUNTIF(Apr[Resident Name],$B279))</f>
        <v/>
      </c>
      <c r="G279" s="265" t="str">
        <f>IF($B279="","",COUNTIF(May[Resident Name],$B279))</f>
        <v/>
      </c>
      <c r="H279" s="265" t="str">
        <f>IF($B279="","",COUNTIF(June[Resident Name],$B279))</f>
        <v/>
      </c>
      <c r="I279" s="265" t="str">
        <f>IF($B279="","",COUNTIF(July[Resident Name],$B279))</f>
        <v/>
      </c>
      <c r="J279" s="265" t="str">
        <f>IF($B279="","",COUNTIF(Aug[Resident Name],$B279))</f>
        <v/>
      </c>
      <c r="K279" s="265" t="str">
        <f>IF($B279="","",COUNTIF(Sept[Resident Name],$B279))</f>
        <v/>
      </c>
      <c r="L279" s="265" t="str">
        <f>IF($B279="","",COUNTIF(Oct[Resident Name],$B279))</f>
        <v/>
      </c>
      <c r="M279" s="265" t="str">
        <f>IF($B279="","",COUNTIF(Nov[Resident Name],$B279))</f>
        <v/>
      </c>
      <c r="N279" s="265" t="str">
        <f>IF($B279="","",COUNTIF(Dec[Resident Name],$B279))</f>
        <v/>
      </c>
      <c r="O279" s="265" t="str">
        <f t="shared" si="10"/>
        <v/>
      </c>
      <c r="P279" s="11"/>
      <c r="R279" s="160" t="str">
        <f>IFERROR(INDEX($B$5:$B$172,MATCH(ROWS($R$5:R279),$X$5:$X$172,0)),"")</f>
        <v/>
      </c>
      <c r="S279" s="76" t="str">
        <f>IF($R279="","",INDEX($O$5:$O$172,MATCH(ROWS($R$5:R279),$X$5:$X$172,0)))</f>
        <v/>
      </c>
      <c r="U279" s="160" t="str">
        <f>IFERROR(INDEX($Z$5:$Z$448,MATCH(ROWS($U$5:U279),$AA$5:$AA$448,0)),"")</f>
        <v/>
      </c>
      <c r="V279" s="274" t="str">
        <f>IF(Aug!C19="","",Aug!C19)</f>
        <v/>
      </c>
      <c r="W279" s="274" t="str" cm="1">
        <f t="array" ref="W279">IF(V279="","",IF(COUNTIF($V$5:V279,V279)&gt;1,"",ROUND(1+SUMPRODUCT(($V$5:$V$448&lt;&gt;"")*($V$5:$V$448&lt;V279)/COUNTIF($V$5:$V$448,$V$5:$V$448&amp;"")),0)))</f>
        <v/>
      </c>
      <c r="X279" s="274"/>
      <c r="Z279" s="274" t="str">
        <f>IF(Aug!H19="Major Injury",Aug!C19,"")</f>
        <v/>
      </c>
      <c r="AA279" s="274" t="str" cm="1">
        <f t="array" ref="AA279">IF(Z279="","",IF(COUNTIF($Z$5:Z279,Z279)&gt;1,"",ROUND(1+SUMPRODUCT(($Z$5:$Z$448&lt;&gt;"")*($Z$5:$Z$448&lt;Z279)/COUNTIF($Z$5:$Z$448,$Z$5:$Z$448&amp;"")),0)))</f>
        <v/>
      </c>
    </row>
    <row r="280" spans="2:27" x14ac:dyDescent="0.25">
      <c r="B280" s="160" t="str">
        <f>IFERROR(INDEX($V$5:$V$448,MATCH(ROWS($B$5:B280),$W$5:$W$448,0)),"")</f>
        <v/>
      </c>
      <c r="C280" s="265" t="str">
        <f>IF($B280="","",COUNTIF(Jan[Resident Name],$B280))</f>
        <v/>
      </c>
      <c r="D280" s="265" t="str">
        <f>IF($B280="","",COUNTIF(Feb[Resident Name],$B280))</f>
        <v/>
      </c>
      <c r="E280" s="265" t="str">
        <f>IF($B280="","",COUNTIF(Mar[Resident Name],$B280))</f>
        <v/>
      </c>
      <c r="F280" s="265" t="str">
        <f>IF($B280="","",COUNTIF(Apr[Resident Name],$B280))</f>
        <v/>
      </c>
      <c r="G280" s="265" t="str">
        <f>IF($B280="","",COUNTIF(May[Resident Name],$B280))</f>
        <v/>
      </c>
      <c r="H280" s="265" t="str">
        <f>IF($B280="","",COUNTIF(June[Resident Name],$B280))</f>
        <v/>
      </c>
      <c r="I280" s="265" t="str">
        <f>IF($B280="","",COUNTIF(July[Resident Name],$B280))</f>
        <v/>
      </c>
      <c r="J280" s="265" t="str">
        <f>IF($B280="","",COUNTIF(Aug[Resident Name],$B280))</f>
        <v/>
      </c>
      <c r="K280" s="265" t="str">
        <f>IF($B280="","",COUNTIF(Sept[Resident Name],$B280))</f>
        <v/>
      </c>
      <c r="L280" s="265" t="str">
        <f>IF($B280="","",COUNTIF(Oct[Resident Name],$B280))</f>
        <v/>
      </c>
      <c r="M280" s="265" t="str">
        <f>IF($B280="","",COUNTIF(Nov[Resident Name],$B280))</f>
        <v/>
      </c>
      <c r="N280" s="265" t="str">
        <f>IF($B280="","",COUNTIF(Dec[Resident Name],$B280))</f>
        <v/>
      </c>
      <c r="O280" s="265" t="str">
        <f t="shared" si="10"/>
        <v/>
      </c>
      <c r="P280" s="11"/>
      <c r="R280" s="160" t="str">
        <f>IFERROR(INDEX($B$5:$B$172,MATCH(ROWS($R$5:R280),$X$5:$X$172,0)),"")</f>
        <v/>
      </c>
      <c r="S280" s="76" t="str">
        <f>IF($R280="","",INDEX($O$5:$O$172,MATCH(ROWS($R$5:R280),$X$5:$X$172,0)))</f>
        <v/>
      </c>
      <c r="U280" s="160" t="str">
        <f>IFERROR(INDEX($Z$5:$Z$448,MATCH(ROWS($U$5:U280),$AA$5:$AA$448,0)),"")</f>
        <v/>
      </c>
      <c r="V280" s="274" t="str">
        <f>IF(Aug!C20="","",Aug!C20)</f>
        <v/>
      </c>
      <c r="W280" s="274" t="str" cm="1">
        <f t="array" ref="W280">IF(V280="","",IF(COUNTIF($V$5:V280,V280)&gt;1,"",ROUND(1+SUMPRODUCT(($V$5:$V$448&lt;&gt;"")*($V$5:$V$448&lt;V280)/COUNTIF($V$5:$V$448,$V$5:$V$448&amp;"")),0)))</f>
        <v/>
      </c>
      <c r="X280" s="274"/>
      <c r="Z280" s="274" t="str">
        <f>IF(Aug!H20="Major Injury",Aug!C20,"")</f>
        <v/>
      </c>
      <c r="AA280" s="274" t="str" cm="1">
        <f t="array" ref="AA280">IF(Z280="","",IF(COUNTIF($Z$5:Z280,Z280)&gt;1,"",ROUND(1+SUMPRODUCT(($Z$5:$Z$448&lt;&gt;"")*($Z$5:$Z$448&lt;Z280)/COUNTIF($Z$5:$Z$448,$Z$5:$Z$448&amp;"")),0)))</f>
        <v/>
      </c>
    </row>
    <row r="281" spans="2:27" x14ac:dyDescent="0.25">
      <c r="B281" s="160" t="str">
        <f>IFERROR(INDEX($V$5:$V$448,MATCH(ROWS($B$5:B281),$W$5:$W$448,0)),"")</f>
        <v/>
      </c>
      <c r="C281" s="265" t="str">
        <f>IF($B281="","",COUNTIF(Jan[Resident Name],$B281))</f>
        <v/>
      </c>
      <c r="D281" s="265" t="str">
        <f>IF($B281="","",COUNTIF(Feb[Resident Name],$B281))</f>
        <v/>
      </c>
      <c r="E281" s="265" t="str">
        <f>IF($B281="","",COUNTIF(Mar[Resident Name],$B281))</f>
        <v/>
      </c>
      <c r="F281" s="265" t="str">
        <f>IF($B281="","",COUNTIF(Apr[Resident Name],$B281))</f>
        <v/>
      </c>
      <c r="G281" s="265" t="str">
        <f>IF($B281="","",COUNTIF(May[Resident Name],$B281))</f>
        <v/>
      </c>
      <c r="H281" s="265" t="str">
        <f>IF($B281="","",COUNTIF(June[Resident Name],$B281))</f>
        <v/>
      </c>
      <c r="I281" s="265" t="str">
        <f>IF($B281="","",COUNTIF(July[Resident Name],$B281))</f>
        <v/>
      </c>
      <c r="J281" s="265" t="str">
        <f>IF($B281="","",COUNTIF(Aug[Resident Name],$B281))</f>
        <v/>
      </c>
      <c r="K281" s="265" t="str">
        <f>IF($B281="","",COUNTIF(Sept[Resident Name],$B281))</f>
        <v/>
      </c>
      <c r="L281" s="265" t="str">
        <f>IF($B281="","",COUNTIF(Oct[Resident Name],$B281))</f>
        <v/>
      </c>
      <c r="M281" s="265" t="str">
        <f>IF($B281="","",COUNTIF(Nov[Resident Name],$B281))</f>
        <v/>
      </c>
      <c r="N281" s="265" t="str">
        <f>IF($B281="","",COUNTIF(Dec[Resident Name],$B281))</f>
        <v/>
      </c>
      <c r="O281" s="265" t="str">
        <f t="shared" si="10"/>
        <v/>
      </c>
      <c r="P281" s="11"/>
      <c r="R281" s="160" t="str">
        <f>IFERROR(INDEX($B$5:$B$172,MATCH(ROWS($R$5:R281),$X$5:$X$172,0)),"")</f>
        <v/>
      </c>
      <c r="S281" s="76" t="str">
        <f>IF($R281="","",INDEX($O$5:$O$172,MATCH(ROWS($R$5:R281),$X$5:$X$172,0)))</f>
        <v/>
      </c>
      <c r="U281" s="160" t="str">
        <f>IFERROR(INDEX($Z$5:$Z$448,MATCH(ROWS($U$5:U281),$AA$5:$AA$448,0)),"")</f>
        <v/>
      </c>
      <c r="V281" s="274" t="str">
        <f>IF(Aug!C21="","",Aug!C21)</f>
        <v/>
      </c>
      <c r="W281" s="274" t="str" cm="1">
        <f t="array" ref="W281">IF(V281="","",IF(COUNTIF($V$5:V281,V281)&gt;1,"",ROUND(1+SUMPRODUCT(($V$5:$V$448&lt;&gt;"")*($V$5:$V$448&lt;V281)/COUNTIF($V$5:$V$448,$V$5:$V$448&amp;"")),0)))</f>
        <v/>
      </c>
      <c r="X281" s="274"/>
      <c r="Z281" s="274" t="str">
        <f>IF(Aug!H21="Major Injury",Aug!C21,"")</f>
        <v/>
      </c>
      <c r="AA281" s="274" t="str" cm="1">
        <f t="array" ref="AA281">IF(Z281="","",IF(COUNTIF($Z$5:Z281,Z281)&gt;1,"",ROUND(1+SUMPRODUCT(($Z$5:$Z$448&lt;&gt;"")*($Z$5:$Z$448&lt;Z281)/COUNTIF($Z$5:$Z$448,$Z$5:$Z$448&amp;"")),0)))</f>
        <v/>
      </c>
    </row>
    <row r="282" spans="2:27" x14ac:dyDescent="0.25">
      <c r="B282" s="160" t="str">
        <f>IFERROR(INDEX($V$5:$V$448,MATCH(ROWS($B$5:B282),$W$5:$W$448,0)),"")</f>
        <v/>
      </c>
      <c r="C282" s="265" t="str">
        <f>IF($B282="","",COUNTIF(Jan[Resident Name],$B282))</f>
        <v/>
      </c>
      <c r="D282" s="265" t="str">
        <f>IF($B282="","",COUNTIF(Feb[Resident Name],$B282))</f>
        <v/>
      </c>
      <c r="E282" s="265" t="str">
        <f>IF($B282="","",COUNTIF(Mar[Resident Name],$B282))</f>
        <v/>
      </c>
      <c r="F282" s="265" t="str">
        <f>IF($B282="","",COUNTIF(Apr[Resident Name],$B282))</f>
        <v/>
      </c>
      <c r="G282" s="265" t="str">
        <f>IF($B282="","",COUNTIF(May[Resident Name],$B282))</f>
        <v/>
      </c>
      <c r="H282" s="265" t="str">
        <f>IF($B282="","",COUNTIF(June[Resident Name],$B282))</f>
        <v/>
      </c>
      <c r="I282" s="265" t="str">
        <f>IF($B282="","",COUNTIF(July[Resident Name],$B282))</f>
        <v/>
      </c>
      <c r="J282" s="265" t="str">
        <f>IF($B282="","",COUNTIF(Aug[Resident Name],$B282))</f>
        <v/>
      </c>
      <c r="K282" s="265" t="str">
        <f>IF($B282="","",COUNTIF(Sept[Resident Name],$B282))</f>
        <v/>
      </c>
      <c r="L282" s="265" t="str">
        <f>IF($B282="","",COUNTIF(Oct[Resident Name],$B282))</f>
        <v/>
      </c>
      <c r="M282" s="265" t="str">
        <f>IF($B282="","",COUNTIF(Nov[Resident Name],$B282))</f>
        <v/>
      </c>
      <c r="N282" s="265" t="str">
        <f>IF($B282="","",COUNTIF(Dec[Resident Name],$B282))</f>
        <v/>
      </c>
      <c r="O282" s="265" t="str">
        <f t="shared" si="10"/>
        <v/>
      </c>
      <c r="P282" s="11"/>
      <c r="R282" s="160" t="str">
        <f>IFERROR(INDEX($B$5:$B$172,MATCH(ROWS($R$5:R282),$X$5:$X$172,0)),"")</f>
        <v/>
      </c>
      <c r="S282" s="76" t="str">
        <f>IF($R282="","",INDEX($O$5:$O$172,MATCH(ROWS($R$5:R282),$X$5:$X$172,0)))</f>
        <v/>
      </c>
      <c r="U282" s="160" t="str">
        <f>IFERROR(INDEX($Z$5:$Z$448,MATCH(ROWS($U$5:U282),$AA$5:$AA$448,0)),"")</f>
        <v/>
      </c>
      <c r="V282" s="274" t="str">
        <f>IF(Aug!C22="","",Aug!C22)</f>
        <v/>
      </c>
      <c r="W282" s="274" t="str" cm="1">
        <f t="array" ref="W282">IF(V282="","",IF(COUNTIF($V$5:V282,V282)&gt;1,"",ROUND(1+SUMPRODUCT(($V$5:$V$448&lt;&gt;"")*($V$5:$V$448&lt;V282)/COUNTIF($V$5:$V$448,$V$5:$V$448&amp;"")),0)))</f>
        <v/>
      </c>
      <c r="X282" s="274"/>
      <c r="Z282" s="274" t="str">
        <f>IF(Aug!H22="Major Injury",Aug!C22,"")</f>
        <v/>
      </c>
      <c r="AA282" s="274" t="str" cm="1">
        <f t="array" ref="AA282">IF(Z282="","",IF(COUNTIF($Z$5:Z282,Z282)&gt;1,"",ROUND(1+SUMPRODUCT(($Z$5:$Z$448&lt;&gt;"")*($Z$5:$Z$448&lt;Z282)/COUNTIF($Z$5:$Z$448,$Z$5:$Z$448&amp;"")),0)))</f>
        <v/>
      </c>
    </row>
    <row r="283" spans="2:27" x14ac:dyDescent="0.25">
      <c r="B283" s="160" t="str">
        <f>IFERROR(INDEX($V$5:$V$448,MATCH(ROWS($B$5:B283),$W$5:$W$448,0)),"")</f>
        <v/>
      </c>
      <c r="C283" s="265" t="str">
        <f>IF($B283="","",COUNTIF(Jan[Resident Name],$B283))</f>
        <v/>
      </c>
      <c r="D283" s="265" t="str">
        <f>IF($B283="","",COUNTIF(Feb[Resident Name],$B283))</f>
        <v/>
      </c>
      <c r="E283" s="265" t="str">
        <f>IF($B283="","",COUNTIF(Mar[Resident Name],$B283))</f>
        <v/>
      </c>
      <c r="F283" s="265" t="str">
        <f>IF($B283="","",COUNTIF(Apr[Resident Name],$B283))</f>
        <v/>
      </c>
      <c r="G283" s="265" t="str">
        <f>IF($B283="","",COUNTIF(May[Resident Name],$B283))</f>
        <v/>
      </c>
      <c r="H283" s="265" t="str">
        <f>IF($B283="","",COUNTIF(June[Resident Name],$B283))</f>
        <v/>
      </c>
      <c r="I283" s="265" t="str">
        <f>IF($B283="","",COUNTIF(July[Resident Name],$B283))</f>
        <v/>
      </c>
      <c r="J283" s="265" t="str">
        <f>IF($B283="","",COUNTIF(Aug[Resident Name],$B283))</f>
        <v/>
      </c>
      <c r="K283" s="265" t="str">
        <f>IF($B283="","",COUNTIF(Sept[Resident Name],$B283))</f>
        <v/>
      </c>
      <c r="L283" s="265" t="str">
        <f>IF($B283="","",COUNTIF(Oct[Resident Name],$B283))</f>
        <v/>
      </c>
      <c r="M283" s="265" t="str">
        <f>IF($B283="","",COUNTIF(Nov[Resident Name],$B283))</f>
        <v/>
      </c>
      <c r="N283" s="265" t="str">
        <f>IF($B283="","",COUNTIF(Dec[Resident Name],$B283))</f>
        <v/>
      </c>
      <c r="O283" s="265" t="str">
        <f t="shared" si="10"/>
        <v/>
      </c>
      <c r="P283" s="11"/>
      <c r="R283" s="160" t="str">
        <f>IFERROR(INDEX($B$5:$B$172,MATCH(ROWS($R$5:R283),$X$5:$X$172,0)),"")</f>
        <v/>
      </c>
      <c r="S283" s="76" t="str">
        <f>IF($R283="","",INDEX($O$5:$O$172,MATCH(ROWS($R$5:R283),$X$5:$X$172,0)))</f>
        <v/>
      </c>
      <c r="U283" s="160" t="str">
        <f>IFERROR(INDEX($Z$5:$Z$448,MATCH(ROWS($U$5:U283),$AA$5:$AA$448,0)),"")</f>
        <v/>
      </c>
      <c r="V283" s="274" t="str">
        <f>IF(Aug!C23="","",Aug!C23)</f>
        <v/>
      </c>
      <c r="W283" s="274" t="str" cm="1">
        <f t="array" ref="W283">IF(V283="","",IF(COUNTIF($V$5:V283,V283)&gt;1,"",ROUND(1+SUMPRODUCT(($V$5:$V$448&lt;&gt;"")*($V$5:$V$448&lt;V283)/COUNTIF($V$5:$V$448,$V$5:$V$448&amp;"")),0)))</f>
        <v/>
      </c>
      <c r="X283" s="274"/>
      <c r="Z283" s="274" t="str">
        <f>IF(Aug!H23="Major Injury",Aug!C23,"")</f>
        <v/>
      </c>
      <c r="AA283" s="274" t="str" cm="1">
        <f t="array" ref="AA283">IF(Z283="","",IF(COUNTIF($Z$5:Z283,Z283)&gt;1,"",ROUND(1+SUMPRODUCT(($Z$5:$Z$448&lt;&gt;"")*($Z$5:$Z$448&lt;Z283)/COUNTIF($Z$5:$Z$448,$Z$5:$Z$448&amp;"")),0)))</f>
        <v/>
      </c>
    </row>
    <row r="284" spans="2:27" x14ac:dyDescent="0.25">
      <c r="B284" s="160" t="str">
        <f>IFERROR(INDEX($V$5:$V$448,MATCH(ROWS($B$5:B284),$W$5:$W$448,0)),"")</f>
        <v/>
      </c>
      <c r="C284" s="265" t="str">
        <f>IF($B284="","",COUNTIF(Jan[Resident Name],$B284))</f>
        <v/>
      </c>
      <c r="D284" s="265" t="str">
        <f>IF($B284="","",COUNTIF(Feb[Resident Name],$B284))</f>
        <v/>
      </c>
      <c r="E284" s="265" t="str">
        <f>IF($B284="","",COUNTIF(Mar[Resident Name],$B284))</f>
        <v/>
      </c>
      <c r="F284" s="265" t="str">
        <f>IF($B284="","",COUNTIF(Apr[Resident Name],$B284))</f>
        <v/>
      </c>
      <c r="G284" s="265" t="str">
        <f>IF($B284="","",COUNTIF(May[Resident Name],$B284))</f>
        <v/>
      </c>
      <c r="H284" s="265" t="str">
        <f>IF($B284="","",COUNTIF(June[Resident Name],$B284))</f>
        <v/>
      </c>
      <c r="I284" s="265" t="str">
        <f>IF($B284="","",COUNTIF(July[Resident Name],$B284))</f>
        <v/>
      </c>
      <c r="J284" s="265" t="str">
        <f>IF($B284="","",COUNTIF(Aug[Resident Name],$B284))</f>
        <v/>
      </c>
      <c r="K284" s="265" t="str">
        <f>IF($B284="","",COUNTIF(Sept[Resident Name],$B284))</f>
        <v/>
      </c>
      <c r="L284" s="265" t="str">
        <f>IF($B284="","",COUNTIF(Oct[Resident Name],$B284))</f>
        <v/>
      </c>
      <c r="M284" s="265" t="str">
        <f>IF($B284="","",COUNTIF(Nov[Resident Name],$B284))</f>
        <v/>
      </c>
      <c r="N284" s="265" t="str">
        <f>IF($B284="","",COUNTIF(Dec[Resident Name],$B284))</f>
        <v/>
      </c>
      <c r="O284" s="265" t="str">
        <f t="shared" si="10"/>
        <v/>
      </c>
      <c r="P284" s="11"/>
      <c r="R284" s="160" t="str">
        <f>IFERROR(INDEX($B$5:$B$172,MATCH(ROWS($R$5:R284),$X$5:$X$172,0)),"")</f>
        <v/>
      </c>
      <c r="S284" s="76" t="str">
        <f>IF($R284="","",INDEX($O$5:$O$172,MATCH(ROWS($R$5:R284),$X$5:$X$172,0)))</f>
        <v/>
      </c>
      <c r="U284" s="160" t="str">
        <f>IFERROR(INDEX($Z$5:$Z$448,MATCH(ROWS($U$5:U284),$AA$5:$AA$448,0)),"")</f>
        <v/>
      </c>
      <c r="V284" s="274" t="str">
        <f>IF(Aug!C24="","",Aug!C24)</f>
        <v/>
      </c>
      <c r="W284" s="274" t="str" cm="1">
        <f t="array" ref="W284">IF(V284="","",IF(COUNTIF($V$5:V284,V284)&gt;1,"",ROUND(1+SUMPRODUCT(($V$5:$V$448&lt;&gt;"")*($V$5:$V$448&lt;V284)/COUNTIF($V$5:$V$448,$V$5:$V$448&amp;"")),0)))</f>
        <v/>
      </c>
      <c r="X284" s="274"/>
      <c r="Z284" s="274" t="str">
        <f>IF(Aug!H24="Major Injury",Aug!C24,"")</f>
        <v/>
      </c>
      <c r="AA284" s="274" t="str" cm="1">
        <f t="array" ref="AA284">IF(Z284="","",IF(COUNTIF($Z$5:Z284,Z284)&gt;1,"",ROUND(1+SUMPRODUCT(($Z$5:$Z$448&lt;&gt;"")*($Z$5:$Z$448&lt;Z284)/COUNTIF($Z$5:$Z$448,$Z$5:$Z$448&amp;"")),0)))</f>
        <v/>
      </c>
    </row>
    <row r="285" spans="2:27" x14ac:dyDescent="0.25">
      <c r="B285" s="160" t="str">
        <f>IFERROR(INDEX($V$5:$V$448,MATCH(ROWS($B$5:B285),$W$5:$W$448,0)),"")</f>
        <v/>
      </c>
      <c r="C285" s="265" t="str">
        <f>IF($B285="","",COUNTIF(Jan[Resident Name],$B285))</f>
        <v/>
      </c>
      <c r="D285" s="265" t="str">
        <f>IF($B285="","",COUNTIF(Feb[Resident Name],$B285))</f>
        <v/>
      </c>
      <c r="E285" s="265" t="str">
        <f>IF($B285="","",COUNTIF(Mar[Resident Name],$B285))</f>
        <v/>
      </c>
      <c r="F285" s="265" t="str">
        <f>IF($B285="","",COUNTIF(Apr[Resident Name],$B285))</f>
        <v/>
      </c>
      <c r="G285" s="265" t="str">
        <f>IF($B285="","",COUNTIF(May[Resident Name],$B285))</f>
        <v/>
      </c>
      <c r="H285" s="265" t="str">
        <f>IF($B285="","",COUNTIF(June[Resident Name],$B285))</f>
        <v/>
      </c>
      <c r="I285" s="265" t="str">
        <f>IF($B285="","",COUNTIF(July[Resident Name],$B285))</f>
        <v/>
      </c>
      <c r="J285" s="265" t="str">
        <f>IF($B285="","",COUNTIF(Aug[Resident Name],$B285))</f>
        <v/>
      </c>
      <c r="K285" s="265" t="str">
        <f>IF($B285="","",COUNTIF(Sept[Resident Name],$B285))</f>
        <v/>
      </c>
      <c r="L285" s="265" t="str">
        <f>IF($B285="","",COUNTIF(Oct[Resident Name],$B285))</f>
        <v/>
      </c>
      <c r="M285" s="265" t="str">
        <f>IF($B285="","",COUNTIF(Nov[Resident Name],$B285))</f>
        <v/>
      </c>
      <c r="N285" s="265" t="str">
        <f>IF($B285="","",COUNTIF(Dec[Resident Name],$B285))</f>
        <v/>
      </c>
      <c r="O285" s="265" t="str">
        <f t="shared" si="10"/>
        <v/>
      </c>
      <c r="P285" s="11"/>
      <c r="R285" s="160" t="str">
        <f>IFERROR(INDEX($B$5:$B$172,MATCH(ROWS($R$5:R285),$X$5:$X$172,0)),"")</f>
        <v/>
      </c>
      <c r="S285" s="76" t="str">
        <f>IF($R285="","",INDEX($O$5:$O$172,MATCH(ROWS($R$5:R285),$X$5:$X$172,0)))</f>
        <v/>
      </c>
      <c r="U285" s="160" t="str">
        <f>IFERROR(INDEX($Z$5:$Z$448,MATCH(ROWS($U$5:U285),$AA$5:$AA$448,0)),"")</f>
        <v/>
      </c>
      <c r="V285" s="274" t="str">
        <f>IF(Aug!C25="","",Aug!C25)</f>
        <v/>
      </c>
      <c r="W285" s="274" t="str" cm="1">
        <f t="array" ref="W285">IF(V285="","",IF(COUNTIF($V$5:V285,V285)&gt;1,"",ROUND(1+SUMPRODUCT(($V$5:$V$448&lt;&gt;"")*($V$5:$V$448&lt;V285)/COUNTIF($V$5:$V$448,$V$5:$V$448&amp;"")),0)))</f>
        <v/>
      </c>
      <c r="X285" s="274"/>
      <c r="Z285" s="274" t="str">
        <f>IF(Aug!H25="Major Injury",Aug!C25,"")</f>
        <v/>
      </c>
      <c r="AA285" s="274" t="str" cm="1">
        <f t="array" ref="AA285">IF(Z285="","",IF(COUNTIF($Z$5:Z285,Z285)&gt;1,"",ROUND(1+SUMPRODUCT(($Z$5:$Z$448&lt;&gt;"")*($Z$5:$Z$448&lt;Z285)/COUNTIF($Z$5:$Z$448,$Z$5:$Z$448&amp;"")),0)))</f>
        <v/>
      </c>
    </row>
    <row r="286" spans="2:27" x14ac:dyDescent="0.25">
      <c r="B286" s="160" t="str">
        <f>IFERROR(INDEX($V$5:$V$448,MATCH(ROWS($B$5:B286),$W$5:$W$448,0)),"")</f>
        <v/>
      </c>
      <c r="C286" s="265" t="str">
        <f>IF($B286="","",COUNTIF(Jan[Resident Name],$B286))</f>
        <v/>
      </c>
      <c r="D286" s="265" t="str">
        <f>IF($B286="","",COUNTIF(Feb[Resident Name],$B286))</f>
        <v/>
      </c>
      <c r="E286" s="265" t="str">
        <f>IF($B286="","",COUNTIF(Mar[Resident Name],$B286))</f>
        <v/>
      </c>
      <c r="F286" s="265" t="str">
        <f>IF($B286="","",COUNTIF(Apr[Resident Name],$B286))</f>
        <v/>
      </c>
      <c r="G286" s="265" t="str">
        <f>IF($B286="","",COUNTIF(May[Resident Name],$B286))</f>
        <v/>
      </c>
      <c r="H286" s="265" t="str">
        <f>IF($B286="","",COUNTIF(June[Resident Name],$B286))</f>
        <v/>
      </c>
      <c r="I286" s="265" t="str">
        <f>IF($B286="","",COUNTIF(July[Resident Name],$B286))</f>
        <v/>
      </c>
      <c r="J286" s="265" t="str">
        <f>IF($B286="","",COUNTIF(Aug[Resident Name],$B286))</f>
        <v/>
      </c>
      <c r="K286" s="265" t="str">
        <f>IF($B286="","",COUNTIF(Sept[Resident Name],$B286))</f>
        <v/>
      </c>
      <c r="L286" s="265" t="str">
        <f>IF($B286="","",COUNTIF(Oct[Resident Name],$B286))</f>
        <v/>
      </c>
      <c r="M286" s="265" t="str">
        <f>IF($B286="","",COUNTIF(Nov[Resident Name],$B286))</f>
        <v/>
      </c>
      <c r="N286" s="265" t="str">
        <f>IF($B286="","",COUNTIF(Dec[Resident Name],$B286))</f>
        <v/>
      </c>
      <c r="O286" s="265" t="str">
        <f t="shared" si="10"/>
        <v/>
      </c>
      <c r="P286" s="11"/>
      <c r="R286" s="160" t="str">
        <f>IFERROR(INDEX($B$5:$B$172,MATCH(ROWS($R$5:R286),$X$5:$X$172,0)),"")</f>
        <v/>
      </c>
      <c r="S286" s="76" t="str">
        <f>IF($R286="","",INDEX($O$5:$O$172,MATCH(ROWS($R$5:R286),$X$5:$X$172,0)))</f>
        <v/>
      </c>
      <c r="U286" s="160" t="str">
        <f>IFERROR(INDEX($Z$5:$Z$448,MATCH(ROWS($U$5:U286),$AA$5:$AA$448,0)),"")</f>
        <v/>
      </c>
      <c r="V286" s="274" t="str">
        <f>IF(Aug!C26="","",Aug!C26)</f>
        <v/>
      </c>
      <c r="W286" s="274" t="str" cm="1">
        <f t="array" ref="W286">IF(V286="","",IF(COUNTIF($V$5:V286,V286)&gt;1,"",ROUND(1+SUMPRODUCT(($V$5:$V$448&lt;&gt;"")*($V$5:$V$448&lt;V286)/COUNTIF($V$5:$V$448,$V$5:$V$448&amp;"")),0)))</f>
        <v/>
      </c>
      <c r="X286" s="274"/>
      <c r="Z286" s="274" t="str">
        <f>IF(Aug!H26="Major Injury",Aug!C26,"")</f>
        <v/>
      </c>
      <c r="AA286" s="274" t="str" cm="1">
        <f t="array" ref="AA286">IF(Z286="","",IF(COUNTIF($Z$5:Z286,Z286)&gt;1,"",ROUND(1+SUMPRODUCT(($Z$5:$Z$448&lt;&gt;"")*($Z$5:$Z$448&lt;Z286)/COUNTIF($Z$5:$Z$448,$Z$5:$Z$448&amp;"")),0)))</f>
        <v/>
      </c>
    </row>
    <row r="287" spans="2:27" x14ac:dyDescent="0.25">
      <c r="B287" s="160" t="str">
        <f>IFERROR(INDEX($V$5:$V$448,MATCH(ROWS($B$5:B287),$W$5:$W$448,0)),"")</f>
        <v/>
      </c>
      <c r="C287" s="265" t="str">
        <f>IF($B287="","",COUNTIF(Jan[Resident Name],$B287))</f>
        <v/>
      </c>
      <c r="D287" s="265" t="str">
        <f>IF($B287="","",COUNTIF(Feb[Resident Name],$B287))</f>
        <v/>
      </c>
      <c r="E287" s="265" t="str">
        <f>IF($B287="","",COUNTIF(Mar[Resident Name],$B287))</f>
        <v/>
      </c>
      <c r="F287" s="265" t="str">
        <f>IF($B287="","",COUNTIF(Apr[Resident Name],$B287))</f>
        <v/>
      </c>
      <c r="G287" s="265" t="str">
        <f>IF($B287="","",COUNTIF(May[Resident Name],$B287))</f>
        <v/>
      </c>
      <c r="H287" s="265" t="str">
        <f>IF($B287="","",COUNTIF(June[Resident Name],$B287))</f>
        <v/>
      </c>
      <c r="I287" s="265" t="str">
        <f>IF($B287="","",COUNTIF(July[Resident Name],$B287))</f>
        <v/>
      </c>
      <c r="J287" s="265" t="str">
        <f>IF($B287="","",COUNTIF(Aug[Resident Name],$B287))</f>
        <v/>
      </c>
      <c r="K287" s="265" t="str">
        <f>IF($B287="","",COUNTIF(Sept[Resident Name],$B287))</f>
        <v/>
      </c>
      <c r="L287" s="265" t="str">
        <f>IF($B287="","",COUNTIF(Oct[Resident Name],$B287))</f>
        <v/>
      </c>
      <c r="M287" s="265" t="str">
        <f>IF($B287="","",COUNTIF(Nov[Resident Name],$B287))</f>
        <v/>
      </c>
      <c r="N287" s="265" t="str">
        <f>IF($B287="","",COUNTIF(Dec[Resident Name],$B287))</f>
        <v/>
      </c>
      <c r="O287" s="265" t="str">
        <f t="shared" si="10"/>
        <v/>
      </c>
      <c r="P287" s="11"/>
      <c r="R287" s="160" t="str">
        <f>IFERROR(INDEX($B$5:$B$172,MATCH(ROWS($R$5:R287),$X$5:$X$172,0)),"")</f>
        <v/>
      </c>
      <c r="S287" s="76" t="str">
        <f>IF($R287="","",INDEX($O$5:$O$172,MATCH(ROWS($R$5:R287),$X$5:$X$172,0)))</f>
        <v/>
      </c>
      <c r="U287" s="160" t="str">
        <f>IFERROR(INDEX($Z$5:$Z$448,MATCH(ROWS($U$5:U287),$AA$5:$AA$448,0)),"")</f>
        <v/>
      </c>
      <c r="V287" s="274" t="str">
        <f>IF(Aug!C27="","",Aug!C27)</f>
        <v/>
      </c>
      <c r="W287" s="274" t="str" cm="1">
        <f t="array" ref="W287">IF(V287="","",IF(COUNTIF($V$5:V287,V287)&gt;1,"",ROUND(1+SUMPRODUCT(($V$5:$V$448&lt;&gt;"")*($V$5:$V$448&lt;V287)/COUNTIF($V$5:$V$448,$V$5:$V$448&amp;"")),0)))</f>
        <v/>
      </c>
      <c r="X287" s="274"/>
      <c r="Z287" s="274" t="str">
        <f>IF(Aug!H27="Major Injury",Aug!C27,"")</f>
        <v/>
      </c>
      <c r="AA287" s="274" t="str" cm="1">
        <f t="array" ref="AA287">IF(Z287="","",IF(COUNTIF($Z$5:Z287,Z287)&gt;1,"",ROUND(1+SUMPRODUCT(($Z$5:$Z$448&lt;&gt;"")*($Z$5:$Z$448&lt;Z287)/COUNTIF($Z$5:$Z$448,$Z$5:$Z$448&amp;"")),0)))</f>
        <v/>
      </c>
    </row>
    <row r="288" spans="2:27" x14ac:dyDescent="0.25">
      <c r="B288" s="160" t="str">
        <f>IFERROR(INDEX($V$5:$V$448,MATCH(ROWS($B$5:B288),$W$5:$W$448,0)),"")</f>
        <v/>
      </c>
      <c r="C288" s="265" t="str">
        <f>IF($B288="","",COUNTIF(Jan[Resident Name],$B288))</f>
        <v/>
      </c>
      <c r="D288" s="265" t="str">
        <f>IF($B288="","",COUNTIF(Feb[Resident Name],$B288))</f>
        <v/>
      </c>
      <c r="E288" s="265" t="str">
        <f>IF($B288="","",COUNTIF(Mar[Resident Name],$B288))</f>
        <v/>
      </c>
      <c r="F288" s="265" t="str">
        <f>IF($B288="","",COUNTIF(Apr[Resident Name],$B288))</f>
        <v/>
      </c>
      <c r="G288" s="265" t="str">
        <f>IF($B288="","",COUNTIF(May[Resident Name],$B288))</f>
        <v/>
      </c>
      <c r="H288" s="265" t="str">
        <f>IF($B288="","",COUNTIF(June[Resident Name],$B288))</f>
        <v/>
      </c>
      <c r="I288" s="265" t="str">
        <f>IF($B288="","",COUNTIF(July[Resident Name],$B288))</f>
        <v/>
      </c>
      <c r="J288" s="265" t="str">
        <f>IF($B288="","",COUNTIF(Aug[Resident Name],$B288))</f>
        <v/>
      </c>
      <c r="K288" s="265" t="str">
        <f>IF($B288="","",COUNTIF(Sept[Resident Name],$B288))</f>
        <v/>
      </c>
      <c r="L288" s="265" t="str">
        <f>IF($B288="","",COUNTIF(Oct[Resident Name],$B288))</f>
        <v/>
      </c>
      <c r="M288" s="265" t="str">
        <f>IF($B288="","",COUNTIF(Nov[Resident Name],$B288))</f>
        <v/>
      </c>
      <c r="N288" s="265" t="str">
        <f>IF($B288="","",COUNTIF(Dec[Resident Name],$B288))</f>
        <v/>
      </c>
      <c r="O288" s="265" t="str">
        <f t="shared" si="10"/>
        <v/>
      </c>
      <c r="P288" s="11"/>
      <c r="R288" s="160" t="str">
        <f>IFERROR(INDEX($B$5:$B$172,MATCH(ROWS($R$5:R288),$X$5:$X$172,0)),"")</f>
        <v/>
      </c>
      <c r="S288" s="76" t="str">
        <f>IF($R288="","",INDEX($O$5:$O$172,MATCH(ROWS($R$5:R288),$X$5:$X$172,0)))</f>
        <v/>
      </c>
      <c r="U288" s="160" t="str">
        <f>IFERROR(INDEX($Z$5:$Z$448,MATCH(ROWS($U$5:U288),$AA$5:$AA$448,0)),"")</f>
        <v/>
      </c>
      <c r="V288" s="274" t="str">
        <f>IF(Aug!C28="","",Aug!C28)</f>
        <v/>
      </c>
      <c r="W288" s="274" t="str" cm="1">
        <f t="array" ref="W288">IF(V288="","",IF(COUNTIF($V$5:V288,V288)&gt;1,"",ROUND(1+SUMPRODUCT(($V$5:$V$448&lt;&gt;"")*($V$5:$V$448&lt;V288)/COUNTIF($V$5:$V$448,$V$5:$V$448&amp;"")),0)))</f>
        <v/>
      </c>
      <c r="X288" s="274"/>
      <c r="Z288" s="274" t="str">
        <f>IF(Aug!H28="Major Injury",Aug!C28,"")</f>
        <v/>
      </c>
      <c r="AA288" s="274" t="str" cm="1">
        <f t="array" ref="AA288">IF(Z288="","",IF(COUNTIF($Z$5:Z288,Z288)&gt;1,"",ROUND(1+SUMPRODUCT(($Z$5:$Z$448&lt;&gt;"")*($Z$5:$Z$448&lt;Z288)/COUNTIF($Z$5:$Z$448,$Z$5:$Z$448&amp;"")),0)))</f>
        <v/>
      </c>
    </row>
    <row r="289" spans="2:27" x14ac:dyDescent="0.25">
      <c r="B289" s="160" t="str">
        <f>IFERROR(INDEX($V$5:$V$448,MATCH(ROWS($B$5:B289),$W$5:$W$448,0)),"")</f>
        <v/>
      </c>
      <c r="C289" s="265" t="str">
        <f>IF($B289="","",COUNTIF(Jan[Resident Name],$B289))</f>
        <v/>
      </c>
      <c r="D289" s="265" t="str">
        <f>IF($B289="","",COUNTIF(Feb[Resident Name],$B289))</f>
        <v/>
      </c>
      <c r="E289" s="265" t="str">
        <f>IF($B289="","",COUNTIF(Mar[Resident Name],$B289))</f>
        <v/>
      </c>
      <c r="F289" s="265" t="str">
        <f>IF($B289="","",COUNTIF(Apr[Resident Name],$B289))</f>
        <v/>
      </c>
      <c r="G289" s="265" t="str">
        <f>IF($B289="","",COUNTIF(May[Resident Name],$B289))</f>
        <v/>
      </c>
      <c r="H289" s="265" t="str">
        <f>IF($B289="","",COUNTIF(June[Resident Name],$B289))</f>
        <v/>
      </c>
      <c r="I289" s="265" t="str">
        <f>IF($B289="","",COUNTIF(July[Resident Name],$B289))</f>
        <v/>
      </c>
      <c r="J289" s="265" t="str">
        <f>IF($B289="","",COUNTIF(Aug[Resident Name],$B289))</f>
        <v/>
      </c>
      <c r="K289" s="265" t="str">
        <f>IF($B289="","",COUNTIF(Sept[Resident Name],$B289))</f>
        <v/>
      </c>
      <c r="L289" s="265" t="str">
        <f>IF($B289="","",COUNTIF(Oct[Resident Name],$B289))</f>
        <v/>
      </c>
      <c r="M289" s="265" t="str">
        <f>IF($B289="","",COUNTIF(Nov[Resident Name],$B289))</f>
        <v/>
      </c>
      <c r="N289" s="265" t="str">
        <f>IF($B289="","",COUNTIF(Dec[Resident Name],$B289))</f>
        <v/>
      </c>
      <c r="O289" s="265" t="str">
        <f t="shared" si="10"/>
        <v/>
      </c>
      <c r="P289" s="11"/>
      <c r="R289" s="160" t="str">
        <f>IFERROR(INDEX($B$5:$B$172,MATCH(ROWS($R$5:R289),$X$5:$X$172,0)),"")</f>
        <v/>
      </c>
      <c r="S289" s="76" t="str">
        <f>IF($R289="","",INDEX($O$5:$O$172,MATCH(ROWS($R$5:R289),$X$5:$X$172,0)))</f>
        <v/>
      </c>
      <c r="U289" s="160" t="str">
        <f>IFERROR(INDEX($Z$5:$Z$448,MATCH(ROWS($U$5:U289),$AA$5:$AA$448,0)),"")</f>
        <v/>
      </c>
      <c r="V289" s="274" t="str">
        <f>IF(Aug!C29="","",Aug!C29)</f>
        <v/>
      </c>
      <c r="W289" s="274" t="str" cm="1">
        <f t="array" ref="W289">IF(V289="","",IF(COUNTIF($V$5:V289,V289)&gt;1,"",ROUND(1+SUMPRODUCT(($V$5:$V$448&lt;&gt;"")*($V$5:$V$448&lt;V289)/COUNTIF($V$5:$V$448,$V$5:$V$448&amp;"")),0)))</f>
        <v/>
      </c>
      <c r="X289" s="274"/>
      <c r="Z289" s="274" t="str">
        <f>IF(Aug!H29="Major Injury",Aug!C29,"")</f>
        <v/>
      </c>
      <c r="AA289" s="274" t="str" cm="1">
        <f t="array" ref="AA289">IF(Z289="","",IF(COUNTIF($Z$5:Z289,Z289)&gt;1,"",ROUND(1+SUMPRODUCT(($Z$5:$Z$448&lt;&gt;"")*($Z$5:$Z$448&lt;Z289)/COUNTIF($Z$5:$Z$448,$Z$5:$Z$448&amp;"")),0)))</f>
        <v/>
      </c>
    </row>
    <row r="290" spans="2:27" x14ac:dyDescent="0.25">
      <c r="B290" s="160" t="str">
        <f>IFERROR(INDEX($V$5:$V$448,MATCH(ROWS($B$5:B290),$W$5:$W$448,0)),"")</f>
        <v/>
      </c>
      <c r="C290" s="265" t="str">
        <f>IF($B290="","",COUNTIF(Jan[Resident Name],$B290))</f>
        <v/>
      </c>
      <c r="D290" s="265" t="str">
        <f>IF($B290="","",COUNTIF(Feb[Resident Name],$B290))</f>
        <v/>
      </c>
      <c r="E290" s="265" t="str">
        <f>IF($B290="","",COUNTIF(Mar[Resident Name],$B290))</f>
        <v/>
      </c>
      <c r="F290" s="265" t="str">
        <f>IF($B290="","",COUNTIF(Apr[Resident Name],$B290))</f>
        <v/>
      </c>
      <c r="G290" s="265" t="str">
        <f>IF($B290="","",COUNTIF(May[Resident Name],$B290))</f>
        <v/>
      </c>
      <c r="H290" s="265" t="str">
        <f>IF($B290="","",COUNTIF(June[Resident Name],$B290))</f>
        <v/>
      </c>
      <c r="I290" s="265" t="str">
        <f>IF($B290="","",COUNTIF(July[Resident Name],$B290))</f>
        <v/>
      </c>
      <c r="J290" s="265" t="str">
        <f>IF($B290="","",COUNTIF(Aug[Resident Name],$B290))</f>
        <v/>
      </c>
      <c r="K290" s="265" t="str">
        <f>IF($B290="","",COUNTIF(Sept[Resident Name],$B290))</f>
        <v/>
      </c>
      <c r="L290" s="265" t="str">
        <f>IF($B290="","",COUNTIF(Oct[Resident Name],$B290))</f>
        <v/>
      </c>
      <c r="M290" s="265" t="str">
        <f>IF($B290="","",COUNTIF(Nov[Resident Name],$B290))</f>
        <v/>
      </c>
      <c r="N290" s="265" t="str">
        <f>IF($B290="","",COUNTIF(Dec[Resident Name],$B290))</f>
        <v/>
      </c>
      <c r="O290" s="265" t="str">
        <f t="shared" si="10"/>
        <v/>
      </c>
      <c r="P290" s="11"/>
      <c r="R290" s="160" t="str">
        <f>IFERROR(INDEX($B$5:$B$172,MATCH(ROWS($R$5:R290),$X$5:$X$172,0)),"")</f>
        <v/>
      </c>
      <c r="S290" s="76" t="str">
        <f>IF($R290="","",INDEX($O$5:$O$172,MATCH(ROWS($R$5:R290),$X$5:$X$172,0)))</f>
        <v/>
      </c>
      <c r="U290" s="160" t="str">
        <f>IFERROR(INDEX($Z$5:$Z$448,MATCH(ROWS($U$5:U290),$AA$5:$AA$448,0)),"")</f>
        <v/>
      </c>
      <c r="V290" s="274" t="str">
        <f>IF(Aug!C30="","",Aug!C30)</f>
        <v/>
      </c>
      <c r="W290" s="274" t="str" cm="1">
        <f t="array" ref="W290">IF(V290="","",IF(COUNTIF($V$5:V290,V290)&gt;1,"",ROUND(1+SUMPRODUCT(($V$5:$V$448&lt;&gt;"")*($V$5:$V$448&lt;V290)/COUNTIF($V$5:$V$448,$V$5:$V$448&amp;"")),0)))</f>
        <v/>
      </c>
      <c r="X290" s="274"/>
      <c r="Z290" s="274" t="str">
        <f>IF(Aug!H30="Major Injury",Aug!C30,"")</f>
        <v/>
      </c>
      <c r="AA290" s="274" t="str" cm="1">
        <f t="array" ref="AA290">IF(Z290="","",IF(COUNTIF($Z$5:Z290,Z290)&gt;1,"",ROUND(1+SUMPRODUCT(($Z$5:$Z$448&lt;&gt;"")*($Z$5:$Z$448&lt;Z290)/COUNTIF($Z$5:$Z$448,$Z$5:$Z$448&amp;"")),0)))</f>
        <v/>
      </c>
    </row>
    <row r="291" spans="2:27" x14ac:dyDescent="0.25">
      <c r="B291" s="160" t="str">
        <f>IFERROR(INDEX($V$5:$V$448,MATCH(ROWS($B$5:B291),$W$5:$W$448,0)),"")</f>
        <v/>
      </c>
      <c r="C291" s="265" t="str">
        <f>IF($B291="","",COUNTIF(Jan[Resident Name],$B291))</f>
        <v/>
      </c>
      <c r="D291" s="265" t="str">
        <f>IF($B291="","",COUNTIF(Feb[Resident Name],$B291))</f>
        <v/>
      </c>
      <c r="E291" s="265" t="str">
        <f>IF($B291="","",COUNTIF(Mar[Resident Name],$B291))</f>
        <v/>
      </c>
      <c r="F291" s="265" t="str">
        <f>IF($B291="","",COUNTIF(Apr[Resident Name],$B291))</f>
        <v/>
      </c>
      <c r="G291" s="265" t="str">
        <f>IF($B291="","",COUNTIF(May[Resident Name],$B291))</f>
        <v/>
      </c>
      <c r="H291" s="265" t="str">
        <f>IF($B291="","",COUNTIF(June[Resident Name],$B291))</f>
        <v/>
      </c>
      <c r="I291" s="265" t="str">
        <f>IF($B291="","",COUNTIF(July[Resident Name],$B291))</f>
        <v/>
      </c>
      <c r="J291" s="265" t="str">
        <f>IF($B291="","",COUNTIF(Aug[Resident Name],$B291))</f>
        <v/>
      </c>
      <c r="K291" s="265" t="str">
        <f>IF($B291="","",COUNTIF(Sept[Resident Name],$B291))</f>
        <v/>
      </c>
      <c r="L291" s="265" t="str">
        <f>IF($B291="","",COUNTIF(Oct[Resident Name],$B291))</f>
        <v/>
      </c>
      <c r="M291" s="265" t="str">
        <f>IF($B291="","",COUNTIF(Nov[Resident Name],$B291))</f>
        <v/>
      </c>
      <c r="N291" s="265" t="str">
        <f>IF($B291="","",COUNTIF(Dec[Resident Name],$B291))</f>
        <v/>
      </c>
      <c r="O291" s="265" t="str">
        <f t="shared" si="10"/>
        <v/>
      </c>
      <c r="P291" s="11"/>
      <c r="R291" s="160" t="str">
        <f>IFERROR(INDEX($B$5:$B$172,MATCH(ROWS($R$5:R291),$X$5:$X$172,0)),"")</f>
        <v/>
      </c>
      <c r="S291" s="76" t="str">
        <f>IF($R291="","",INDEX($O$5:$O$172,MATCH(ROWS($R$5:R291),$X$5:$X$172,0)))</f>
        <v/>
      </c>
      <c r="U291" s="160" t="str">
        <f>IFERROR(INDEX($Z$5:$Z$448,MATCH(ROWS($U$5:U291),$AA$5:$AA$448,0)),"")</f>
        <v/>
      </c>
      <c r="V291" s="274" t="str">
        <f>IF(Aug!C31="","",Aug!C31)</f>
        <v/>
      </c>
      <c r="W291" s="274" t="str" cm="1">
        <f t="array" ref="W291">IF(V291="","",IF(COUNTIF($V$5:V291,V291)&gt;1,"",ROUND(1+SUMPRODUCT(($V$5:$V$448&lt;&gt;"")*($V$5:$V$448&lt;V291)/COUNTIF($V$5:$V$448,$V$5:$V$448&amp;"")),0)))</f>
        <v/>
      </c>
      <c r="X291" s="274"/>
      <c r="Z291" s="274" t="str">
        <f>IF(Aug!H31="Major Injury",Aug!C31,"")</f>
        <v/>
      </c>
      <c r="AA291" s="274" t="str" cm="1">
        <f t="array" ref="AA291">IF(Z291="","",IF(COUNTIF($Z$5:Z291,Z291)&gt;1,"",ROUND(1+SUMPRODUCT(($Z$5:$Z$448&lt;&gt;"")*($Z$5:$Z$448&lt;Z291)/COUNTIF($Z$5:$Z$448,$Z$5:$Z$448&amp;"")),0)))</f>
        <v/>
      </c>
    </row>
    <row r="292" spans="2:27" x14ac:dyDescent="0.25">
      <c r="B292" s="160" t="str">
        <f>IFERROR(INDEX($V$5:$V$448,MATCH(ROWS($B$5:B292),$W$5:$W$448,0)),"")</f>
        <v/>
      </c>
      <c r="C292" s="265" t="str">
        <f>IF($B292="","",COUNTIF(Jan[Resident Name],$B292))</f>
        <v/>
      </c>
      <c r="D292" s="265" t="str">
        <f>IF($B292="","",COUNTIF(Feb[Resident Name],$B292))</f>
        <v/>
      </c>
      <c r="E292" s="265" t="str">
        <f>IF($B292="","",COUNTIF(Mar[Resident Name],$B292))</f>
        <v/>
      </c>
      <c r="F292" s="265" t="str">
        <f>IF($B292="","",COUNTIF(Apr[Resident Name],$B292))</f>
        <v/>
      </c>
      <c r="G292" s="265" t="str">
        <f>IF($B292="","",COUNTIF(May[Resident Name],$B292))</f>
        <v/>
      </c>
      <c r="H292" s="265" t="str">
        <f>IF($B292="","",COUNTIF(June[Resident Name],$B292))</f>
        <v/>
      </c>
      <c r="I292" s="265" t="str">
        <f>IF($B292="","",COUNTIF(July[Resident Name],$B292))</f>
        <v/>
      </c>
      <c r="J292" s="265" t="str">
        <f>IF($B292="","",COUNTIF(Aug[Resident Name],$B292))</f>
        <v/>
      </c>
      <c r="K292" s="265" t="str">
        <f>IF($B292="","",COUNTIF(Sept[Resident Name],$B292))</f>
        <v/>
      </c>
      <c r="L292" s="265" t="str">
        <f>IF($B292="","",COUNTIF(Oct[Resident Name],$B292))</f>
        <v/>
      </c>
      <c r="M292" s="265" t="str">
        <f>IF($B292="","",COUNTIF(Nov[Resident Name],$B292))</f>
        <v/>
      </c>
      <c r="N292" s="265" t="str">
        <f>IF($B292="","",COUNTIF(Dec[Resident Name],$B292))</f>
        <v/>
      </c>
      <c r="O292" s="265" t="str">
        <f t="shared" si="10"/>
        <v/>
      </c>
      <c r="P292" s="11"/>
      <c r="R292" s="160" t="str">
        <f>IFERROR(INDEX($B$5:$B$172,MATCH(ROWS($R$5:R292),$X$5:$X$172,0)),"")</f>
        <v/>
      </c>
      <c r="S292" s="76" t="str">
        <f>IF($R292="","",INDEX($O$5:$O$172,MATCH(ROWS($R$5:R292),$X$5:$X$172,0)))</f>
        <v/>
      </c>
      <c r="U292" s="160" t="str">
        <f>IFERROR(INDEX($Z$5:$Z$448,MATCH(ROWS($U$5:U292),$AA$5:$AA$448,0)),"")</f>
        <v/>
      </c>
      <c r="V292" s="274" t="str">
        <f>IF(Aug!C32="","",Aug!C32)</f>
        <v/>
      </c>
      <c r="W292" s="274" t="str" cm="1">
        <f t="array" ref="W292">IF(V292="","",IF(COUNTIF($V$5:V292,V292)&gt;1,"",ROUND(1+SUMPRODUCT(($V$5:$V$448&lt;&gt;"")*($V$5:$V$448&lt;V292)/COUNTIF($V$5:$V$448,$V$5:$V$448&amp;"")),0)))</f>
        <v/>
      </c>
      <c r="X292" s="274"/>
      <c r="Z292" s="274" t="str">
        <f>IF(Aug!H32="Major Injury",Aug!C32,"")</f>
        <v/>
      </c>
      <c r="AA292" s="274" t="str" cm="1">
        <f t="array" ref="AA292">IF(Z292="","",IF(COUNTIF($Z$5:Z292,Z292)&gt;1,"",ROUND(1+SUMPRODUCT(($Z$5:$Z$448&lt;&gt;"")*($Z$5:$Z$448&lt;Z292)/COUNTIF($Z$5:$Z$448,$Z$5:$Z$448&amp;"")),0)))</f>
        <v/>
      </c>
    </row>
    <row r="293" spans="2:27" x14ac:dyDescent="0.25">
      <c r="B293" s="160" t="str">
        <f>IFERROR(INDEX($V$5:$V$448,MATCH(ROWS($B$5:B293),$W$5:$W$448,0)),"")</f>
        <v/>
      </c>
      <c r="C293" s="265" t="str">
        <f>IF($B293="","",COUNTIF(Jan[Resident Name],$B293))</f>
        <v/>
      </c>
      <c r="D293" s="265" t="str">
        <f>IF($B293="","",COUNTIF(Feb[Resident Name],$B293))</f>
        <v/>
      </c>
      <c r="E293" s="265" t="str">
        <f>IF($B293="","",COUNTIF(Mar[Resident Name],$B293))</f>
        <v/>
      </c>
      <c r="F293" s="265" t="str">
        <f>IF($B293="","",COUNTIF(Apr[Resident Name],$B293))</f>
        <v/>
      </c>
      <c r="G293" s="265" t="str">
        <f>IF($B293="","",COUNTIF(May[Resident Name],$B293))</f>
        <v/>
      </c>
      <c r="H293" s="265" t="str">
        <f>IF($B293="","",COUNTIF(June[Resident Name],$B293))</f>
        <v/>
      </c>
      <c r="I293" s="265" t="str">
        <f>IF($B293="","",COUNTIF(July[Resident Name],$B293))</f>
        <v/>
      </c>
      <c r="J293" s="265" t="str">
        <f>IF($B293="","",COUNTIF(Aug[Resident Name],$B293))</f>
        <v/>
      </c>
      <c r="K293" s="265" t="str">
        <f>IF($B293="","",COUNTIF(Sept[Resident Name],$B293))</f>
        <v/>
      </c>
      <c r="L293" s="265" t="str">
        <f>IF($B293="","",COUNTIF(Oct[Resident Name],$B293))</f>
        <v/>
      </c>
      <c r="M293" s="265" t="str">
        <f>IF($B293="","",COUNTIF(Nov[Resident Name],$B293))</f>
        <v/>
      </c>
      <c r="N293" s="265" t="str">
        <f>IF($B293="","",COUNTIF(Dec[Resident Name],$B293))</f>
        <v/>
      </c>
      <c r="O293" s="265" t="str">
        <f t="shared" si="10"/>
        <v/>
      </c>
      <c r="P293" s="11"/>
      <c r="R293" s="160" t="str">
        <f>IFERROR(INDEX($B$5:$B$172,MATCH(ROWS($R$5:R293),$X$5:$X$172,0)),"")</f>
        <v/>
      </c>
      <c r="S293" s="76" t="str">
        <f>IF($R293="","",INDEX($O$5:$O$172,MATCH(ROWS($R$5:R293),$X$5:$X$172,0)))</f>
        <v/>
      </c>
      <c r="U293" s="160" t="str">
        <f>IFERROR(INDEX($Z$5:$Z$448,MATCH(ROWS($U$5:U293),$AA$5:$AA$448,0)),"")</f>
        <v/>
      </c>
      <c r="V293" s="274" t="str">
        <f>IF(Aug!C33="","",Aug!C33)</f>
        <v/>
      </c>
      <c r="W293" s="274" t="str" cm="1">
        <f t="array" ref="W293">IF(V293="","",IF(COUNTIF($V$5:V293,V293)&gt;1,"",ROUND(1+SUMPRODUCT(($V$5:$V$448&lt;&gt;"")*($V$5:$V$448&lt;V293)/COUNTIF($V$5:$V$448,$V$5:$V$448&amp;"")),0)))</f>
        <v/>
      </c>
      <c r="X293" s="274"/>
      <c r="Z293" s="274" t="str">
        <f>IF(Aug!H33="Major Injury",Aug!C33,"")</f>
        <v/>
      </c>
      <c r="AA293" s="274" t="str" cm="1">
        <f t="array" ref="AA293">IF(Z293="","",IF(COUNTIF($Z$5:Z293,Z293)&gt;1,"",ROUND(1+SUMPRODUCT(($Z$5:$Z$448&lt;&gt;"")*($Z$5:$Z$448&lt;Z293)/COUNTIF($Z$5:$Z$448,$Z$5:$Z$448&amp;"")),0)))</f>
        <v/>
      </c>
    </row>
    <row r="294" spans="2:27" x14ac:dyDescent="0.25">
      <c r="B294" s="160" t="str">
        <f>IFERROR(INDEX($V$5:$V$448,MATCH(ROWS($B$5:B294),$W$5:$W$448,0)),"")</f>
        <v/>
      </c>
      <c r="C294" s="265" t="str">
        <f>IF($B294="","",COUNTIF(Jan[Resident Name],$B294))</f>
        <v/>
      </c>
      <c r="D294" s="265" t="str">
        <f>IF($B294="","",COUNTIF(Feb[Resident Name],$B294))</f>
        <v/>
      </c>
      <c r="E294" s="265" t="str">
        <f>IF($B294="","",COUNTIF(Mar[Resident Name],$B294))</f>
        <v/>
      </c>
      <c r="F294" s="265" t="str">
        <f>IF($B294="","",COUNTIF(Apr[Resident Name],$B294))</f>
        <v/>
      </c>
      <c r="G294" s="265" t="str">
        <f>IF($B294="","",COUNTIF(May[Resident Name],$B294))</f>
        <v/>
      </c>
      <c r="H294" s="265" t="str">
        <f>IF($B294="","",COUNTIF(June[Resident Name],$B294))</f>
        <v/>
      </c>
      <c r="I294" s="265" t="str">
        <f>IF($B294="","",COUNTIF(July[Resident Name],$B294))</f>
        <v/>
      </c>
      <c r="J294" s="265" t="str">
        <f>IF($B294="","",COUNTIF(Aug[Resident Name],$B294))</f>
        <v/>
      </c>
      <c r="K294" s="265" t="str">
        <f>IF($B294="","",COUNTIF(Sept[Resident Name],$B294))</f>
        <v/>
      </c>
      <c r="L294" s="265" t="str">
        <f>IF($B294="","",COUNTIF(Oct[Resident Name],$B294))</f>
        <v/>
      </c>
      <c r="M294" s="265" t="str">
        <f>IF($B294="","",COUNTIF(Nov[Resident Name],$B294))</f>
        <v/>
      </c>
      <c r="N294" s="265" t="str">
        <f>IF($B294="","",COUNTIF(Dec[Resident Name],$B294))</f>
        <v/>
      </c>
      <c r="O294" s="265" t="str">
        <f t="shared" si="10"/>
        <v/>
      </c>
      <c r="P294" s="11"/>
      <c r="R294" s="160" t="str">
        <f>IFERROR(INDEX($B$5:$B$172,MATCH(ROWS($R$5:R294),$X$5:$X$172,0)),"")</f>
        <v/>
      </c>
      <c r="S294" s="76" t="str">
        <f>IF($R294="","",INDEX($O$5:$O$172,MATCH(ROWS($R$5:R294),$X$5:$X$172,0)))</f>
        <v/>
      </c>
      <c r="U294" s="160" t="str">
        <f>IFERROR(INDEX($Z$5:$Z$448,MATCH(ROWS($U$5:U294),$AA$5:$AA$448,0)),"")</f>
        <v/>
      </c>
      <c r="V294" s="274" t="str">
        <f>IF(Aug!C34="","",Aug!C34)</f>
        <v/>
      </c>
      <c r="W294" s="274" t="str" cm="1">
        <f t="array" ref="W294">IF(V294="","",IF(COUNTIF($V$5:V294,V294)&gt;1,"",ROUND(1+SUMPRODUCT(($V$5:$V$448&lt;&gt;"")*($V$5:$V$448&lt;V294)/COUNTIF($V$5:$V$448,$V$5:$V$448&amp;"")),0)))</f>
        <v/>
      </c>
      <c r="X294" s="274"/>
      <c r="Z294" s="274" t="str">
        <f>IF(Aug!H34="Major Injury",Aug!C34,"")</f>
        <v/>
      </c>
      <c r="AA294" s="274" t="str" cm="1">
        <f t="array" ref="AA294">IF(Z294="","",IF(COUNTIF($Z$5:Z294,Z294)&gt;1,"",ROUND(1+SUMPRODUCT(($Z$5:$Z$448&lt;&gt;"")*($Z$5:$Z$448&lt;Z294)/COUNTIF($Z$5:$Z$448,$Z$5:$Z$448&amp;"")),0)))</f>
        <v/>
      </c>
    </row>
    <row r="295" spans="2:27" x14ac:dyDescent="0.25">
      <c r="B295" s="160" t="str">
        <f>IFERROR(INDEX($V$5:$V$448,MATCH(ROWS($B$5:B295),$W$5:$W$448,0)),"")</f>
        <v/>
      </c>
      <c r="C295" s="265" t="str">
        <f>IF($B295="","",COUNTIF(Jan[Resident Name],$B295))</f>
        <v/>
      </c>
      <c r="D295" s="265" t="str">
        <f>IF($B295="","",COUNTIF(Feb[Resident Name],$B295))</f>
        <v/>
      </c>
      <c r="E295" s="265" t="str">
        <f>IF($B295="","",COUNTIF(Mar[Resident Name],$B295))</f>
        <v/>
      </c>
      <c r="F295" s="265" t="str">
        <f>IF($B295="","",COUNTIF(Apr[Resident Name],$B295))</f>
        <v/>
      </c>
      <c r="G295" s="265" t="str">
        <f>IF($B295="","",COUNTIF(May[Resident Name],$B295))</f>
        <v/>
      </c>
      <c r="H295" s="265" t="str">
        <f>IF($B295="","",COUNTIF(June[Resident Name],$B295))</f>
        <v/>
      </c>
      <c r="I295" s="265" t="str">
        <f>IF($B295="","",COUNTIF(July[Resident Name],$B295))</f>
        <v/>
      </c>
      <c r="J295" s="265" t="str">
        <f>IF($B295="","",COUNTIF(Aug[Resident Name],$B295))</f>
        <v/>
      </c>
      <c r="K295" s="265" t="str">
        <f>IF($B295="","",COUNTIF(Sept[Resident Name],$B295))</f>
        <v/>
      </c>
      <c r="L295" s="265" t="str">
        <f>IF($B295="","",COUNTIF(Oct[Resident Name],$B295))</f>
        <v/>
      </c>
      <c r="M295" s="265" t="str">
        <f>IF($B295="","",COUNTIF(Nov[Resident Name],$B295))</f>
        <v/>
      </c>
      <c r="N295" s="265" t="str">
        <f>IF($B295="","",COUNTIF(Dec[Resident Name],$B295))</f>
        <v/>
      </c>
      <c r="O295" s="265" t="str">
        <f t="shared" si="10"/>
        <v/>
      </c>
      <c r="P295" s="11"/>
      <c r="R295" s="160" t="str">
        <f>IFERROR(INDEX($B$5:$B$172,MATCH(ROWS($R$5:R295),$X$5:$X$172,0)),"")</f>
        <v/>
      </c>
      <c r="S295" s="76" t="str">
        <f>IF($R295="","",INDEX($O$5:$O$172,MATCH(ROWS($R$5:R295),$X$5:$X$172,0)))</f>
        <v/>
      </c>
      <c r="U295" s="160" t="str">
        <f>IFERROR(INDEX($Z$5:$Z$448,MATCH(ROWS($U$5:U295),$AA$5:$AA$448,0)),"")</f>
        <v/>
      </c>
      <c r="V295" s="274" t="str">
        <f>IF(Aug!C35="","",Aug!C35)</f>
        <v/>
      </c>
      <c r="W295" s="274" t="str" cm="1">
        <f t="array" ref="W295">IF(V295="","",IF(COUNTIF($V$5:V295,V295)&gt;1,"",ROUND(1+SUMPRODUCT(($V$5:$V$448&lt;&gt;"")*($V$5:$V$448&lt;V295)/COUNTIF($V$5:$V$448,$V$5:$V$448&amp;"")),0)))</f>
        <v/>
      </c>
      <c r="X295" s="274"/>
      <c r="Z295" s="274" t="str">
        <f>IF(Aug!H35="Major Injury",Aug!C35,"")</f>
        <v/>
      </c>
      <c r="AA295" s="274" t="str" cm="1">
        <f t="array" ref="AA295">IF(Z295="","",IF(COUNTIF($Z$5:Z295,Z295)&gt;1,"",ROUND(1+SUMPRODUCT(($Z$5:$Z$448&lt;&gt;"")*($Z$5:$Z$448&lt;Z295)/COUNTIF($Z$5:$Z$448,$Z$5:$Z$448&amp;"")),0)))</f>
        <v/>
      </c>
    </row>
    <row r="296" spans="2:27" x14ac:dyDescent="0.25">
      <c r="B296" s="160" t="str">
        <f>IFERROR(INDEX($V$5:$V$448,MATCH(ROWS($B$5:B296),$W$5:$W$448,0)),"")</f>
        <v/>
      </c>
      <c r="C296" s="265" t="str">
        <f>IF($B296="","",COUNTIF(Jan[Resident Name],$B296))</f>
        <v/>
      </c>
      <c r="D296" s="265" t="str">
        <f>IF($B296="","",COUNTIF(Feb[Resident Name],$B296))</f>
        <v/>
      </c>
      <c r="E296" s="265" t="str">
        <f>IF($B296="","",COUNTIF(Mar[Resident Name],$B296))</f>
        <v/>
      </c>
      <c r="F296" s="265" t="str">
        <f>IF($B296="","",COUNTIF(Apr[Resident Name],$B296))</f>
        <v/>
      </c>
      <c r="G296" s="265" t="str">
        <f>IF($B296="","",COUNTIF(May[Resident Name],$B296))</f>
        <v/>
      </c>
      <c r="H296" s="265" t="str">
        <f>IF($B296="","",COUNTIF(June[Resident Name],$B296))</f>
        <v/>
      </c>
      <c r="I296" s="265" t="str">
        <f>IF($B296="","",COUNTIF(July[Resident Name],$B296))</f>
        <v/>
      </c>
      <c r="J296" s="265" t="str">
        <f>IF($B296="","",COUNTIF(Aug[Resident Name],$B296))</f>
        <v/>
      </c>
      <c r="K296" s="265" t="str">
        <f>IF($B296="","",COUNTIF(Sept[Resident Name],$B296))</f>
        <v/>
      </c>
      <c r="L296" s="265" t="str">
        <f>IF($B296="","",COUNTIF(Oct[Resident Name],$B296))</f>
        <v/>
      </c>
      <c r="M296" s="265" t="str">
        <f>IF($B296="","",COUNTIF(Nov[Resident Name],$B296))</f>
        <v/>
      </c>
      <c r="N296" s="265" t="str">
        <f>IF($B296="","",COUNTIF(Dec[Resident Name],$B296))</f>
        <v/>
      </c>
      <c r="O296" s="265" t="str">
        <f t="shared" si="10"/>
        <v/>
      </c>
      <c r="P296" s="11"/>
      <c r="R296" s="160" t="str">
        <f>IFERROR(INDEX($B$5:$B$172,MATCH(ROWS($R$5:R296),$X$5:$X$172,0)),"")</f>
        <v/>
      </c>
      <c r="S296" s="76" t="str">
        <f>IF($R296="","",INDEX($O$5:$O$172,MATCH(ROWS($R$5:R296),$X$5:$X$172,0)))</f>
        <v/>
      </c>
      <c r="U296" s="160" t="str">
        <f>IFERROR(INDEX($Z$5:$Z$448,MATCH(ROWS($U$5:U296),$AA$5:$AA$448,0)),"")</f>
        <v/>
      </c>
      <c r="V296" s="274" t="str">
        <f>IF(Aug!C36="","",Aug!C36)</f>
        <v/>
      </c>
      <c r="W296" s="274" t="str" cm="1">
        <f t="array" ref="W296">IF(V296="","",IF(COUNTIF($V$5:V296,V296)&gt;1,"",ROUND(1+SUMPRODUCT(($V$5:$V$448&lt;&gt;"")*($V$5:$V$448&lt;V296)/COUNTIF($V$5:$V$448,$V$5:$V$448&amp;"")),0)))</f>
        <v/>
      </c>
      <c r="X296" s="274"/>
      <c r="Z296" s="274" t="str">
        <f>IF(Aug!H36="Major Injury",Aug!C36,"")</f>
        <v/>
      </c>
      <c r="AA296" s="274" t="str" cm="1">
        <f t="array" ref="AA296">IF(Z296="","",IF(COUNTIF($Z$5:Z296,Z296)&gt;1,"",ROUND(1+SUMPRODUCT(($Z$5:$Z$448&lt;&gt;"")*($Z$5:$Z$448&lt;Z296)/COUNTIF($Z$5:$Z$448,$Z$5:$Z$448&amp;"")),0)))</f>
        <v/>
      </c>
    </row>
    <row r="297" spans="2:27" x14ac:dyDescent="0.25">
      <c r="B297" s="160" t="str">
        <f>IFERROR(INDEX($V$5:$V$448,MATCH(ROWS($B$5:B297),$W$5:$W$448,0)),"")</f>
        <v/>
      </c>
      <c r="C297" s="265" t="str">
        <f>IF($B297="","",COUNTIF(Jan[Resident Name],$B297))</f>
        <v/>
      </c>
      <c r="D297" s="265" t="str">
        <f>IF($B297="","",COUNTIF(Feb[Resident Name],$B297))</f>
        <v/>
      </c>
      <c r="E297" s="265" t="str">
        <f>IF($B297="","",COUNTIF(Mar[Resident Name],$B297))</f>
        <v/>
      </c>
      <c r="F297" s="265" t="str">
        <f>IF($B297="","",COUNTIF(Apr[Resident Name],$B297))</f>
        <v/>
      </c>
      <c r="G297" s="265" t="str">
        <f>IF($B297="","",COUNTIF(May[Resident Name],$B297))</f>
        <v/>
      </c>
      <c r="H297" s="265" t="str">
        <f>IF($B297="","",COUNTIF(June[Resident Name],$B297))</f>
        <v/>
      </c>
      <c r="I297" s="265" t="str">
        <f>IF($B297="","",COUNTIF(July[Resident Name],$B297))</f>
        <v/>
      </c>
      <c r="J297" s="265" t="str">
        <f>IF($B297="","",COUNTIF(Aug[Resident Name],$B297))</f>
        <v/>
      </c>
      <c r="K297" s="265" t="str">
        <f>IF($B297="","",COUNTIF(Sept[Resident Name],$B297))</f>
        <v/>
      </c>
      <c r="L297" s="265" t="str">
        <f>IF($B297="","",COUNTIF(Oct[Resident Name],$B297))</f>
        <v/>
      </c>
      <c r="M297" s="265" t="str">
        <f>IF($B297="","",COUNTIF(Nov[Resident Name],$B297))</f>
        <v/>
      </c>
      <c r="N297" s="265" t="str">
        <f>IF($B297="","",COUNTIF(Dec[Resident Name],$B297))</f>
        <v/>
      </c>
      <c r="O297" s="265" t="str">
        <f t="shared" si="10"/>
        <v/>
      </c>
      <c r="P297" s="11"/>
      <c r="R297" s="160" t="str">
        <f>IFERROR(INDEX($B$5:$B$172,MATCH(ROWS($R$5:R297),$X$5:$X$172,0)),"")</f>
        <v/>
      </c>
      <c r="S297" s="76" t="str">
        <f>IF($R297="","",INDEX($O$5:$O$172,MATCH(ROWS($R$5:R297),$X$5:$X$172,0)))</f>
        <v/>
      </c>
      <c r="U297" s="160" t="str">
        <f>IFERROR(INDEX($Z$5:$Z$448,MATCH(ROWS($U$5:U297),$AA$5:$AA$448,0)),"")</f>
        <v/>
      </c>
      <c r="V297" s="274" t="str">
        <f>IF(Aug!C37="","",Aug!C37)</f>
        <v/>
      </c>
      <c r="W297" s="274" t="str" cm="1">
        <f t="array" ref="W297">IF(V297="","",IF(COUNTIF($V$5:V297,V297)&gt;1,"",ROUND(1+SUMPRODUCT(($V$5:$V$448&lt;&gt;"")*($V$5:$V$448&lt;V297)/COUNTIF($V$5:$V$448,$V$5:$V$448&amp;"")),0)))</f>
        <v/>
      </c>
      <c r="X297" s="274"/>
      <c r="Z297" s="274" t="str">
        <f>IF(Aug!H37="Major Injury",Aug!C37,"")</f>
        <v/>
      </c>
      <c r="AA297" s="274" t="str" cm="1">
        <f t="array" ref="AA297">IF(Z297="","",IF(COUNTIF($Z$5:Z297,Z297)&gt;1,"",ROUND(1+SUMPRODUCT(($Z$5:$Z$448&lt;&gt;"")*($Z$5:$Z$448&lt;Z297)/COUNTIF($Z$5:$Z$448,$Z$5:$Z$448&amp;"")),0)))</f>
        <v/>
      </c>
    </row>
    <row r="298" spans="2:27" x14ac:dyDescent="0.25">
      <c r="B298" s="160" t="str">
        <f>IFERROR(INDEX($V$5:$V$448,MATCH(ROWS($B$5:B298),$W$5:$W$448,0)),"")</f>
        <v/>
      </c>
      <c r="C298" s="265" t="str">
        <f>IF($B298="","",COUNTIF(Jan[Resident Name],$B298))</f>
        <v/>
      </c>
      <c r="D298" s="265" t="str">
        <f>IF($B298="","",COUNTIF(Feb[Resident Name],$B298))</f>
        <v/>
      </c>
      <c r="E298" s="265" t="str">
        <f>IF($B298="","",COUNTIF(Mar[Resident Name],$B298))</f>
        <v/>
      </c>
      <c r="F298" s="265" t="str">
        <f>IF($B298="","",COUNTIF(Apr[Resident Name],$B298))</f>
        <v/>
      </c>
      <c r="G298" s="265" t="str">
        <f>IF($B298="","",COUNTIF(May[Resident Name],$B298))</f>
        <v/>
      </c>
      <c r="H298" s="265" t="str">
        <f>IF($B298="","",COUNTIF(June[Resident Name],$B298))</f>
        <v/>
      </c>
      <c r="I298" s="265" t="str">
        <f>IF($B298="","",COUNTIF(July[Resident Name],$B298))</f>
        <v/>
      </c>
      <c r="J298" s="265" t="str">
        <f>IF($B298="","",COUNTIF(Aug[Resident Name],$B298))</f>
        <v/>
      </c>
      <c r="K298" s="265" t="str">
        <f>IF($B298="","",COUNTIF(Sept[Resident Name],$B298))</f>
        <v/>
      </c>
      <c r="L298" s="265" t="str">
        <f>IF($B298="","",COUNTIF(Oct[Resident Name],$B298))</f>
        <v/>
      </c>
      <c r="M298" s="265" t="str">
        <f>IF($B298="","",COUNTIF(Nov[Resident Name],$B298))</f>
        <v/>
      </c>
      <c r="N298" s="265" t="str">
        <f>IF($B298="","",COUNTIF(Dec[Resident Name],$B298))</f>
        <v/>
      </c>
      <c r="O298" s="265" t="str">
        <f t="shared" si="10"/>
        <v/>
      </c>
      <c r="P298" s="11"/>
      <c r="R298" s="160" t="str">
        <f>IFERROR(INDEX($B$5:$B$172,MATCH(ROWS($R$5:R298),$X$5:$X$172,0)),"")</f>
        <v/>
      </c>
      <c r="S298" s="76" t="str">
        <f>IF($R298="","",INDEX($O$5:$O$172,MATCH(ROWS($R$5:R298),$X$5:$X$172,0)))</f>
        <v/>
      </c>
      <c r="U298" s="160" t="str">
        <f>IFERROR(INDEX($Z$5:$Z$448,MATCH(ROWS($U$5:U298),$AA$5:$AA$448,0)),"")</f>
        <v/>
      </c>
      <c r="V298" s="274" t="str">
        <f>IF(Aug!C38="","",Aug!C38)</f>
        <v/>
      </c>
      <c r="W298" s="274" t="str" cm="1">
        <f t="array" ref="W298">IF(V298="","",IF(COUNTIF($V$5:V298,V298)&gt;1,"",ROUND(1+SUMPRODUCT(($V$5:$V$448&lt;&gt;"")*($V$5:$V$448&lt;V298)/COUNTIF($V$5:$V$448,$V$5:$V$448&amp;"")),0)))</f>
        <v/>
      </c>
      <c r="X298" s="274"/>
      <c r="Z298" s="274" t="str">
        <f>IF(Aug!H38="Major Injury",Aug!C38,"")</f>
        <v/>
      </c>
      <c r="AA298" s="274" t="str" cm="1">
        <f t="array" ref="AA298">IF(Z298="","",IF(COUNTIF($Z$5:Z298,Z298)&gt;1,"",ROUND(1+SUMPRODUCT(($Z$5:$Z$448&lt;&gt;"")*($Z$5:$Z$448&lt;Z298)/COUNTIF($Z$5:$Z$448,$Z$5:$Z$448&amp;"")),0)))</f>
        <v/>
      </c>
    </row>
    <row r="299" spans="2:27" x14ac:dyDescent="0.25">
      <c r="B299" s="160" t="str">
        <f>IFERROR(INDEX($V$5:$V$448,MATCH(ROWS($B$5:B299),$W$5:$W$448,0)),"")</f>
        <v/>
      </c>
      <c r="C299" s="265" t="str">
        <f>IF($B299="","",COUNTIF(Jan[Resident Name],$B299))</f>
        <v/>
      </c>
      <c r="D299" s="265" t="str">
        <f>IF($B299="","",COUNTIF(Feb[Resident Name],$B299))</f>
        <v/>
      </c>
      <c r="E299" s="265" t="str">
        <f>IF($B299="","",COUNTIF(Mar[Resident Name],$B299))</f>
        <v/>
      </c>
      <c r="F299" s="265" t="str">
        <f>IF($B299="","",COUNTIF(Apr[Resident Name],$B299))</f>
        <v/>
      </c>
      <c r="G299" s="265" t="str">
        <f>IF($B299="","",COUNTIF(May[Resident Name],$B299))</f>
        <v/>
      </c>
      <c r="H299" s="265" t="str">
        <f>IF($B299="","",COUNTIF(June[Resident Name],$B299))</f>
        <v/>
      </c>
      <c r="I299" s="265" t="str">
        <f>IF($B299="","",COUNTIF(July[Resident Name],$B299))</f>
        <v/>
      </c>
      <c r="J299" s="265" t="str">
        <f>IF($B299="","",COUNTIF(Aug[Resident Name],$B299))</f>
        <v/>
      </c>
      <c r="K299" s="265" t="str">
        <f>IF($B299="","",COUNTIF(Sept[Resident Name],$B299))</f>
        <v/>
      </c>
      <c r="L299" s="265" t="str">
        <f>IF($B299="","",COUNTIF(Oct[Resident Name],$B299))</f>
        <v/>
      </c>
      <c r="M299" s="265" t="str">
        <f>IF($B299="","",COUNTIF(Nov[Resident Name],$B299))</f>
        <v/>
      </c>
      <c r="N299" s="265" t="str">
        <f>IF($B299="","",COUNTIF(Dec[Resident Name],$B299))</f>
        <v/>
      </c>
      <c r="O299" s="265" t="str">
        <f t="shared" si="10"/>
        <v/>
      </c>
      <c r="P299" s="11"/>
      <c r="R299" s="160" t="str">
        <f>IFERROR(INDEX($B$5:$B$172,MATCH(ROWS($R$5:R299),$X$5:$X$172,0)),"")</f>
        <v/>
      </c>
      <c r="S299" s="76" t="str">
        <f>IF($R299="","",INDEX($O$5:$O$172,MATCH(ROWS($R$5:R299),$X$5:$X$172,0)))</f>
        <v/>
      </c>
      <c r="U299" s="160" t="str">
        <f>IFERROR(INDEX($Z$5:$Z$448,MATCH(ROWS($U$5:U299),$AA$5:$AA$448,0)),"")</f>
        <v/>
      </c>
      <c r="V299" s="274" t="str">
        <f>IF(Aug!C39="","",Aug!C39)</f>
        <v/>
      </c>
      <c r="W299" s="274" t="str" cm="1">
        <f t="array" ref="W299">IF(V299="","",IF(COUNTIF($V$5:V299,V299)&gt;1,"",ROUND(1+SUMPRODUCT(($V$5:$V$448&lt;&gt;"")*($V$5:$V$448&lt;V299)/COUNTIF($V$5:$V$448,$V$5:$V$448&amp;"")),0)))</f>
        <v/>
      </c>
      <c r="X299" s="274"/>
      <c r="Z299" s="274" t="str">
        <f>IF(Aug!H39="Major Injury",Aug!C39,"")</f>
        <v/>
      </c>
      <c r="AA299" s="274" t="str" cm="1">
        <f t="array" ref="AA299">IF(Z299="","",IF(COUNTIF($Z$5:Z299,Z299)&gt;1,"",ROUND(1+SUMPRODUCT(($Z$5:$Z$448&lt;&gt;"")*($Z$5:$Z$448&lt;Z299)/COUNTIF($Z$5:$Z$448,$Z$5:$Z$448&amp;"")),0)))</f>
        <v/>
      </c>
    </row>
    <row r="300" spans="2:27" x14ac:dyDescent="0.25">
      <c r="B300" s="160" t="str">
        <f>IFERROR(INDEX($V$5:$V$448,MATCH(ROWS($B$5:B300),$W$5:$W$448,0)),"")</f>
        <v/>
      </c>
      <c r="C300" s="265" t="str">
        <f>IF($B300="","",COUNTIF(Jan[Resident Name],$B300))</f>
        <v/>
      </c>
      <c r="D300" s="265" t="str">
        <f>IF($B300="","",COUNTIF(Feb[Resident Name],$B300))</f>
        <v/>
      </c>
      <c r="E300" s="265" t="str">
        <f>IF($B300="","",COUNTIF(Mar[Resident Name],$B300))</f>
        <v/>
      </c>
      <c r="F300" s="265" t="str">
        <f>IF($B300="","",COUNTIF(Apr[Resident Name],$B300))</f>
        <v/>
      </c>
      <c r="G300" s="265" t="str">
        <f>IF($B300="","",COUNTIF(May[Resident Name],$B300))</f>
        <v/>
      </c>
      <c r="H300" s="265" t="str">
        <f>IF($B300="","",COUNTIF(June[Resident Name],$B300))</f>
        <v/>
      </c>
      <c r="I300" s="265" t="str">
        <f>IF($B300="","",COUNTIF(July[Resident Name],$B300))</f>
        <v/>
      </c>
      <c r="J300" s="265" t="str">
        <f>IF($B300="","",COUNTIF(Aug[Resident Name],$B300))</f>
        <v/>
      </c>
      <c r="K300" s="265" t="str">
        <f>IF($B300="","",COUNTIF(Sept[Resident Name],$B300))</f>
        <v/>
      </c>
      <c r="L300" s="265" t="str">
        <f>IF($B300="","",COUNTIF(Oct[Resident Name],$B300))</f>
        <v/>
      </c>
      <c r="M300" s="265" t="str">
        <f>IF($B300="","",COUNTIF(Nov[Resident Name],$B300))</f>
        <v/>
      </c>
      <c r="N300" s="265" t="str">
        <f>IF($B300="","",COUNTIF(Dec[Resident Name],$B300))</f>
        <v/>
      </c>
      <c r="O300" s="265" t="str">
        <f t="shared" si="10"/>
        <v/>
      </c>
      <c r="P300" s="11"/>
      <c r="R300" s="160" t="str">
        <f>IFERROR(INDEX($B$5:$B$172,MATCH(ROWS($R$5:R300),$X$5:$X$172,0)),"")</f>
        <v/>
      </c>
      <c r="S300" s="76" t="str">
        <f>IF($R300="","",INDEX($O$5:$O$172,MATCH(ROWS($R$5:R300),$X$5:$X$172,0)))</f>
        <v/>
      </c>
      <c r="U300" s="160" t="str">
        <f>IFERROR(INDEX($Z$5:$Z$448,MATCH(ROWS($U$5:U300),$AA$5:$AA$448,0)),"")</f>
        <v/>
      </c>
      <c r="V300" s="274" t="str">
        <f>IF(Aug!C40="","",Aug!C40)</f>
        <v/>
      </c>
      <c r="W300" s="274" t="str" cm="1">
        <f t="array" ref="W300">IF(V300="","",IF(COUNTIF($V$5:V300,V300)&gt;1,"",ROUND(1+SUMPRODUCT(($V$5:$V$448&lt;&gt;"")*($V$5:$V$448&lt;V300)/COUNTIF($V$5:$V$448,$V$5:$V$448&amp;"")),0)))</f>
        <v/>
      </c>
      <c r="X300" s="274"/>
      <c r="Z300" s="274" t="str">
        <f>IF(Aug!H40="Major Injury",Aug!C40,"")</f>
        <v/>
      </c>
      <c r="AA300" s="274" t="str" cm="1">
        <f t="array" ref="AA300">IF(Z300="","",IF(COUNTIF($Z$5:Z300,Z300)&gt;1,"",ROUND(1+SUMPRODUCT(($Z$5:$Z$448&lt;&gt;"")*($Z$5:$Z$448&lt;Z300)/COUNTIF($Z$5:$Z$448,$Z$5:$Z$448&amp;"")),0)))</f>
        <v/>
      </c>
    </row>
    <row r="301" spans="2:27" x14ac:dyDescent="0.25">
      <c r="B301" s="160" t="str">
        <f>IFERROR(INDEX($V$5:$V$448,MATCH(ROWS($B$5:B301),$W$5:$W$448,0)),"")</f>
        <v/>
      </c>
      <c r="C301" s="265" t="str">
        <f>IF($B301="","",COUNTIF(Jan[Resident Name],$B301))</f>
        <v/>
      </c>
      <c r="D301" s="265" t="str">
        <f>IF($B301="","",COUNTIF(Feb[Resident Name],$B301))</f>
        <v/>
      </c>
      <c r="E301" s="265" t="str">
        <f>IF($B301="","",COUNTIF(Mar[Resident Name],$B301))</f>
        <v/>
      </c>
      <c r="F301" s="265" t="str">
        <f>IF($B301="","",COUNTIF(Apr[Resident Name],$B301))</f>
        <v/>
      </c>
      <c r="G301" s="265" t="str">
        <f>IF($B301="","",COUNTIF(May[Resident Name],$B301))</f>
        <v/>
      </c>
      <c r="H301" s="265" t="str">
        <f>IF($B301="","",COUNTIF(June[Resident Name],$B301))</f>
        <v/>
      </c>
      <c r="I301" s="265" t="str">
        <f>IF($B301="","",COUNTIF(July[Resident Name],$B301))</f>
        <v/>
      </c>
      <c r="J301" s="265" t="str">
        <f>IF($B301="","",COUNTIF(Aug[Resident Name],$B301))</f>
        <v/>
      </c>
      <c r="K301" s="265" t="str">
        <f>IF($B301="","",COUNTIF(Sept[Resident Name],$B301))</f>
        <v/>
      </c>
      <c r="L301" s="265" t="str">
        <f>IF($B301="","",COUNTIF(Oct[Resident Name],$B301))</f>
        <v/>
      </c>
      <c r="M301" s="265" t="str">
        <f>IF($B301="","",COUNTIF(Nov[Resident Name],$B301))</f>
        <v/>
      </c>
      <c r="N301" s="265" t="str">
        <f>IF($B301="","",COUNTIF(Dec[Resident Name],$B301))</f>
        <v/>
      </c>
      <c r="O301" s="265" t="str">
        <f t="shared" si="10"/>
        <v/>
      </c>
      <c r="P301" s="11"/>
      <c r="R301" s="160" t="str">
        <f>IFERROR(INDEX($B$5:$B$172,MATCH(ROWS($R$5:R301),$X$5:$X$172,0)),"")</f>
        <v/>
      </c>
      <c r="S301" s="76" t="str">
        <f>IF($R301="","",INDEX($O$5:$O$172,MATCH(ROWS($R$5:R301),$X$5:$X$172,0)))</f>
        <v/>
      </c>
      <c r="U301" s="160" t="str">
        <f>IFERROR(INDEX($Z$5:$Z$448,MATCH(ROWS($U$5:U301),$AA$5:$AA$448,0)),"")</f>
        <v/>
      </c>
      <c r="V301" s="274" t="str">
        <f>IF(Sept!C4="","",Sept!C4)</f>
        <v/>
      </c>
      <c r="W301" s="274" t="str" cm="1">
        <f t="array" ref="W301">IF(V301="","",IF(COUNTIF($V$5:V301,V301)&gt;1,"",ROUND(1+SUMPRODUCT(($V$5:$V$448&lt;&gt;"")*($V$5:$V$448&lt;V301)/COUNTIF($V$5:$V$448,$V$5:$V$448&amp;"")),0)))</f>
        <v/>
      </c>
      <c r="X301" s="274"/>
      <c r="Z301" s="274" t="str">
        <f>IF(Sept!H4="Major Injury",Sept!C4,"")</f>
        <v/>
      </c>
      <c r="AA301" s="274" t="str" cm="1">
        <f t="array" ref="AA301">IF(Z301="","",IF(COUNTIF($Z$5:Z301,Z301)&gt;1,"",ROUND(1+SUMPRODUCT(($Z$5:$Z$448&lt;&gt;"")*($Z$5:$Z$448&lt;Z301)/COUNTIF($Z$5:$Z$448,$Z$5:$Z$448&amp;"")),0)))</f>
        <v/>
      </c>
    </row>
    <row r="302" spans="2:27" x14ac:dyDescent="0.25">
      <c r="B302" s="160" t="str">
        <f>IFERROR(INDEX($V$5:$V$448,MATCH(ROWS($B$5:B302),$W$5:$W$448,0)),"")</f>
        <v/>
      </c>
      <c r="C302" s="265" t="str">
        <f>IF($B302="","",COUNTIF(Jan[Resident Name],$B302))</f>
        <v/>
      </c>
      <c r="D302" s="265" t="str">
        <f>IF($B302="","",COUNTIF(Feb[Resident Name],$B302))</f>
        <v/>
      </c>
      <c r="E302" s="265" t="str">
        <f>IF($B302="","",COUNTIF(Mar[Resident Name],$B302))</f>
        <v/>
      </c>
      <c r="F302" s="265" t="str">
        <f>IF($B302="","",COUNTIF(Apr[Resident Name],$B302))</f>
        <v/>
      </c>
      <c r="G302" s="265" t="str">
        <f>IF($B302="","",COUNTIF(May[Resident Name],$B302))</f>
        <v/>
      </c>
      <c r="H302" s="265" t="str">
        <f>IF($B302="","",COUNTIF(June[Resident Name],$B302))</f>
        <v/>
      </c>
      <c r="I302" s="265" t="str">
        <f>IF($B302="","",COUNTIF(July[Resident Name],$B302))</f>
        <v/>
      </c>
      <c r="J302" s="265" t="str">
        <f>IF($B302="","",COUNTIF(Aug[Resident Name],$B302))</f>
        <v/>
      </c>
      <c r="K302" s="265" t="str">
        <f>IF($B302="","",COUNTIF(Sept[Resident Name],$B302))</f>
        <v/>
      </c>
      <c r="L302" s="265" t="str">
        <f>IF($B302="","",COUNTIF(Oct[Resident Name],$B302))</f>
        <v/>
      </c>
      <c r="M302" s="265" t="str">
        <f>IF($B302="","",COUNTIF(Nov[Resident Name],$B302))</f>
        <v/>
      </c>
      <c r="N302" s="265" t="str">
        <f>IF($B302="","",COUNTIF(Dec[Resident Name],$B302))</f>
        <v/>
      </c>
      <c r="O302" s="265" t="str">
        <f t="shared" si="10"/>
        <v/>
      </c>
      <c r="P302" s="11"/>
      <c r="R302" s="160" t="str">
        <f>IFERROR(INDEX($B$5:$B$172,MATCH(ROWS($R$5:R302),$X$5:$X$172,0)),"")</f>
        <v/>
      </c>
      <c r="S302" s="76" t="str">
        <f>IF($R302="","",INDEX($O$5:$O$172,MATCH(ROWS($R$5:R302),$X$5:$X$172,0)))</f>
        <v/>
      </c>
      <c r="U302" s="160" t="str">
        <f>IFERROR(INDEX($Z$5:$Z$448,MATCH(ROWS($U$5:U302),$AA$5:$AA$448,0)),"")</f>
        <v/>
      </c>
      <c r="V302" s="274" t="str">
        <f>IF(Sept!C5="","",Sept!C5)</f>
        <v/>
      </c>
      <c r="W302" s="274" t="str" cm="1">
        <f t="array" ref="W302">IF(V302="","",IF(COUNTIF($V$5:V302,V302)&gt;1,"",ROUND(1+SUMPRODUCT(($V$5:$V$448&lt;&gt;"")*($V$5:$V$448&lt;V302)/COUNTIF($V$5:$V$448,$V$5:$V$448&amp;"")),0)))</f>
        <v/>
      </c>
      <c r="X302" s="274"/>
      <c r="Z302" s="274" t="str">
        <f>IF(Sept!H5="Major Injury",Sept!C5,"")</f>
        <v/>
      </c>
      <c r="AA302" s="274" t="str" cm="1">
        <f t="array" ref="AA302">IF(Z302="","",IF(COUNTIF($Z$5:Z302,Z302)&gt;1,"",ROUND(1+SUMPRODUCT(($Z$5:$Z$448&lt;&gt;"")*($Z$5:$Z$448&lt;Z302)/COUNTIF($Z$5:$Z$448,$Z$5:$Z$448&amp;"")),0)))</f>
        <v/>
      </c>
    </row>
    <row r="303" spans="2:27" x14ac:dyDescent="0.25">
      <c r="B303" s="160" t="str">
        <f>IFERROR(INDEX($V$5:$V$448,MATCH(ROWS($B$5:B303),$W$5:$W$448,0)),"")</f>
        <v/>
      </c>
      <c r="C303" s="265" t="str">
        <f>IF($B303="","",COUNTIF(Jan[Resident Name],$B303))</f>
        <v/>
      </c>
      <c r="D303" s="265" t="str">
        <f>IF($B303="","",COUNTIF(Feb[Resident Name],$B303))</f>
        <v/>
      </c>
      <c r="E303" s="265" t="str">
        <f>IF($B303="","",COUNTIF(Mar[Resident Name],$B303))</f>
        <v/>
      </c>
      <c r="F303" s="265" t="str">
        <f>IF($B303="","",COUNTIF(Apr[Resident Name],$B303))</f>
        <v/>
      </c>
      <c r="G303" s="265" t="str">
        <f>IF($B303="","",COUNTIF(May[Resident Name],$B303))</f>
        <v/>
      </c>
      <c r="H303" s="265" t="str">
        <f>IF($B303="","",COUNTIF(June[Resident Name],$B303))</f>
        <v/>
      </c>
      <c r="I303" s="265" t="str">
        <f>IF($B303="","",COUNTIF(July[Resident Name],$B303))</f>
        <v/>
      </c>
      <c r="J303" s="265" t="str">
        <f>IF($B303="","",COUNTIF(Aug[Resident Name],$B303))</f>
        <v/>
      </c>
      <c r="K303" s="265" t="str">
        <f>IF($B303="","",COUNTIF(Sept[Resident Name],$B303))</f>
        <v/>
      </c>
      <c r="L303" s="265" t="str">
        <f>IF($B303="","",COUNTIF(Oct[Resident Name],$B303))</f>
        <v/>
      </c>
      <c r="M303" s="265" t="str">
        <f>IF($B303="","",COUNTIF(Nov[Resident Name],$B303))</f>
        <v/>
      </c>
      <c r="N303" s="265" t="str">
        <f>IF($B303="","",COUNTIF(Dec[Resident Name],$B303))</f>
        <v/>
      </c>
      <c r="O303" s="265" t="str">
        <f t="shared" si="10"/>
        <v/>
      </c>
      <c r="P303" s="11"/>
      <c r="R303" s="160" t="str">
        <f>IFERROR(INDEX($B$5:$B$172,MATCH(ROWS($R$5:R303),$X$5:$X$172,0)),"")</f>
        <v/>
      </c>
      <c r="S303" s="76" t="str">
        <f>IF($R303="","",INDEX($O$5:$O$172,MATCH(ROWS($R$5:R303),$X$5:$X$172,0)))</f>
        <v/>
      </c>
      <c r="U303" s="160" t="str">
        <f>IFERROR(INDEX($Z$5:$Z$448,MATCH(ROWS($U$5:U303),$AA$5:$AA$448,0)),"")</f>
        <v/>
      </c>
      <c r="V303" s="274" t="str">
        <f>IF(Sept!C6="","",Sept!C6)</f>
        <v/>
      </c>
      <c r="W303" s="274" t="str" cm="1">
        <f t="array" ref="W303">IF(V303="","",IF(COUNTIF($V$5:V303,V303)&gt;1,"",ROUND(1+SUMPRODUCT(($V$5:$V$448&lt;&gt;"")*($V$5:$V$448&lt;V303)/COUNTIF($V$5:$V$448,$V$5:$V$448&amp;"")),0)))</f>
        <v/>
      </c>
      <c r="X303" s="274"/>
      <c r="Z303" s="274" t="str">
        <f>IF(Sept!H6="Major Injury",Sept!C6,"")</f>
        <v/>
      </c>
      <c r="AA303" s="274" t="str" cm="1">
        <f t="array" ref="AA303">IF(Z303="","",IF(COUNTIF($Z$5:Z303,Z303)&gt;1,"",ROUND(1+SUMPRODUCT(($Z$5:$Z$448&lt;&gt;"")*($Z$5:$Z$448&lt;Z303)/COUNTIF($Z$5:$Z$448,$Z$5:$Z$448&amp;"")),0)))</f>
        <v/>
      </c>
    </row>
    <row r="304" spans="2:27" x14ac:dyDescent="0.25">
      <c r="B304" s="160" t="str">
        <f>IFERROR(INDEX($V$5:$V$448,MATCH(ROWS($B$5:B304),$W$5:$W$448,0)),"")</f>
        <v/>
      </c>
      <c r="C304" s="265" t="str">
        <f>IF($B304="","",COUNTIF(Jan[Resident Name],$B304))</f>
        <v/>
      </c>
      <c r="D304" s="265" t="str">
        <f>IF($B304="","",COUNTIF(Feb[Resident Name],$B304))</f>
        <v/>
      </c>
      <c r="E304" s="265" t="str">
        <f>IF($B304="","",COUNTIF(Mar[Resident Name],$B304))</f>
        <v/>
      </c>
      <c r="F304" s="265" t="str">
        <f>IF($B304="","",COUNTIF(Apr[Resident Name],$B304))</f>
        <v/>
      </c>
      <c r="G304" s="265" t="str">
        <f>IF($B304="","",COUNTIF(May[Resident Name],$B304))</f>
        <v/>
      </c>
      <c r="H304" s="265" t="str">
        <f>IF($B304="","",COUNTIF(June[Resident Name],$B304))</f>
        <v/>
      </c>
      <c r="I304" s="265" t="str">
        <f>IF($B304="","",COUNTIF(July[Resident Name],$B304))</f>
        <v/>
      </c>
      <c r="J304" s="265" t="str">
        <f>IF($B304="","",COUNTIF(Aug[Resident Name],$B304))</f>
        <v/>
      </c>
      <c r="K304" s="265" t="str">
        <f>IF($B304="","",COUNTIF(Sept[Resident Name],$B304))</f>
        <v/>
      </c>
      <c r="L304" s="265" t="str">
        <f>IF($B304="","",COUNTIF(Oct[Resident Name],$B304))</f>
        <v/>
      </c>
      <c r="M304" s="265" t="str">
        <f>IF($B304="","",COUNTIF(Nov[Resident Name],$B304))</f>
        <v/>
      </c>
      <c r="N304" s="265" t="str">
        <f>IF($B304="","",COUNTIF(Dec[Resident Name],$B304))</f>
        <v/>
      </c>
      <c r="O304" s="265" t="str">
        <f t="shared" si="10"/>
        <v/>
      </c>
      <c r="P304" s="11"/>
      <c r="R304" s="160" t="str">
        <f>IFERROR(INDEX($B$5:$B$172,MATCH(ROWS($R$5:R304),$X$5:$X$172,0)),"")</f>
        <v/>
      </c>
      <c r="S304" s="76" t="str">
        <f>IF($R304="","",INDEX($O$5:$O$172,MATCH(ROWS($R$5:R304),$X$5:$X$172,0)))</f>
        <v/>
      </c>
      <c r="U304" s="160" t="str">
        <f>IFERROR(INDEX($Z$5:$Z$448,MATCH(ROWS($U$5:U304),$AA$5:$AA$448,0)),"")</f>
        <v/>
      </c>
      <c r="V304" s="274" t="str">
        <f>IF(Sept!C7="","",Sept!C7)</f>
        <v/>
      </c>
      <c r="W304" s="274" t="str" cm="1">
        <f t="array" ref="W304">IF(V304="","",IF(COUNTIF($V$5:V304,V304)&gt;1,"",ROUND(1+SUMPRODUCT(($V$5:$V$448&lt;&gt;"")*($V$5:$V$448&lt;V304)/COUNTIF($V$5:$V$448,$V$5:$V$448&amp;"")),0)))</f>
        <v/>
      </c>
      <c r="X304" s="274"/>
      <c r="Z304" s="274" t="str">
        <f>IF(Sept!H7="Major Injury",Sept!C7,"")</f>
        <v/>
      </c>
      <c r="AA304" s="274" t="str" cm="1">
        <f t="array" ref="AA304">IF(Z304="","",IF(COUNTIF($Z$5:Z304,Z304)&gt;1,"",ROUND(1+SUMPRODUCT(($Z$5:$Z$448&lt;&gt;"")*($Z$5:$Z$448&lt;Z304)/COUNTIF($Z$5:$Z$448,$Z$5:$Z$448&amp;"")),0)))</f>
        <v/>
      </c>
    </row>
    <row r="305" spans="2:27" x14ac:dyDescent="0.25">
      <c r="B305" s="160" t="str">
        <f>IFERROR(INDEX($V$5:$V$448,MATCH(ROWS($B$5:B305),$W$5:$W$448,0)),"")</f>
        <v/>
      </c>
      <c r="C305" s="265" t="str">
        <f>IF($B305="","",COUNTIF(Jan[Resident Name],$B305))</f>
        <v/>
      </c>
      <c r="D305" s="265" t="str">
        <f>IF($B305="","",COUNTIF(Feb[Resident Name],$B305))</f>
        <v/>
      </c>
      <c r="E305" s="265" t="str">
        <f>IF($B305="","",COUNTIF(Mar[Resident Name],$B305))</f>
        <v/>
      </c>
      <c r="F305" s="265" t="str">
        <f>IF($B305="","",COUNTIF(Apr[Resident Name],$B305))</f>
        <v/>
      </c>
      <c r="G305" s="265" t="str">
        <f>IF($B305="","",COUNTIF(May[Resident Name],$B305))</f>
        <v/>
      </c>
      <c r="H305" s="265" t="str">
        <f>IF($B305="","",COUNTIF(June[Resident Name],$B305))</f>
        <v/>
      </c>
      <c r="I305" s="265" t="str">
        <f>IF($B305="","",COUNTIF(July[Resident Name],$B305))</f>
        <v/>
      </c>
      <c r="J305" s="265" t="str">
        <f>IF($B305="","",COUNTIF(Aug[Resident Name],$B305))</f>
        <v/>
      </c>
      <c r="K305" s="265" t="str">
        <f>IF($B305="","",COUNTIF(Sept[Resident Name],$B305))</f>
        <v/>
      </c>
      <c r="L305" s="265" t="str">
        <f>IF($B305="","",COUNTIF(Oct[Resident Name],$B305))</f>
        <v/>
      </c>
      <c r="M305" s="265" t="str">
        <f>IF($B305="","",COUNTIF(Nov[Resident Name],$B305))</f>
        <v/>
      </c>
      <c r="N305" s="265" t="str">
        <f>IF($B305="","",COUNTIF(Dec[Resident Name],$B305))</f>
        <v/>
      </c>
      <c r="O305" s="265" t="str">
        <f t="shared" si="10"/>
        <v/>
      </c>
      <c r="P305" s="11"/>
      <c r="R305" s="160" t="str">
        <f>IFERROR(INDEX($B$5:$B$172,MATCH(ROWS($R$5:R305),$X$5:$X$172,0)),"")</f>
        <v/>
      </c>
      <c r="S305" s="76" t="str">
        <f>IF($R305="","",INDEX($O$5:$O$172,MATCH(ROWS($R$5:R305),$X$5:$X$172,0)))</f>
        <v/>
      </c>
      <c r="U305" s="160" t="str">
        <f>IFERROR(INDEX($Z$5:$Z$448,MATCH(ROWS($U$5:U305),$AA$5:$AA$448,0)),"")</f>
        <v/>
      </c>
      <c r="V305" s="274" t="str">
        <f>IF(Sept!C8="","",Sept!C8)</f>
        <v/>
      </c>
      <c r="W305" s="274" t="str" cm="1">
        <f t="array" ref="W305">IF(V305="","",IF(COUNTIF($V$5:V305,V305)&gt;1,"",ROUND(1+SUMPRODUCT(($V$5:$V$448&lt;&gt;"")*($V$5:$V$448&lt;V305)/COUNTIF($V$5:$V$448,$V$5:$V$448&amp;"")),0)))</f>
        <v/>
      </c>
      <c r="X305" s="274"/>
      <c r="Z305" s="274" t="str">
        <f>IF(Sept!H8="Major Injury",Sept!C8,"")</f>
        <v/>
      </c>
      <c r="AA305" s="274" t="str" cm="1">
        <f t="array" ref="AA305">IF(Z305="","",IF(COUNTIF($Z$5:Z305,Z305)&gt;1,"",ROUND(1+SUMPRODUCT(($Z$5:$Z$448&lt;&gt;"")*($Z$5:$Z$448&lt;Z305)/COUNTIF($Z$5:$Z$448,$Z$5:$Z$448&amp;"")),0)))</f>
        <v/>
      </c>
    </row>
    <row r="306" spans="2:27" x14ac:dyDescent="0.25">
      <c r="B306" s="160" t="str">
        <f>IFERROR(INDEX($V$5:$V$448,MATCH(ROWS($B$5:B306),$W$5:$W$448,0)),"")</f>
        <v/>
      </c>
      <c r="C306" s="265" t="str">
        <f>IF($B306="","",COUNTIF(Jan[Resident Name],$B306))</f>
        <v/>
      </c>
      <c r="D306" s="265" t="str">
        <f>IF($B306="","",COUNTIF(Feb[Resident Name],$B306))</f>
        <v/>
      </c>
      <c r="E306" s="265" t="str">
        <f>IF($B306="","",COUNTIF(Mar[Resident Name],$B306))</f>
        <v/>
      </c>
      <c r="F306" s="265" t="str">
        <f>IF($B306="","",COUNTIF(Apr[Resident Name],$B306))</f>
        <v/>
      </c>
      <c r="G306" s="265" t="str">
        <f>IF($B306="","",COUNTIF(May[Resident Name],$B306))</f>
        <v/>
      </c>
      <c r="H306" s="265" t="str">
        <f>IF($B306="","",COUNTIF(June[Resident Name],$B306))</f>
        <v/>
      </c>
      <c r="I306" s="265" t="str">
        <f>IF($B306="","",COUNTIF(July[Resident Name],$B306))</f>
        <v/>
      </c>
      <c r="J306" s="265" t="str">
        <f>IF($B306="","",COUNTIF(Aug[Resident Name],$B306))</f>
        <v/>
      </c>
      <c r="K306" s="265" t="str">
        <f>IF($B306="","",COUNTIF(Sept[Resident Name],$B306))</f>
        <v/>
      </c>
      <c r="L306" s="265" t="str">
        <f>IF($B306="","",COUNTIF(Oct[Resident Name],$B306))</f>
        <v/>
      </c>
      <c r="M306" s="265" t="str">
        <f>IF($B306="","",COUNTIF(Nov[Resident Name],$B306))</f>
        <v/>
      </c>
      <c r="N306" s="265" t="str">
        <f>IF($B306="","",COUNTIF(Dec[Resident Name],$B306))</f>
        <v/>
      </c>
      <c r="O306" s="265" t="str">
        <f t="shared" si="10"/>
        <v/>
      </c>
      <c r="P306" s="11"/>
      <c r="R306" s="160" t="str">
        <f>IFERROR(INDEX($B$5:$B$172,MATCH(ROWS($R$5:R306),$X$5:$X$172,0)),"")</f>
        <v/>
      </c>
      <c r="S306" s="76" t="str">
        <f>IF($R306="","",INDEX($O$5:$O$172,MATCH(ROWS($R$5:R306),$X$5:$X$172,0)))</f>
        <v/>
      </c>
      <c r="U306" s="160" t="str">
        <f>IFERROR(INDEX($Z$5:$Z$448,MATCH(ROWS($U$5:U306),$AA$5:$AA$448,0)),"")</f>
        <v/>
      </c>
      <c r="V306" s="274" t="str">
        <f>IF(Sept!C9="","",Sept!C9)</f>
        <v/>
      </c>
      <c r="W306" s="274" t="str" cm="1">
        <f t="array" ref="W306">IF(V306="","",IF(COUNTIF($V$5:V306,V306)&gt;1,"",ROUND(1+SUMPRODUCT(($V$5:$V$448&lt;&gt;"")*($V$5:$V$448&lt;V306)/COUNTIF($V$5:$V$448,$V$5:$V$448&amp;"")),0)))</f>
        <v/>
      </c>
      <c r="X306" s="274"/>
      <c r="Z306" s="274" t="str">
        <f>IF(Sept!H9="Major Injury",Sept!C9,"")</f>
        <v/>
      </c>
      <c r="AA306" s="274" t="str" cm="1">
        <f t="array" ref="AA306">IF(Z306="","",IF(COUNTIF($Z$5:Z306,Z306)&gt;1,"",ROUND(1+SUMPRODUCT(($Z$5:$Z$448&lt;&gt;"")*($Z$5:$Z$448&lt;Z306)/COUNTIF($Z$5:$Z$448,$Z$5:$Z$448&amp;"")),0)))</f>
        <v/>
      </c>
    </row>
    <row r="307" spans="2:27" x14ac:dyDescent="0.25">
      <c r="B307" s="160" t="str">
        <f>IFERROR(INDEX($V$5:$V$448,MATCH(ROWS($B$5:B307),$W$5:$W$448,0)),"")</f>
        <v/>
      </c>
      <c r="C307" s="265" t="str">
        <f>IF($B307="","",COUNTIF(Jan[Resident Name],$B307))</f>
        <v/>
      </c>
      <c r="D307" s="265" t="str">
        <f>IF($B307="","",COUNTIF(Feb[Resident Name],$B307))</f>
        <v/>
      </c>
      <c r="E307" s="265" t="str">
        <f>IF($B307="","",COUNTIF(Mar[Resident Name],$B307))</f>
        <v/>
      </c>
      <c r="F307" s="265" t="str">
        <f>IF($B307="","",COUNTIF(Apr[Resident Name],$B307))</f>
        <v/>
      </c>
      <c r="G307" s="265" t="str">
        <f>IF($B307="","",COUNTIF(May[Resident Name],$B307))</f>
        <v/>
      </c>
      <c r="H307" s="265" t="str">
        <f>IF($B307="","",COUNTIF(June[Resident Name],$B307))</f>
        <v/>
      </c>
      <c r="I307" s="265" t="str">
        <f>IF($B307="","",COUNTIF(July[Resident Name],$B307))</f>
        <v/>
      </c>
      <c r="J307" s="265" t="str">
        <f>IF($B307="","",COUNTIF(Aug[Resident Name],$B307))</f>
        <v/>
      </c>
      <c r="K307" s="265" t="str">
        <f>IF($B307="","",COUNTIF(Sept[Resident Name],$B307))</f>
        <v/>
      </c>
      <c r="L307" s="265" t="str">
        <f>IF($B307="","",COUNTIF(Oct[Resident Name],$B307))</f>
        <v/>
      </c>
      <c r="M307" s="265" t="str">
        <f>IF($B307="","",COUNTIF(Nov[Resident Name],$B307))</f>
        <v/>
      </c>
      <c r="N307" s="265" t="str">
        <f>IF($B307="","",COUNTIF(Dec[Resident Name],$B307))</f>
        <v/>
      </c>
      <c r="O307" s="265" t="str">
        <f t="shared" si="10"/>
        <v/>
      </c>
      <c r="P307" s="11"/>
      <c r="R307" s="160" t="str">
        <f>IFERROR(INDEX($B$5:$B$172,MATCH(ROWS($R$5:R307),$X$5:$X$172,0)),"")</f>
        <v/>
      </c>
      <c r="S307" s="76" t="str">
        <f>IF($R307="","",INDEX($O$5:$O$172,MATCH(ROWS($R$5:R307),$X$5:$X$172,0)))</f>
        <v/>
      </c>
      <c r="U307" s="160" t="str">
        <f>IFERROR(INDEX($Z$5:$Z$448,MATCH(ROWS($U$5:U307),$AA$5:$AA$448,0)),"")</f>
        <v/>
      </c>
      <c r="V307" s="274" t="str">
        <f>IF(Sept!C10="","",Sept!C10)</f>
        <v/>
      </c>
      <c r="W307" s="274" t="str" cm="1">
        <f t="array" ref="W307">IF(V307="","",IF(COUNTIF($V$5:V307,V307)&gt;1,"",ROUND(1+SUMPRODUCT(($V$5:$V$448&lt;&gt;"")*($V$5:$V$448&lt;V307)/COUNTIF($V$5:$V$448,$V$5:$V$448&amp;"")),0)))</f>
        <v/>
      </c>
      <c r="X307" s="274"/>
      <c r="Z307" s="274" t="str">
        <f>IF(Sept!H10="Major Injury",Sept!C10,"")</f>
        <v/>
      </c>
      <c r="AA307" s="274" t="str" cm="1">
        <f t="array" ref="AA307">IF(Z307="","",IF(COUNTIF($Z$5:Z307,Z307)&gt;1,"",ROUND(1+SUMPRODUCT(($Z$5:$Z$448&lt;&gt;"")*($Z$5:$Z$448&lt;Z307)/COUNTIF($Z$5:$Z$448,$Z$5:$Z$448&amp;"")),0)))</f>
        <v/>
      </c>
    </row>
    <row r="308" spans="2:27" x14ac:dyDescent="0.25">
      <c r="B308" s="160" t="str">
        <f>IFERROR(INDEX($V$5:$V$448,MATCH(ROWS($B$5:B308),$W$5:$W$448,0)),"")</f>
        <v/>
      </c>
      <c r="C308" s="265" t="str">
        <f>IF($B308="","",COUNTIF(Jan[Resident Name],$B308))</f>
        <v/>
      </c>
      <c r="D308" s="265" t="str">
        <f>IF($B308="","",COUNTIF(Feb[Resident Name],$B308))</f>
        <v/>
      </c>
      <c r="E308" s="265" t="str">
        <f>IF($B308="","",COUNTIF(Mar[Resident Name],$B308))</f>
        <v/>
      </c>
      <c r="F308" s="265" t="str">
        <f>IF($B308="","",COUNTIF(Apr[Resident Name],$B308))</f>
        <v/>
      </c>
      <c r="G308" s="265" t="str">
        <f>IF($B308="","",COUNTIF(May[Resident Name],$B308))</f>
        <v/>
      </c>
      <c r="H308" s="265" t="str">
        <f>IF($B308="","",COUNTIF(June[Resident Name],$B308))</f>
        <v/>
      </c>
      <c r="I308" s="265" t="str">
        <f>IF($B308="","",COUNTIF(July[Resident Name],$B308))</f>
        <v/>
      </c>
      <c r="J308" s="265" t="str">
        <f>IF($B308="","",COUNTIF(Aug[Resident Name],$B308))</f>
        <v/>
      </c>
      <c r="K308" s="265" t="str">
        <f>IF($B308="","",COUNTIF(Sept[Resident Name],$B308))</f>
        <v/>
      </c>
      <c r="L308" s="265" t="str">
        <f>IF($B308="","",COUNTIF(Oct[Resident Name],$B308))</f>
        <v/>
      </c>
      <c r="M308" s="265" t="str">
        <f>IF($B308="","",COUNTIF(Nov[Resident Name],$B308))</f>
        <v/>
      </c>
      <c r="N308" s="265" t="str">
        <f>IF($B308="","",COUNTIF(Dec[Resident Name],$B308))</f>
        <v/>
      </c>
      <c r="O308" s="265" t="str">
        <f t="shared" si="10"/>
        <v/>
      </c>
      <c r="P308" s="11"/>
      <c r="R308" s="160" t="str">
        <f>IFERROR(INDEX($B$5:$B$172,MATCH(ROWS($R$5:R308),$X$5:$X$172,0)),"")</f>
        <v/>
      </c>
      <c r="S308" s="76" t="str">
        <f>IF($R308="","",INDEX($O$5:$O$172,MATCH(ROWS($R$5:R308),$X$5:$X$172,0)))</f>
        <v/>
      </c>
      <c r="U308" s="160" t="str">
        <f>IFERROR(INDEX($Z$5:$Z$448,MATCH(ROWS($U$5:U308),$AA$5:$AA$448,0)),"")</f>
        <v/>
      </c>
      <c r="V308" s="274" t="str">
        <f>IF(Sept!C11="","",Sept!C11)</f>
        <v/>
      </c>
      <c r="W308" s="274" t="str" cm="1">
        <f t="array" ref="W308">IF(V308="","",IF(COUNTIF($V$5:V308,V308)&gt;1,"",ROUND(1+SUMPRODUCT(($V$5:$V$448&lt;&gt;"")*($V$5:$V$448&lt;V308)/COUNTIF($V$5:$V$448,$V$5:$V$448&amp;"")),0)))</f>
        <v/>
      </c>
      <c r="X308" s="274"/>
      <c r="Z308" s="274" t="str">
        <f>IF(Sept!H11="Major Injury",Sept!C11,"")</f>
        <v/>
      </c>
      <c r="AA308" s="274" t="str" cm="1">
        <f t="array" ref="AA308">IF(Z308="","",IF(COUNTIF($Z$5:Z308,Z308)&gt;1,"",ROUND(1+SUMPRODUCT(($Z$5:$Z$448&lt;&gt;"")*($Z$5:$Z$448&lt;Z308)/COUNTIF($Z$5:$Z$448,$Z$5:$Z$448&amp;"")),0)))</f>
        <v/>
      </c>
    </row>
    <row r="309" spans="2:27" x14ac:dyDescent="0.25">
      <c r="B309" s="160" t="str">
        <f>IFERROR(INDEX($V$5:$V$448,MATCH(ROWS($B$5:B309),$W$5:$W$448,0)),"")</f>
        <v/>
      </c>
      <c r="C309" s="265" t="str">
        <f>IF($B309="","",COUNTIF(Jan[Resident Name],$B309))</f>
        <v/>
      </c>
      <c r="D309" s="265" t="str">
        <f>IF($B309="","",COUNTIF(Feb[Resident Name],$B309))</f>
        <v/>
      </c>
      <c r="E309" s="265" t="str">
        <f>IF($B309="","",COUNTIF(Mar[Resident Name],$B309))</f>
        <v/>
      </c>
      <c r="F309" s="265" t="str">
        <f>IF($B309="","",COUNTIF(Apr[Resident Name],$B309))</f>
        <v/>
      </c>
      <c r="G309" s="265" t="str">
        <f>IF($B309="","",COUNTIF(May[Resident Name],$B309))</f>
        <v/>
      </c>
      <c r="H309" s="265" t="str">
        <f>IF($B309="","",COUNTIF(June[Resident Name],$B309))</f>
        <v/>
      </c>
      <c r="I309" s="265" t="str">
        <f>IF($B309="","",COUNTIF(July[Resident Name],$B309))</f>
        <v/>
      </c>
      <c r="J309" s="265" t="str">
        <f>IF($B309="","",COUNTIF(Aug[Resident Name],$B309))</f>
        <v/>
      </c>
      <c r="K309" s="265" t="str">
        <f>IF($B309="","",COUNTIF(Sept[Resident Name],$B309))</f>
        <v/>
      </c>
      <c r="L309" s="265" t="str">
        <f>IF($B309="","",COUNTIF(Oct[Resident Name],$B309))</f>
        <v/>
      </c>
      <c r="M309" s="265" t="str">
        <f>IF($B309="","",COUNTIF(Nov[Resident Name],$B309))</f>
        <v/>
      </c>
      <c r="N309" s="265" t="str">
        <f>IF($B309="","",COUNTIF(Dec[Resident Name],$B309))</f>
        <v/>
      </c>
      <c r="O309" s="265" t="str">
        <f t="shared" si="10"/>
        <v/>
      </c>
      <c r="P309" s="11"/>
      <c r="R309" s="160" t="str">
        <f>IFERROR(INDEX($B$5:$B$172,MATCH(ROWS($R$5:R309),$X$5:$X$172,0)),"")</f>
        <v/>
      </c>
      <c r="S309" s="76" t="str">
        <f>IF($R309="","",INDEX($O$5:$O$172,MATCH(ROWS($R$5:R309),$X$5:$X$172,0)))</f>
        <v/>
      </c>
      <c r="U309" s="160" t="str">
        <f>IFERROR(INDEX($Z$5:$Z$448,MATCH(ROWS($U$5:U309),$AA$5:$AA$448,0)),"")</f>
        <v/>
      </c>
      <c r="V309" s="274" t="str">
        <f>IF(Sept!C12="","",Sept!C12)</f>
        <v/>
      </c>
      <c r="W309" s="274" t="str" cm="1">
        <f t="array" ref="W309">IF(V309="","",IF(COUNTIF($V$5:V309,V309)&gt;1,"",ROUND(1+SUMPRODUCT(($V$5:$V$448&lt;&gt;"")*($V$5:$V$448&lt;V309)/COUNTIF($V$5:$V$448,$V$5:$V$448&amp;"")),0)))</f>
        <v/>
      </c>
      <c r="X309" s="274"/>
      <c r="Z309" s="274" t="str">
        <f>IF(Sept!H12="Major Injury",Sept!C12,"")</f>
        <v/>
      </c>
      <c r="AA309" s="274" t="str" cm="1">
        <f t="array" ref="AA309">IF(Z309="","",IF(COUNTIF($Z$5:Z309,Z309)&gt;1,"",ROUND(1+SUMPRODUCT(($Z$5:$Z$448&lt;&gt;"")*($Z$5:$Z$448&lt;Z309)/COUNTIF($Z$5:$Z$448,$Z$5:$Z$448&amp;"")),0)))</f>
        <v/>
      </c>
    </row>
    <row r="310" spans="2:27" x14ac:dyDescent="0.25">
      <c r="B310" s="160" t="str">
        <f>IFERROR(INDEX($V$5:$V$448,MATCH(ROWS($B$5:B310),$W$5:$W$448,0)),"")</f>
        <v/>
      </c>
      <c r="C310" s="265" t="str">
        <f>IF($B310="","",COUNTIF(Jan[Resident Name],$B310))</f>
        <v/>
      </c>
      <c r="D310" s="265" t="str">
        <f>IF($B310="","",COUNTIF(Feb[Resident Name],$B310))</f>
        <v/>
      </c>
      <c r="E310" s="265" t="str">
        <f>IF($B310="","",COUNTIF(Mar[Resident Name],$B310))</f>
        <v/>
      </c>
      <c r="F310" s="265" t="str">
        <f>IF($B310="","",COUNTIF(Apr[Resident Name],$B310))</f>
        <v/>
      </c>
      <c r="G310" s="265" t="str">
        <f>IF($B310="","",COUNTIF(May[Resident Name],$B310))</f>
        <v/>
      </c>
      <c r="H310" s="265" t="str">
        <f>IF($B310="","",COUNTIF(June[Resident Name],$B310))</f>
        <v/>
      </c>
      <c r="I310" s="265" t="str">
        <f>IF($B310="","",COUNTIF(July[Resident Name],$B310))</f>
        <v/>
      </c>
      <c r="J310" s="265" t="str">
        <f>IF($B310="","",COUNTIF(Aug[Resident Name],$B310))</f>
        <v/>
      </c>
      <c r="K310" s="265" t="str">
        <f>IF($B310="","",COUNTIF(Sept[Resident Name],$B310))</f>
        <v/>
      </c>
      <c r="L310" s="265" t="str">
        <f>IF($B310="","",COUNTIF(Oct[Resident Name],$B310))</f>
        <v/>
      </c>
      <c r="M310" s="265" t="str">
        <f>IF($B310="","",COUNTIF(Nov[Resident Name],$B310))</f>
        <v/>
      </c>
      <c r="N310" s="265" t="str">
        <f>IF($B310="","",COUNTIF(Dec[Resident Name],$B310))</f>
        <v/>
      </c>
      <c r="O310" s="265" t="str">
        <f t="shared" si="10"/>
        <v/>
      </c>
      <c r="P310" s="11"/>
      <c r="R310" s="160" t="str">
        <f>IFERROR(INDEX($B$5:$B$172,MATCH(ROWS($R$5:R310),$X$5:$X$172,0)),"")</f>
        <v/>
      </c>
      <c r="S310" s="76" t="str">
        <f>IF($R310="","",INDEX($O$5:$O$172,MATCH(ROWS($R$5:R310),$X$5:$X$172,0)))</f>
        <v/>
      </c>
      <c r="U310" s="160" t="str">
        <f>IFERROR(INDEX($Z$5:$Z$448,MATCH(ROWS($U$5:U310),$AA$5:$AA$448,0)),"")</f>
        <v/>
      </c>
      <c r="V310" s="274" t="str">
        <f>IF(Sept!C13="","",Sept!C13)</f>
        <v/>
      </c>
      <c r="W310" s="274" t="str" cm="1">
        <f t="array" ref="W310">IF(V310="","",IF(COUNTIF($V$5:V310,V310)&gt;1,"",ROUND(1+SUMPRODUCT(($V$5:$V$448&lt;&gt;"")*($V$5:$V$448&lt;V310)/COUNTIF($V$5:$V$448,$V$5:$V$448&amp;"")),0)))</f>
        <v/>
      </c>
      <c r="X310" s="274"/>
      <c r="Z310" s="274" t="str">
        <f>IF(Sept!H13="Major Injury",Sept!C13,"")</f>
        <v/>
      </c>
      <c r="AA310" s="274" t="str" cm="1">
        <f t="array" ref="AA310">IF(Z310="","",IF(COUNTIF($Z$5:Z310,Z310)&gt;1,"",ROUND(1+SUMPRODUCT(($Z$5:$Z$448&lt;&gt;"")*($Z$5:$Z$448&lt;Z310)/COUNTIF($Z$5:$Z$448,$Z$5:$Z$448&amp;"")),0)))</f>
        <v/>
      </c>
    </row>
    <row r="311" spans="2:27" x14ac:dyDescent="0.25">
      <c r="B311" s="160" t="str">
        <f>IFERROR(INDEX($V$5:$V$448,MATCH(ROWS($B$5:B311),$W$5:$W$448,0)),"")</f>
        <v/>
      </c>
      <c r="C311" s="265" t="str">
        <f>IF($B311="","",COUNTIF(Jan[Resident Name],$B311))</f>
        <v/>
      </c>
      <c r="D311" s="265" t="str">
        <f>IF($B311="","",COUNTIF(Feb[Resident Name],$B311))</f>
        <v/>
      </c>
      <c r="E311" s="265" t="str">
        <f>IF($B311="","",COUNTIF(Mar[Resident Name],$B311))</f>
        <v/>
      </c>
      <c r="F311" s="265" t="str">
        <f>IF($B311="","",COUNTIF(Apr[Resident Name],$B311))</f>
        <v/>
      </c>
      <c r="G311" s="265" t="str">
        <f>IF($B311="","",COUNTIF(May[Resident Name],$B311))</f>
        <v/>
      </c>
      <c r="H311" s="265" t="str">
        <f>IF($B311="","",COUNTIF(June[Resident Name],$B311))</f>
        <v/>
      </c>
      <c r="I311" s="265" t="str">
        <f>IF($B311="","",COUNTIF(July[Resident Name],$B311))</f>
        <v/>
      </c>
      <c r="J311" s="265" t="str">
        <f>IF($B311="","",COUNTIF(Aug[Resident Name],$B311))</f>
        <v/>
      </c>
      <c r="K311" s="265" t="str">
        <f>IF($B311="","",COUNTIF(Sept[Resident Name],$B311))</f>
        <v/>
      </c>
      <c r="L311" s="265" t="str">
        <f>IF($B311="","",COUNTIF(Oct[Resident Name],$B311))</f>
        <v/>
      </c>
      <c r="M311" s="265" t="str">
        <f>IF($B311="","",COUNTIF(Nov[Resident Name],$B311))</f>
        <v/>
      </c>
      <c r="N311" s="265" t="str">
        <f>IF($B311="","",COUNTIF(Dec[Resident Name],$B311))</f>
        <v/>
      </c>
      <c r="O311" s="265" t="str">
        <f t="shared" si="10"/>
        <v/>
      </c>
      <c r="P311" s="11"/>
      <c r="R311" s="160" t="str">
        <f>IFERROR(INDEX($B$5:$B$172,MATCH(ROWS($R$5:R311),$X$5:$X$172,0)),"")</f>
        <v/>
      </c>
      <c r="S311" s="76" t="str">
        <f>IF($R311="","",INDEX($O$5:$O$172,MATCH(ROWS($R$5:R311),$X$5:$X$172,0)))</f>
        <v/>
      </c>
      <c r="U311" s="160" t="str">
        <f>IFERROR(INDEX($Z$5:$Z$448,MATCH(ROWS($U$5:U311),$AA$5:$AA$448,0)),"")</f>
        <v/>
      </c>
      <c r="V311" s="274" t="str">
        <f>IF(Sept!C14="","",Sept!C14)</f>
        <v/>
      </c>
      <c r="W311" s="274" t="str" cm="1">
        <f t="array" ref="W311">IF(V311="","",IF(COUNTIF($V$5:V311,V311)&gt;1,"",ROUND(1+SUMPRODUCT(($V$5:$V$448&lt;&gt;"")*($V$5:$V$448&lt;V311)/COUNTIF($V$5:$V$448,$V$5:$V$448&amp;"")),0)))</f>
        <v/>
      </c>
      <c r="X311" s="274"/>
      <c r="Z311" s="274" t="str">
        <f>IF(Sept!H14="Major Injury",Sept!C14,"")</f>
        <v/>
      </c>
      <c r="AA311" s="274" t="str" cm="1">
        <f t="array" ref="AA311">IF(Z311="","",IF(COUNTIF($Z$5:Z311,Z311)&gt;1,"",ROUND(1+SUMPRODUCT(($Z$5:$Z$448&lt;&gt;"")*($Z$5:$Z$448&lt;Z311)/COUNTIF($Z$5:$Z$448,$Z$5:$Z$448&amp;"")),0)))</f>
        <v/>
      </c>
    </row>
    <row r="312" spans="2:27" x14ac:dyDescent="0.25">
      <c r="B312" s="160" t="str">
        <f>IFERROR(INDEX($V$5:$V$448,MATCH(ROWS($B$5:B312),$W$5:$W$448,0)),"")</f>
        <v/>
      </c>
      <c r="C312" s="265" t="str">
        <f>IF($B312="","",COUNTIF(Jan[Resident Name],$B312))</f>
        <v/>
      </c>
      <c r="D312" s="265" t="str">
        <f>IF($B312="","",COUNTIF(Feb[Resident Name],$B312))</f>
        <v/>
      </c>
      <c r="E312" s="265" t="str">
        <f>IF($B312="","",COUNTIF(Mar[Resident Name],$B312))</f>
        <v/>
      </c>
      <c r="F312" s="265" t="str">
        <f>IF($B312="","",COUNTIF(Apr[Resident Name],$B312))</f>
        <v/>
      </c>
      <c r="G312" s="265" t="str">
        <f>IF($B312="","",COUNTIF(May[Resident Name],$B312))</f>
        <v/>
      </c>
      <c r="H312" s="265" t="str">
        <f>IF($B312="","",COUNTIF(June[Resident Name],$B312))</f>
        <v/>
      </c>
      <c r="I312" s="265" t="str">
        <f>IF($B312="","",COUNTIF(July[Resident Name],$B312))</f>
        <v/>
      </c>
      <c r="J312" s="265" t="str">
        <f>IF($B312="","",COUNTIF(Aug[Resident Name],$B312))</f>
        <v/>
      </c>
      <c r="K312" s="265" t="str">
        <f>IF($B312="","",COUNTIF(Sept[Resident Name],$B312))</f>
        <v/>
      </c>
      <c r="L312" s="265" t="str">
        <f>IF($B312="","",COUNTIF(Oct[Resident Name],$B312))</f>
        <v/>
      </c>
      <c r="M312" s="265" t="str">
        <f>IF($B312="","",COUNTIF(Nov[Resident Name],$B312))</f>
        <v/>
      </c>
      <c r="N312" s="265" t="str">
        <f>IF($B312="","",COUNTIF(Dec[Resident Name],$B312))</f>
        <v/>
      </c>
      <c r="O312" s="265" t="str">
        <f t="shared" si="10"/>
        <v/>
      </c>
      <c r="P312" s="11"/>
      <c r="R312" s="160" t="str">
        <f>IFERROR(INDEX($B$5:$B$172,MATCH(ROWS($R$5:R312),$X$5:$X$172,0)),"")</f>
        <v/>
      </c>
      <c r="S312" s="76" t="str">
        <f>IF($R312="","",INDEX($O$5:$O$172,MATCH(ROWS($R$5:R312),$X$5:$X$172,0)))</f>
        <v/>
      </c>
      <c r="U312" s="160" t="str">
        <f>IFERROR(INDEX($Z$5:$Z$448,MATCH(ROWS($U$5:U312),$AA$5:$AA$448,0)),"")</f>
        <v/>
      </c>
      <c r="V312" s="274" t="str">
        <f>IF(Sept!C15="","",Sept!C15)</f>
        <v/>
      </c>
      <c r="W312" s="274" t="str" cm="1">
        <f t="array" ref="W312">IF(V312="","",IF(COUNTIF($V$5:V312,V312)&gt;1,"",ROUND(1+SUMPRODUCT(($V$5:$V$448&lt;&gt;"")*($V$5:$V$448&lt;V312)/COUNTIF($V$5:$V$448,$V$5:$V$448&amp;"")),0)))</f>
        <v/>
      </c>
      <c r="X312" s="274"/>
      <c r="Z312" s="274" t="str">
        <f>IF(Sept!H15="Major Injury",Sept!C15,"")</f>
        <v/>
      </c>
      <c r="AA312" s="274" t="str" cm="1">
        <f t="array" ref="AA312">IF(Z312="","",IF(COUNTIF($Z$5:Z312,Z312)&gt;1,"",ROUND(1+SUMPRODUCT(($Z$5:$Z$448&lt;&gt;"")*($Z$5:$Z$448&lt;Z312)/COUNTIF($Z$5:$Z$448,$Z$5:$Z$448&amp;"")),0)))</f>
        <v/>
      </c>
    </row>
    <row r="313" spans="2:27" x14ac:dyDescent="0.25">
      <c r="B313" s="160" t="str">
        <f>IFERROR(INDEX($V$5:$V$448,MATCH(ROWS($B$5:B313),$W$5:$W$448,0)),"")</f>
        <v/>
      </c>
      <c r="C313" s="265" t="str">
        <f>IF($B313="","",COUNTIF(Jan[Resident Name],$B313))</f>
        <v/>
      </c>
      <c r="D313" s="265" t="str">
        <f>IF($B313="","",COUNTIF(Feb[Resident Name],$B313))</f>
        <v/>
      </c>
      <c r="E313" s="265" t="str">
        <f>IF($B313="","",COUNTIF(Mar[Resident Name],$B313))</f>
        <v/>
      </c>
      <c r="F313" s="265" t="str">
        <f>IF($B313="","",COUNTIF(Apr[Resident Name],$B313))</f>
        <v/>
      </c>
      <c r="G313" s="265" t="str">
        <f>IF($B313="","",COUNTIF(May[Resident Name],$B313))</f>
        <v/>
      </c>
      <c r="H313" s="265" t="str">
        <f>IF($B313="","",COUNTIF(June[Resident Name],$B313))</f>
        <v/>
      </c>
      <c r="I313" s="265" t="str">
        <f>IF($B313="","",COUNTIF(July[Resident Name],$B313))</f>
        <v/>
      </c>
      <c r="J313" s="265" t="str">
        <f>IF($B313="","",COUNTIF(Aug[Resident Name],$B313))</f>
        <v/>
      </c>
      <c r="K313" s="265" t="str">
        <f>IF($B313="","",COUNTIF(Sept[Resident Name],$B313))</f>
        <v/>
      </c>
      <c r="L313" s="265" t="str">
        <f>IF($B313="","",COUNTIF(Oct[Resident Name],$B313))</f>
        <v/>
      </c>
      <c r="M313" s="265" t="str">
        <f>IF($B313="","",COUNTIF(Nov[Resident Name],$B313))</f>
        <v/>
      </c>
      <c r="N313" s="265" t="str">
        <f>IF($B313="","",COUNTIF(Dec[Resident Name],$B313))</f>
        <v/>
      </c>
      <c r="O313" s="265" t="str">
        <f t="shared" si="10"/>
        <v/>
      </c>
      <c r="P313" s="11"/>
      <c r="R313" s="160" t="str">
        <f>IFERROR(INDEX($B$5:$B$172,MATCH(ROWS($R$5:R313),$X$5:$X$172,0)),"")</f>
        <v/>
      </c>
      <c r="S313" s="76" t="str">
        <f>IF($R313="","",INDEX($O$5:$O$172,MATCH(ROWS($R$5:R313),$X$5:$X$172,0)))</f>
        <v/>
      </c>
      <c r="U313" s="160" t="str">
        <f>IFERROR(INDEX($Z$5:$Z$448,MATCH(ROWS($U$5:U313),$AA$5:$AA$448,0)),"")</f>
        <v/>
      </c>
      <c r="V313" s="274" t="str">
        <f>IF(Sept!C16="","",Sept!C16)</f>
        <v/>
      </c>
      <c r="W313" s="274" t="str" cm="1">
        <f t="array" ref="W313">IF(V313="","",IF(COUNTIF($V$5:V313,V313)&gt;1,"",ROUND(1+SUMPRODUCT(($V$5:$V$448&lt;&gt;"")*($V$5:$V$448&lt;V313)/COUNTIF($V$5:$V$448,$V$5:$V$448&amp;"")),0)))</f>
        <v/>
      </c>
      <c r="X313" s="274"/>
      <c r="Z313" s="274" t="str">
        <f>IF(Sept!H16="Major Injury",Sept!C16,"")</f>
        <v/>
      </c>
      <c r="AA313" s="274" t="str" cm="1">
        <f t="array" ref="AA313">IF(Z313="","",IF(COUNTIF($Z$5:Z313,Z313)&gt;1,"",ROUND(1+SUMPRODUCT(($Z$5:$Z$448&lt;&gt;"")*($Z$5:$Z$448&lt;Z313)/COUNTIF($Z$5:$Z$448,$Z$5:$Z$448&amp;"")),0)))</f>
        <v/>
      </c>
    </row>
    <row r="314" spans="2:27" x14ac:dyDescent="0.25">
      <c r="B314" s="160" t="str">
        <f>IFERROR(INDEX($V$5:$V$448,MATCH(ROWS($B$5:B314),$W$5:$W$448,0)),"")</f>
        <v/>
      </c>
      <c r="C314" s="265" t="str">
        <f>IF($B314="","",COUNTIF(Jan[Resident Name],$B314))</f>
        <v/>
      </c>
      <c r="D314" s="265" t="str">
        <f>IF($B314="","",COUNTIF(Feb[Resident Name],$B314))</f>
        <v/>
      </c>
      <c r="E314" s="265" t="str">
        <f>IF($B314="","",COUNTIF(Mar[Resident Name],$B314))</f>
        <v/>
      </c>
      <c r="F314" s="265" t="str">
        <f>IF($B314="","",COUNTIF(Apr[Resident Name],$B314))</f>
        <v/>
      </c>
      <c r="G314" s="265" t="str">
        <f>IF($B314="","",COUNTIF(May[Resident Name],$B314))</f>
        <v/>
      </c>
      <c r="H314" s="265" t="str">
        <f>IF($B314="","",COUNTIF(June[Resident Name],$B314))</f>
        <v/>
      </c>
      <c r="I314" s="265" t="str">
        <f>IF($B314="","",COUNTIF(July[Resident Name],$B314))</f>
        <v/>
      </c>
      <c r="J314" s="265" t="str">
        <f>IF($B314="","",COUNTIF(Aug[Resident Name],$B314))</f>
        <v/>
      </c>
      <c r="K314" s="265" t="str">
        <f>IF($B314="","",COUNTIF(Sept[Resident Name],$B314))</f>
        <v/>
      </c>
      <c r="L314" s="265" t="str">
        <f>IF($B314="","",COUNTIF(Oct[Resident Name],$B314))</f>
        <v/>
      </c>
      <c r="M314" s="265" t="str">
        <f>IF($B314="","",COUNTIF(Nov[Resident Name],$B314))</f>
        <v/>
      </c>
      <c r="N314" s="265" t="str">
        <f>IF($B314="","",COUNTIF(Dec[Resident Name],$B314))</f>
        <v/>
      </c>
      <c r="O314" s="265" t="str">
        <f t="shared" si="10"/>
        <v/>
      </c>
      <c r="P314" s="11"/>
      <c r="R314" s="160" t="str">
        <f>IFERROR(INDEX($B$5:$B$172,MATCH(ROWS($R$5:R314),$X$5:$X$172,0)),"")</f>
        <v/>
      </c>
      <c r="S314" s="76" t="str">
        <f>IF($R314="","",INDEX($O$5:$O$172,MATCH(ROWS($R$5:R314),$X$5:$X$172,0)))</f>
        <v/>
      </c>
      <c r="U314" s="160" t="str">
        <f>IFERROR(INDEX($Z$5:$Z$448,MATCH(ROWS($U$5:U314),$AA$5:$AA$448,0)),"")</f>
        <v/>
      </c>
      <c r="V314" s="274" t="str">
        <f>IF(Sept!C17="","",Sept!C17)</f>
        <v/>
      </c>
      <c r="W314" s="274" t="str" cm="1">
        <f t="array" ref="W314">IF(V314="","",IF(COUNTIF($V$5:V314,V314)&gt;1,"",ROUND(1+SUMPRODUCT(($V$5:$V$448&lt;&gt;"")*($V$5:$V$448&lt;V314)/COUNTIF($V$5:$V$448,$V$5:$V$448&amp;"")),0)))</f>
        <v/>
      </c>
      <c r="X314" s="274"/>
      <c r="Z314" s="274" t="str">
        <f>IF(Sept!H17="Major Injury",Sept!C17,"")</f>
        <v/>
      </c>
      <c r="AA314" s="274" t="str" cm="1">
        <f t="array" ref="AA314">IF(Z314="","",IF(COUNTIF($Z$5:Z314,Z314)&gt;1,"",ROUND(1+SUMPRODUCT(($Z$5:$Z$448&lt;&gt;"")*($Z$5:$Z$448&lt;Z314)/COUNTIF($Z$5:$Z$448,$Z$5:$Z$448&amp;"")),0)))</f>
        <v/>
      </c>
    </row>
    <row r="315" spans="2:27" x14ac:dyDescent="0.25">
      <c r="B315" s="160" t="str">
        <f>IFERROR(INDEX($V$5:$V$448,MATCH(ROWS($B$5:B315),$W$5:$W$448,0)),"")</f>
        <v/>
      </c>
      <c r="C315" s="265" t="str">
        <f>IF($B315="","",COUNTIF(Jan[Resident Name],$B315))</f>
        <v/>
      </c>
      <c r="D315" s="265" t="str">
        <f>IF($B315="","",COUNTIF(Feb[Resident Name],$B315))</f>
        <v/>
      </c>
      <c r="E315" s="265" t="str">
        <f>IF($B315="","",COUNTIF(Mar[Resident Name],$B315))</f>
        <v/>
      </c>
      <c r="F315" s="265" t="str">
        <f>IF($B315="","",COUNTIF(Apr[Resident Name],$B315))</f>
        <v/>
      </c>
      <c r="G315" s="265" t="str">
        <f>IF($B315="","",COUNTIF(May[Resident Name],$B315))</f>
        <v/>
      </c>
      <c r="H315" s="265" t="str">
        <f>IF($B315="","",COUNTIF(June[Resident Name],$B315))</f>
        <v/>
      </c>
      <c r="I315" s="265" t="str">
        <f>IF($B315="","",COUNTIF(July[Resident Name],$B315))</f>
        <v/>
      </c>
      <c r="J315" s="265" t="str">
        <f>IF($B315="","",COUNTIF(Aug[Resident Name],$B315))</f>
        <v/>
      </c>
      <c r="K315" s="265" t="str">
        <f>IF($B315="","",COUNTIF(Sept[Resident Name],$B315))</f>
        <v/>
      </c>
      <c r="L315" s="265" t="str">
        <f>IF($B315="","",COUNTIF(Oct[Resident Name],$B315))</f>
        <v/>
      </c>
      <c r="M315" s="265" t="str">
        <f>IF($B315="","",COUNTIF(Nov[Resident Name],$B315))</f>
        <v/>
      </c>
      <c r="N315" s="265" t="str">
        <f>IF($B315="","",COUNTIF(Dec[Resident Name],$B315))</f>
        <v/>
      </c>
      <c r="O315" s="265" t="str">
        <f t="shared" si="10"/>
        <v/>
      </c>
      <c r="P315" s="11"/>
      <c r="R315" s="160" t="str">
        <f>IFERROR(INDEX($B$5:$B$172,MATCH(ROWS($R$5:R315),$X$5:$X$172,0)),"")</f>
        <v/>
      </c>
      <c r="S315" s="76" t="str">
        <f>IF($R315="","",INDEX($O$5:$O$172,MATCH(ROWS($R$5:R315),$X$5:$X$172,0)))</f>
        <v/>
      </c>
      <c r="U315" s="160" t="str">
        <f>IFERROR(INDEX($Z$5:$Z$448,MATCH(ROWS($U$5:U315),$AA$5:$AA$448,0)),"")</f>
        <v/>
      </c>
      <c r="V315" s="274" t="str">
        <f>IF(Sept!C18="","",Sept!C18)</f>
        <v/>
      </c>
      <c r="W315" s="274" t="str" cm="1">
        <f t="array" ref="W315">IF(V315="","",IF(COUNTIF($V$5:V315,V315)&gt;1,"",ROUND(1+SUMPRODUCT(($V$5:$V$448&lt;&gt;"")*($V$5:$V$448&lt;V315)/COUNTIF($V$5:$V$448,$V$5:$V$448&amp;"")),0)))</f>
        <v/>
      </c>
      <c r="X315" s="274"/>
      <c r="Z315" s="274" t="str">
        <f>IF(Sept!H18="Major Injury",Sept!C18,"")</f>
        <v/>
      </c>
      <c r="AA315" s="274" t="str" cm="1">
        <f t="array" ref="AA315">IF(Z315="","",IF(COUNTIF($Z$5:Z315,Z315)&gt;1,"",ROUND(1+SUMPRODUCT(($Z$5:$Z$448&lt;&gt;"")*($Z$5:$Z$448&lt;Z315)/COUNTIF($Z$5:$Z$448,$Z$5:$Z$448&amp;"")),0)))</f>
        <v/>
      </c>
    </row>
    <row r="316" spans="2:27" x14ac:dyDescent="0.25">
      <c r="B316" s="160" t="str">
        <f>IFERROR(INDEX($V$5:$V$448,MATCH(ROWS($B$5:B316),$W$5:$W$448,0)),"")</f>
        <v/>
      </c>
      <c r="C316" s="265" t="str">
        <f>IF($B316="","",COUNTIF(Jan[Resident Name],$B316))</f>
        <v/>
      </c>
      <c r="D316" s="265" t="str">
        <f>IF($B316="","",COUNTIF(Feb[Resident Name],$B316))</f>
        <v/>
      </c>
      <c r="E316" s="265" t="str">
        <f>IF($B316="","",COUNTIF(Mar[Resident Name],$B316))</f>
        <v/>
      </c>
      <c r="F316" s="265" t="str">
        <f>IF($B316="","",COUNTIF(Apr[Resident Name],$B316))</f>
        <v/>
      </c>
      <c r="G316" s="265" t="str">
        <f>IF($B316="","",COUNTIF(May[Resident Name],$B316))</f>
        <v/>
      </c>
      <c r="H316" s="265" t="str">
        <f>IF($B316="","",COUNTIF(June[Resident Name],$B316))</f>
        <v/>
      </c>
      <c r="I316" s="265" t="str">
        <f>IF($B316="","",COUNTIF(July[Resident Name],$B316))</f>
        <v/>
      </c>
      <c r="J316" s="265" t="str">
        <f>IF($B316="","",COUNTIF(Aug[Resident Name],$B316))</f>
        <v/>
      </c>
      <c r="K316" s="265" t="str">
        <f>IF($B316="","",COUNTIF(Sept[Resident Name],$B316))</f>
        <v/>
      </c>
      <c r="L316" s="265" t="str">
        <f>IF($B316="","",COUNTIF(Oct[Resident Name],$B316))</f>
        <v/>
      </c>
      <c r="M316" s="265" t="str">
        <f>IF($B316="","",COUNTIF(Nov[Resident Name],$B316))</f>
        <v/>
      </c>
      <c r="N316" s="265" t="str">
        <f>IF($B316="","",COUNTIF(Dec[Resident Name],$B316))</f>
        <v/>
      </c>
      <c r="O316" s="265" t="str">
        <f t="shared" si="10"/>
        <v/>
      </c>
      <c r="P316" s="11"/>
      <c r="R316" s="160" t="str">
        <f>IFERROR(INDEX($B$5:$B$172,MATCH(ROWS($R$5:R316),$X$5:$X$172,0)),"")</f>
        <v/>
      </c>
      <c r="S316" s="76" t="str">
        <f>IF($R316="","",INDEX($O$5:$O$172,MATCH(ROWS($R$5:R316),$X$5:$X$172,0)))</f>
        <v/>
      </c>
      <c r="U316" s="160" t="str">
        <f>IFERROR(INDEX($Z$5:$Z$448,MATCH(ROWS($U$5:U316),$AA$5:$AA$448,0)),"")</f>
        <v/>
      </c>
      <c r="V316" s="274" t="str">
        <f>IF(Sept!C19="","",Sept!C19)</f>
        <v/>
      </c>
      <c r="W316" s="274" t="str" cm="1">
        <f t="array" ref="W316">IF(V316="","",IF(COUNTIF($V$5:V316,V316)&gt;1,"",ROUND(1+SUMPRODUCT(($V$5:$V$448&lt;&gt;"")*($V$5:$V$448&lt;V316)/COUNTIF($V$5:$V$448,$V$5:$V$448&amp;"")),0)))</f>
        <v/>
      </c>
      <c r="X316" s="274"/>
      <c r="Z316" s="274" t="str">
        <f>IF(Sept!H19="Major Injury",Sept!C19,"")</f>
        <v/>
      </c>
      <c r="AA316" s="274" t="str" cm="1">
        <f t="array" ref="AA316">IF(Z316="","",IF(COUNTIF($Z$5:Z316,Z316)&gt;1,"",ROUND(1+SUMPRODUCT(($Z$5:$Z$448&lt;&gt;"")*($Z$5:$Z$448&lt;Z316)/COUNTIF($Z$5:$Z$448,$Z$5:$Z$448&amp;"")),0)))</f>
        <v/>
      </c>
    </row>
    <row r="317" spans="2:27" x14ac:dyDescent="0.25">
      <c r="B317" s="160" t="str">
        <f>IFERROR(INDEX($V$5:$V$448,MATCH(ROWS($B$5:B317),$W$5:$W$448,0)),"")</f>
        <v/>
      </c>
      <c r="C317" s="265" t="str">
        <f>IF($B317="","",COUNTIF(Jan[Resident Name],$B317))</f>
        <v/>
      </c>
      <c r="D317" s="265" t="str">
        <f>IF($B317="","",COUNTIF(Feb[Resident Name],$B317))</f>
        <v/>
      </c>
      <c r="E317" s="265" t="str">
        <f>IF($B317="","",COUNTIF(Mar[Resident Name],$B317))</f>
        <v/>
      </c>
      <c r="F317" s="265" t="str">
        <f>IF($B317="","",COUNTIF(Apr[Resident Name],$B317))</f>
        <v/>
      </c>
      <c r="G317" s="265" t="str">
        <f>IF($B317="","",COUNTIF(May[Resident Name],$B317))</f>
        <v/>
      </c>
      <c r="H317" s="265" t="str">
        <f>IF($B317="","",COUNTIF(June[Resident Name],$B317))</f>
        <v/>
      </c>
      <c r="I317" s="265" t="str">
        <f>IF($B317="","",COUNTIF(July[Resident Name],$B317))</f>
        <v/>
      </c>
      <c r="J317" s="265" t="str">
        <f>IF($B317="","",COUNTIF(Aug[Resident Name],$B317))</f>
        <v/>
      </c>
      <c r="K317" s="265" t="str">
        <f>IF($B317="","",COUNTIF(Sept[Resident Name],$B317))</f>
        <v/>
      </c>
      <c r="L317" s="265" t="str">
        <f>IF($B317="","",COUNTIF(Oct[Resident Name],$B317))</f>
        <v/>
      </c>
      <c r="M317" s="265" t="str">
        <f>IF($B317="","",COUNTIF(Nov[Resident Name],$B317))</f>
        <v/>
      </c>
      <c r="N317" s="265" t="str">
        <f>IF($B317="","",COUNTIF(Dec[Resident Name],$B317))</f>
        <v/>
      </c>
      <c r="O317" s="265" t="str">
        <f t="shared" si="10"/>
        <v/>
      </c>
      <c r="P317" s="11"/>
      <c r="R317" s="160" t="str">
        <f>IFERROR(INDEX($B$5:$B$172,MATCH(ROWS($R$5:R317),$X$5:$X$172,0)),"")</f>
        <v/>
      </c>
      <c r="S317" s="76" t="str">
        <f>IF($R317="","",INDEX($O$5:$O$172,MATCH(ROWS($R$5:R317),$X$5:$X$172,0)))</f>
        <v/>
      </c>
      <c r="U317" s="160" t="str">
        <f>IFERROR(INDEX($Z$5:$Z$448,MATCH(ROWS($U$5:U317),$AA$5:$AA$448,0)),"")</f>
        <v/>
      </c>
      <c r="V317" s="274" t="str">
        <f>IF(Sept!C20="","",Sept!C20)</f>
        <v/>
      </c>
      <c r="W317" s="274" t="str" cm="1">
        <f t="array" ref="W317">IF(V317="","",IF(COUNTIF($V$5:V317,V317)&gt;1,"",ROUND(1+SUMPRODUCT(($V$5:$V$448&lt;&gt;"")*($V$5:$V$448&lt;V317)/COUNTIF($V$5:$V$448,$V$5:$V$448&amp;"")),0)))</f>
        <v/>
      </c>
      <c r="X317" s="274"/>
      <c r="Z317" s="274" t="str">
        <f>IF(Sept!H20="Major Injury",Sept!C20,"")</f>
        <v/>
      </c>
      <c r="AA317" s="274" t="str" cm="1">
        <f t="array" ref="AA317">IF(Z317="","",IF(COUNTIF($Z$5:Z317,Z317)&gt;1,"",ROUND(1+SUMPRODUCT(($Z$5:$Z$448&lt;&gt;"")*($Z$5:$Z$448&lt;Z317)/COUNTIF($Z$5:$Z$448,$Z$5:$Z$448&amp;"")),0)))</f>
        <v/>
      </c>
    </row>
    <row r="318" spans="2:27" x14ac:dyDescent="0.25">
      <c r="B318" s="160" t="str">
        <f>IFERROR(INDEX($V$5:$V$448,MATCH(ROWS($B$5:B318),$W$5:$W$448,0)),"")</f>
        <v/>
      </c>
      <c r="C318" s="265" t="str">
        <f>IF($B318="","",COUNTIF(Jan[Resident Name],$B318))</f>
        <v/>
      </c>
      <c r="D318" s="265" t="str">
        <f>IF($B318="","",COUNTIF(Feb[Resident Name],$B318))</f>
        <v/>
      </c>
      <c r="E318" s="265" t="str">
        <f>IF($B318="","",COUNTIF(Mar[Resident Name],$B318))</f>
        <v/>
      </c>
      <c r="F318" s="265" t="str">
        <f>IF($B318="","",COUNTIF(Apr[Resident Name],$B318))</f>
        <v/>
      </c>
      <c r="G318" s="265" t="str">
        <f>IF($B318="","",COUNTIF(May[Resident Name],$B318))</f>
        <v/>
      </c>
      <c r="H318" s="265" t="str">
        <f>IF($B318="","",COUNTIF(June[Resident Name],$B318))</f>
        <v/>
      </c>
      <c r="I318" s="265" t="str">
        <f>IF($B318="","",COUNTIF(July[Resident Name],$B318))</f>
        <v/>
      </c>
      <c r="J318" s="265" t="str">
        <f>IF($B318="","",COUNTIF(Aug[Resident Name],$B318))</f>
        <v/>
      </c>
      <c r="K318" s="265" t="str">
        <f>IF($B318="","",COUNTIF(Sept[Resident Name],$B318))</f>
        <v/>
      </c>
      <c r="L318" s="265" t="str">
        <f>IF($B318="","",COUNTIF(Oct[Resident Name],$B318))</f>
        <v/>
      </c>
      <c r="M318" s="265" t="str">
        <f>IF($B318="","",COUNTIF(Nov[Resident Name],$B318))</f>
        <v/>
      </c>
      <c r="N318" s="265" t="str">
        <f>IF($B318="","",COUNTIF(Dec[Resident Name],$B318))</f>
        <v/>
      </c>
      <c r="O318" s="265" t="str">
        <f t="shared" si="10"/>
        <v/>
      </c>
      <c r="P318" s="11"/>
      <c r="R318" s="160" t="str">
        <f>IFERROR(INDEX($B$5:$B$172,MATCH(ROWS($R$5:R318),$X$5:$X$172,0)),"")</f>
        <v/>
      </c>
      <c r="S318" s="76" t="str">
        <f>IF($R318="","",INDEX($O$5:$O$172,MATCH(ROWS($R$5:R318),$X$5:$X$172,0)))</f>
        <v/>
      </c>
      <c r="U318" s="160" t="str">
        <f>IFERROR(INDEX($Z$5:$Z$448,MATCH(ROWS($U$5:U318),$AA$5:$AA$448,0)),"")</f>
        <v/>
      </c>
      <c r="V318" s="274" t="str">
        <f>IF(Sept!C21="","",Sept!C21)</f>
        <v/>
      </c>
      <c r="W318" s="274" t="str" cm="1">
        <f t="array" ref="W318">IF(V318="","",IF(COUNTIF($V$5:V318,V318)&gt;1,"",ROUND(1+SUMPRODUCT(($V$5:$V$448&lt;&gt;"")*($V$5:$V$448&lt;V318)/COUNTIF($V$5:$V$448,$V$5:$V$448&amp;"")),0)))</f>
        <v/>
      </c>
      <c r="X318" s="274"/>
      <c r="Z318" s="274" t="str">
        <f>IF(Sept!H21="Major Injury",Sept!C21,"")</f>
        <v/>
      </c>
      <c r="AA318" s="274" t="str" cm="1">
        <f t="array" ref="AA318">IF(Z318="","",IF(COUNTIF($Z$5:Z318,Z318)&gt;1,"",ROUND(1+SUMPRODUCT(($Z$5:$Z$448&lt;&gt;"")*($Z$5:$Z$448&lt;Z318)/COUNTIF($Z$5:$Z$448,$Z$5:$Z$448&amp;"")),0)))</f>
        <v/>
      </c>
    </row>
    <row r="319" spans="2:27" x14ac:dyDescent="0.25">
      <c r="B319" s="160" t="str">
        <f>IFERROR(INDEX($V$5:$V$448,MATCH(ROWS($B$5:B319),$W$5:$W$448,0)),"")</f>
        <v/>
      </c>
      <c r="C319" s="265" t="str">
        <f>IF($B319="","",COUNTIF(Jan[Resident Name],$B319))</f>
        <v/>
      </c>
      <c r="D319" s="265" t="str">
        <f>IF($B319="","",COUNTIF(Feb[Resident Name],$B319))</f>
        <v/>
      </c>
      <c r="E319" s="265" t="str">
        <f>IF($B319="","",COUNTIF(Mar[Resident Name],$B319))</f>
        <v/>
      </c>
      <c r="F319" s="265" t="str">
        <f>IF($B319="","",COUNTIF(Apr[Resident Name],$B319))</f>
        <v/>
      </c>
      <c r="G319" s="265" t="str">
        <f>IF($B319="","",COUNTIF(May[Resident Name],$B319))</f>
        <v/>
      </c>
      <c r="H319" s="265" t="str">
        <f>IF($B319="","",COUNTIF(June[Resident Name],$B319))</f>
        <v/>
      </c>
      <c r="I319" s="265" t="str">
        <f>IF($B319="","",COUNTIF(July[Resident Name],$B319))</f>
        <v/>
      </c>
      <c r="J319" s="265" t="str">
        <f>IF($B319="","",COUNTIF(Aug[Resident Name],$B319))</f>
        <v/>
      </c>
      <c r="K319" s="265" t="str">
        <f>IF($B319="","",COUNTIF(Sept[Resident Name],$B319))</f>
        <v/>
      </c>
      <c r="L319" s="265" t="str">
        <f>IF($B319="","",COUNTIF(Oct[Resident Name],$B319))</f>
        <v/>
      </c>
      <c r="M319" s="265" t="str">
        <f>IF($B319="","",COUNTIF(Nov[Resident Name],$B319))</f>
        <v/>
      </c>
      <c r="N319" s="265" t="str">
        <f>IF($B319="","",COUNTIF(Dec[Resident Name],$B319))</f>
        <v/>
      </c>
      <c r="O319" s="265" t="str">
        <f t="shared" si="10"/>
        <v/>
      </c>
      <c r="P319" s="11"/>
      <c r="R319" s="160" t="str">
        <f>IFERROR(INDEX($B$5:$B$172,MATCH(ROWS($R$5:R319),$X$5:$X$172,0)),"")</f>
        <v/>
      </c>
      <c r="S319" s="76" t="str">
        <f>IF($R319="","",INDEX($O$5:$O$172,MATCH(ROWS($R$5:R319),$X$5:$X$172,0)))</f>
        <v/>
      </c>
      <c r="U319" s="160" t="str">
        <f>IFERROR(INDEX($Z$5:$Z$448,MATCH(ROWS($U$5:U319),$AA$5:$AA$448,0)),"")</f>
        <v/>
      </c>
      <c r="V319" s="274" t="str">
        <f>IF(Sept!C22="","",Sept!C22)</f>
        <v/>
      </c>
      <c r="W319" s="274" t="str" cm="1">
        <f t="array" ref="W319">IF(V319="","",IF(COUNTIF($V$5:V319,V319)&gt;1,"",ROUND(1+SUMPRODUCT(($V$5:$V$448&lt;&gt;"")*($V$5:$V$448&lt;V319)/COUNTIF($V$5:$V$448,$V$5:$V$448&amp;"")),0)))</f>
        <v/>
      </c>
      <c r="X319" s="274"/>
      <c r="Z319" s="274" t="str">
        <f>IF(Sept!H22="Major Injury",Sept!C22,"")</f>
        <v/>
      </c>
      <c r="AA319" s="274" t="str" cm="1">
        <f t="array" ref="AA319">IF(Z319="","",IF(COUNTIF($Z$5:Z319,Z319)&gt;1,"",ROUND(1+SUMPRODUCT(($Z$5:$Z$448&lt;&gt;"")*($Z$5:$Z$448&lt;Z319)/COUNTIF($Z$5:$Z$448,$Z$5:$Z$448&amp;"")),0)))</f>
        <v/>
      </c>
    </row>
    <row r="320" spans="2:27" x14ac:dyDescent="0.25">
      <c r="B320" s="160" t="str">
        <f>IFERROR(INDEX($V$5:$V$448,MATCH(ROWS($B$5:B320),$W$5:$W$448,0)),"")</f>
        <v/>
      </c>
      <c r="C320" s="265" t="str">
        <f>IF($B320="","",COUNTIF(Jan[Resident Name],$B320))</f>
        <v/>
      </c>
      <c r="D320" s="265" t="str">
        <f>IF($B320="","",COUNTIF(Feb[Resident Name],$B320))</f>
        <v/>
      </c>
      <c r="E320" s="265" t="str">
        <f>IF($B320="","",COUNTIF(Mar[Resident Name],$B320))</f>
        <v/>
      </c>
      <c r="F320" s="265" t="str">
        <f>IF($B320="","",COUNTIF(Apr[Resident Name],$B320))</f>
        <v/>
      </c>
      <c r="G320" s="265" t="str">
        <f>IF($B320="","",COUNTIF(May[Resident Name],$B320))</f>
        <v/>
      </c>
      <c r="H320" s="265" t="str">
        <f>IF($B320="","",COUNTIF(June[Resident Name],$B320))</f>
        <v/>
      </c>
      <c r="I320" s="265" t="str">
        <f>IF($B320="","",COUNTIF(July[Resident Name],$B320))</f>
        <v/>
      </c>
      <c r="J320" s="265" t="str">
        <f>IF($B320="","",COUNTIF(Aug[Resident Name],$B320))</f>
        <v/>
      </c>
      <c r="K320" s="265" t="str">
        <f>IF($B320="","",COUNTIF(Sept[Resident Name],$B320))</f>
        <v/>
      </c>
      <c r="L320" s="265" t="str">
        <f>IF($B320="","",COUNTIF(Oct[Resident Name],$B320))</f>
        <v/>
      </c>
      <c r="M320" s="265" t="str">
        <f>IF($B320="","",COUNTIF(Nov[Resident Name],$B320))</f>
        <v/>
      </c>
      <c r="N320" s="265" t="str">
        <f>IF($B320="","",COUNTIF(Dec[Resident Name],$B320))</f>
        <v/>
      </c>
      <c r="O320" s="265" t="str">
        <f t="shared" si="10"/>
        <v/>
      </c>
      <c r="P320" s="11"/>
      <c r="R320" s="160" t="str">
        <f>IFERROR(INDEX($B$5:$B$172,MATCH(ROWS($R$5:R320),$X$5:$X$172,0)),"")</f>
        <v/>
      </c>
      <c r="S320" s="76" t="str">
        <f>IF($R320="","",INDEX($O$5:$O$172,MATCH(ROWS($R$5:R320),$X$5:$X$172,0)))</f>
        <v/>
      </c>
      <c r="U320" s="160" t="str">
        <f>IFERROR(INDEX($Z$5:$Z$448,MATCH(ROWS($U$5:U320),$AA$5:$AA$448,0)),"")</f>
        <v/>
      </c>
      <c r="V320" s="274" t="str">
        <f>IF(Sept!C23="","",Sept!C23)</f>
        <v/>
      </c>
      <c r="W320" s="274" t="str" cm="1">
        <f t="array" ref="W320">IF(V320="","",IF(COUNTIF($V$5:V320,V320)&gt;1,"",ROUND(1+SUMPRODUCT(($V$5:$V$448&lt;&gt;"")*($V$5:$V$448&lt;V320)/COUNTIF($V$5:$V$448,$V$5:$V$448&amp;"")),0)))</f>
        <v/>
      </c>
      <c r="X320" s="274"/>
      <c r="Z320" s="274" t="str">
        <f>IF(Sept!H23="Major Injury",Sept!C23,"")</f>
        <v/>
      </c>
      <c r="AA320" s="274" t="str" cm="1">
        <f t="array" ref="AA320">IF(Z320="","",IF(COUNTIF($Z$5:Z320,Z320)&gt;1,"",ROUND(1+SUMPRODUCT(($Z$5:$Z$448&lt;&gt;"")*($Z$5:$Z$448&lt;Z320)/COUNTIF($Z$5:$Z$448,$Z$5:$Z$448&amp;"")),0)))</f>
        <v/>
      </c>
    </row>
    <row r="321" spans="2:27" x14ac:dyDescent="0.25">
      <c r="B321" s="160" t="str">
        <f>IFERROR(INDEX($V$5:$V$448,MATCH(ROWS($B$5:B321),$W$5:$W$448,0)),"")</f>
        <v/>
      </c>
      <c r="C321" s="265" t="str">
        <f>IF($B321="","",COUNTIF(Jan[Resident Name],$B321))</f>
        <v/>
      </c>
      <c r="D321" s="265" t="str">
        <f>IF($B321="","",COUNTIF(Feb[Resident Name],$B321))</f>
        <v/>
      </c>
      <c r="E321" s="265" t="str">
        <f>IF($B321="","",COUNTIF(Mar[Resident Name],$B321))</f>
        <v/>
      </c>
      <c r="F321" s="265" t="str">
        <f>IF($B321="","",COUNTIF(Apr[Resident Name],$B321))</f>
        <v/>
      </c>
      <c r="G321" s="265" t="str">
        <f>IF($B321="","",COUNTIF(May[Resident Name],$B321))</f>
        <v/>
      </c>
      <c r="H321" s="265" t="str">
        <f>IF($B321="","",COUNTIF(June[Resident Name],$B321))</f>
        <v/>
      </c>
      <c r="I321" s="265" t="str">
        <f>IF($B321="","",COUNTIF(July[Resident Name],$B321))</f>
        <v/>
      </c>
      <c r="J321" s="265" t="str">
        <f>IF($B321="","",COUNTIF(Aug[Resident Name],$B321))</f>
        <v/>
      </c>
      <c r="K321" s="265" t="str">
        <f>IF($B321="","",COUNTIF(Sept[Resident Name],$B321))</f>
        <v/>
      </c>
      <c r="L321" s="265" t="str">
        <f>IF($B321="","",COUNTIF(Oct[Resident Name],$B321))</f>
        <v/>
      </c>
      <c r="M321" s="265" t="str">
        <f>IF($B321="","",COUNTIF(Nov[Resident Name],$B321))</f>
        <v/>
      </c>
      <c r="N321" s="265" t="str">
        <f>IF($B321="","",COUNTIF(Dec[Resident Name],$B321))</f>
        <v/>
      </c>
      <c r="O321" s="265" t="str">
        <f t="shared" si="10"/>
        <v/>
      </c>
      <c r="P321" s="11"/>
      <c r="R321" s="160" t="str">
        <f>IFERROR(INDEX($B$5:$B$172,MATCH(ROWS($R$5:R321),$X$5:$X$172,0)),"")</f>
        <v/>
      </c>
      <c r="S321" s="76" t="str">
        <f>IF($R321="","",INDEX($O$5:$O$172,MATCH(ROWS($R$5:R321),$X$5:$X$172,0)))</f>
        <v/>
      </c>
      <c r="U321" s="160" t="str">
        <f>IFERROR(INDEX($Z$5:$Z$448,MATCH(ROWS($U$5:U321),$AA$5:$AA$448,0)),"")</f>
        <v/>
      </c>
      <c r="V321" s="274" t="str">
        <f>IF(Sept!C24="","",Sept!C24)</f>
        <v/>
      </c>
      <c r="W321" s="274" t="str" cm="1">
        <f t="array" ref="W321">IF(V321="","",IF(COUNTIF($V$5:V321,V321)&gt;1,"",ROUND(1+SUMPRODUCT(($V$5:$V$448&lt;&gt;"")*($V$5:$V$448&lt;V321)/COUNTIF($V$5:$V$448,$V$5:$V$448&amp;"")),0)))</f>
        <v/>
      </c>
      <c r="X321" s="274"/>
      <c r="Z321" s="274" t="str">
        <f>IF(Sept!H24="Major Injury",Sept!C24,"")</f>
        <v/>
      </c>
      <c r="AA321" s="274" t="str" cm="1">
        <f t="array" ref="AA321">IF(Z321="","",IF(COUNTIF($Z$5:Z321,Z321)&gt;1,"",ROUND(1+SUMPRODUCT(($Z$5:$Z$448&lt;&gt;"")*($Z$5:$Z$448&lt;Z321)/COUNTIF($Z$5:$Z$448,$Z$5:$Z$448&amp;"")),0)))</f>
        <v/>
      </c>
    </row>
    <row r="322" spans="2:27" x14ac:dyDescent="0.25">
      <c r="B322" s="160" t="str">
        <f>IFERROR(INDEX($V$5:$V$448,MATCH(ROWS($B$5:B322),$W$5:$W$448,0)),"")</f>
        <v/>
      </c>
      <c r="C322" s="265" t="str">
        <f>IF($B322="","",COUNTIF(Jan[Resident Name],$B322))</f>
        <v/>
      </c>
      <c r="D322" s="265" t="str">
        <f>IF($B322="","",COUNTIF(Feb[Resident Name],$B322))</f>
        <v/>
      </c>
      <c r="E322" s="265" t="str">
        <f>IF($B322="","",COUNTIF(Mar[Resident Name],$B322))</f>
        <v/>
      </c>
      <c r="F322" s="265" t="str">
        <f>IF($B322="","",COUNTIF(Apr[Resident Name],$B322))</f>
        <v/>
      </c>
      <c r="G322" s="265" t="str">
        <f>IF($B322="","",COUNTIF(May[Resident Name],$B322))</f>
        <v/>
      </c>
      <c r="H322" s="265" t="str">
        <f>IF($B322="","",COUNTIF(June[Resident Name],$B322))</f>
        <v/>
      </c>
      <c r="I322" s="265" t="str">
        <f>IF($B322="","",COUNTIF(July[Resident Name],$B322))</f>
        <v/>
      </c>
      <c r="J322" s="265" t="str">
        <f>IF($B322="","",COUNTIF(Aug[Resident Name],$B322))</f>
        <v/>
      </c>
      <c r="K322" s="265" t="str">
        <f>IF($B322="","",COUNTIF(Sept[Resident Name],$B322))</f>
        <v/>
      </c>
      <c r="L322" s="265" t="str">
        <f>IF($B322="","",COUNTIF(Oct[Resident Name],$B322))</f>
        <v/>
      </c>
      <c r="M322" s="265" t="str">
        <f>IF($B322="","",COUNTIF(Nov[Resident Name],$B322))</f>
        <v/>
      </c>
      <c r="N322" s="265" t="str">
        <f>IF($B322="","",COUNTIF(Dec[Resident Name],$B322))</f>
        <v/>
      </c>
      <c r="O322" s="265" t="str">
        <f t="shared" si="10"/>
        <v/>
      </c>
      <c r="P322" s="11"/>
      <c r="R322" s="160" t="str">
        <f>IFERROR(INDEX($B$5:$B$172,MATCH(ROWS($R$5:R322),$X$5:$X$172,0)),"")</f>
        <v/>
      </c>
      <c r="S322" s="76" t="str">
        <f>IF($R322="","",INDEX($O$5:$O$172,MATCH(ROWS($R$5:R322),$X$5:$X$172,0)))</f>
        <v/>
      </c>
      <c r="U322" s="160" t="str">
        <f>IFERROR(INDEX($Z$5:$Z$448,MATCH(ROWS($U$5:U322),$AA$5:$AA$448,0)),"")</f>
        <v/>
      </c>
      <c r="V322" s="274" t="str">
        <f>IF(Sept!C25="","",Sept!C25)</f>
        <v/>
      </c>
      <c r="W322" s="274" t="str" cm="1">
        <f t="array" ref="W322">IF(V322="","",IF(COUNTIF($V$5:V322,V322)&gt;1,"",ROUND(1+SUMPRODUCT(($V$5:$V$448&lt;&gt;"")*($V$5:$V$448&lt;V322)/COUNTIF($V$5:$V$448,$V$5:$V$448&amp;"")),0)))</f>
        <v/>
      </c>
      <c r="X322" s="274"/>
      <c r="Z322" s="274" t="str">
        <f>IF(Sept!H25="Major Injury",Sept!C25,"")</f>
        <v/>
      </c>
      <c r="AA322" s="274" t="str" cm="1">
        <f t="array" ref="AA322">IF(Z322="","",IF(COUNTIF($Z$5:Z322,Z322)&gt;1,"",ROUND(1+SUMPRODUCT(($Z$5:$Z$448&lt;&gt;"")*($Z$5:$Z$448&lt;Z322)/COUNTIF($Z$5:$Z$448,$Z$5:$Z$448&amp;"")),0)))</f>
        <v/>
      </c>
    </row>
    <row r="323" spans="2:27" x14ac:dyDescent="0.25">
      <c r="B323" s="160" t="str">
        <f>IFERROR(INDEX($V$5:$V$448,MATCH(ROWS($B$5:B323),$W$5:$W$448,0)),"")</f>
        <v/>
      </c>
      <c r="C323" s="265" t="str">
        <f>IF($B323="","",COUNTIF(Jan[Resident Name],$B323))</f>
        <v/>
      </c>
      <c r="D323" s="265" t="str">
        <f>IF($B323="","",COUNTIF(Feb[Resident Name],$B323))</f>
        <v/>
      </c>
      <c r="E323" s="265" t="str">
        <f>IF($B323="","",COUNTIF(Mar[Resident Name],$B323))</f>
        <v/>
      </c>
      <c r="F323" s="265" t="str">
        <f>IF($B323="","",COUNTIF(Apr[Resident Name],$B323))</f>
        <v/>
      </c>
      <c r="G323" s="265" t="str">
        <f>IF($B323="","",COUNTIF(May[Resident Name],$B323))</f>
        <v/>
      </c>
      <c r="H323" s="265" t="str">
        <f>IF($B323="","",COUNTIF(June[Resident Name],$B323))</f>
        <v/>
      </c>
      <c r="I323" s="265" t="str">
        <f>IF($B323="","",COUNTIF(July[Resident Name],$B323))</f>
        <v/>
      </c>
      <c r="J323" s="265" t="str">
        <f>IF($B323="","",COUNTIF(Aug[Resident Name],$B323))</f>
        <v/>
      </c>
      <c r="K323" s="265" t="str">
        <f>IF($B323="","",COUNTIF(Sept[Resident Name],$B323))</f>
        <v/>
      </c>
      <c r="L323" s="265" t="str">
        <f>IF($B323="","",COUNTIF(Oct[Resident Name],$B323))</f>
        <v/>
      </c>
      <c r="M323" s="265" t="str">
        <f>IF($B323="","",COUNTIF(Nov[Resident Name],$B323))</f>
        <v/>
      </c>
      <c r="N323" s="265" t="str">
        <f>IF($B323="","",COUNTIF(Dec[Resident Name],$B323))</f>
        <v/>
      </c>
      <c r="O323" s="265" t="str">
        <f t="shared" si="10"/>
        <v/>
      </c>
      <c r="P323" s="11"/>
      <c r="R323" s="160" t="str">
        <f>IFERROR(INDEX($B$5:$B$172,MATCH(ROWS($R$5:R323),$X$5:$X$172,0)),"")</f>
        <v/>
      </c>
      <c r="S323" s="76" t="str">
        <f>IF($R323="","",INDEX($O$5:$O$172,MATCH(ROWS($R$5:R323),$X$5:$X$172,0)))</f>
        <v/>
      </c>
      <c r="U323" s="160" t="str">
        <f>IFERROR(INDEX($Z$5:$Z$448,MATCH(ROWS($U$5:U323),$AA$5:$AA$448,0)),"")</f>
        <v/>
      </c>
      <c r="V323" s="274" t="str">
        <f>IF(Sept!C26="","",Sept!C26)</f>
        <v/>
      </c>
      <c r="W323" s="274" t="str" cm="1">
        <f t="array" ref="W323">IF(V323="","",IF(COUNTIF($V$5:V323,V323)&gt;1,"",ROUND(1+SUMPRODUCT(($V$5:$V$448&lt;&gt;"")*($V$5:$V$448&lt;V323)/COUNTIF($V$5:$V$448,$V$5:$V$448&amp;"")),0)))</f>
        <v/>
      </c>
      <c r="X323" s="274"/>
      <c r="Z323" s="274" t="str">
        <f>IF(Sept!H26="Major Injury",Sept!C26,"")</f>
        <v/>
      </c>
      <c r="AA323" s="274" t="str" cm="1">
        <f t="array" ref="AA323">IF(Z323="","",IF(COUNTIF($Z$5:Z323,Z323)&gt;1,"",ROUND(1+SUMPRODUCT(($Z$5:$Z$448&lt;&gt;"")*($Z$5:$Z$448&lt;Z323)/COUNTIF($Z$5:$Z$448,$Z$5:$Z$448&amp;"")),0)))</f>
        <v/>
      </c>
    </row>
    <row r="324" spans="2:27" x14ac:dyDescent="0.25">
      <c r="B324" s="160" t="str">
        <f>IFERROR(INDEX($V$5:$V$448,MATCH(ROWS($B$5:B324),$W$5:$W$448,0)),"")</f>
        <v/>
      </c>
      <c r="C324" s="265" t="str">
        <f>IF($B324="","",COUNTIF(Jan[Resident Name],$B324))</f>
        <v/>
      </c>
      <c r="D324" s="265" t="str">
        <f>IF($B324="","",COUNTIF(Feb[Resident Name],$B324))</f>
        <v/>
      </c>
      <c r="E324" s="265" t="str">
        <f>IF($B324="","",COUNTIF(Mar[Resident Name],$B324))</f>
        <v/>
      </c>
      <c r="F324" s="265" t="str">
        <f>IF($B324="","",COUNTIF(Apr[Resident Name],$B324))</f>
        <v/>
      </c>
      <c r="G324" s="265" t="str">
        <f>IF($B324="","",COUNTIF(May[Resident Name],$B324))</f>
        <v/>
      </c>
      <c r="H324" s="265" t="str">
        <f>IF($B324="","",COUNTIF(June[Resident Name],$B324))</f>
        <v/>
      </c>
      <c r="I324" s="265" t="str">
        <f>IF($B324="","",COUNTIF(July[Resident Name],$B324))</f>
        <v/>
      </c>
      <c r="J324" s="265" t="str">
        <f>IF($B324="","",COUNTIF(Aug[Resident Name],$B324))</f>
        <v/>
      </c>
      <c r="K324" s="265" t="str">
        <f>IF($B324="","",COUNTIF(Sept[Resident Name],$B324))</f>
        <v/>
      </c>
      <c r="L324" s="265" t="str">
        <f>IF($B324="","",COUNTIF(Oct[Resident Name],$B324))</f>
        <v/>
      </c>
      <c r="M324" s="265" t="str">
        <f>IF($B324="","",COUNTIF(Nov[Resident Name],$B324))</f>
        <v/>
      </c>
      <c r="N324" s="265" t="str">
        <f>IF($B324="","",COUNTIF(Dec[Resident Name],$B324))</f>
        <v/>
      </c>
      <c r="O324" s="265" t="str">
        <f t="shared" si="10"/>
        <v/>
      </c>
      <c r="P324" s="11"/>
      <c r="R324" s="160" t="str">
        <f>IFERROR(INDEX($B$5:$B$172,MATCH(ROWS($R$5:R324),$X$5:$X$172,0)),"")</f>
        <v/>
      </c>
      <c r="S324" s="76" t="str">
        <f>IF($R324="","",INDEX($O$5:$O$172,MATCH(ROWS($R$5:R324),$X$5:$X$172,0)))</f>
        <v/>
      </c>
      <c r="U324" s="160" t="str">
        <f>IFERROR(INDEX($Z$5:$Z$448,MATCH(ROWS($U$5:U324),$AA$5:$AA$448,0)),"")</f>
        <v/>
      </c>
      <c r="V324" s="274" t="str">
        <f>IF(Sept!C27="","",Sept!C27)</f>
        <v/>
      </c>
      <c r="W324" s="274" t="str" cm="1">
        <f t="array" ref="W324">IF(V324="","",IF(COUNTIF($V$5:V324,V324)&gt;1,"",ROUND(1+SUMPRODUCT(($V$5:$V$448&lt;&gt;"")*($V$5:$V$448&lt;V324)/COUNTIF($V$5:$V$448,$V$5:$V$448&amp;"")),0)))</f>
        <v/>
      </c>
      <c r="X324" s="274"/>
      <c r="Z324" s="274" t="str">
        <f>IF(Sept!H27="Major Injury",Sept!C27,"")</f>
        <v/>
      </c>
      <c r="AA324" s="274" t="str" cm="1">
        <f t="array" ref="AA324">IF(Z324="","",IF(COUNTIF($Z$5:Z324,Z324)&gt;1,"",ROUND(1+SUMPRODUCT(($Z$5:$Z$448&lt;&gt;"")*($Z$5:$Z$448&lt;Z324)/COUNTIF($Z$5:$Z$448,$Z$5:$Z$448&amp;"")),0)))</f>
        <v/>
      </c>
    </row>
    <row r="325" spans="2:27" x14ac:dyDescent="0.25">
      <c r="B325" s="160" t="str">
        <f>IFERROR(INDEX($V$5:$V$448,MATCH(ROWS($B$5:B325),$W$5:$W$448,0)),"")</f>
        <v/>
      </c>
      <c r="C325" s="265" t="str">
        <f>IF($B325="","",COUNTIF(Jan[Resident Name],$B325))</f>
        <v/>
      </c>
      <c r="D325" s="265" t="str">
        <f>IF($B325="","",COUNTIF(Feb[Resident Name],$B325))</f>
        <v/>
      </c>
      <c r="E325" s="265" t="str">
        <f>IF($B325="","",COUNTIF(Mar[Resident Name],$B325))</f>
        <v/>
      </c>
      <c r="F325" s="265" t="str">
        <f>IF($B325="","",COUNTIF(Apr[Resident Name],$B325))</f>
        <v/>
      </c>
      <c r="G325" s="265" t="str">
        <f>IF($B325="","",COUNTIF(May[Resident Name],$B325))</f>
        <v/>
      </c>
      <c r="H325" s="265" t="str">
        <f>IF($B325="","",COUNTIF(June[Resident Name],$B325))</f>
        <v/>
      </c>
      <c r="I325" s="265" t="str">
        <f>IF($B325="","",COUNTIF(July[Resident Name],$B325))</f>
        <v/>
      </c>
      <c r="J325" s="265" t="str">
        <f>IF($B325="","",COUNTIF(Aug[Resident Name],$B325))</f>
        <v/>
      </c>
      <c r="K325" s="265" t="str">
        <f>IF($B325="","",COUNTIF(Sept[Resident Name],$B325))</f>
        <v/>
      </c>
      <c r="L325" s="265" t="str">
        <f>IF($B325="","",COUNTIF(Oct[Resident Name],$B325))</f>
        <v/>
      </c>
      <c r="M325" s="265" t="str">
        <f>IF($B325="","",COUNTIF(Nov[Resident Name],$B325))</f>
        <v/>
      </c>
      <c r="N325" s="265" t="str">
        <f>IF($B325="","",COUNTIF(Dec[Resident Name],$B325))</f>
        <v/>
      </c>
      <c r="O325" s="265" t="str">
        <f t="shared" si="10"/>
        <v/>
      </c>
      <c r="P325" s="11"/>
      <c r="R325" s="160" t="str">
        <f>IFERROR(INDEX($B$5:$B$172,MATCH(ROWS($R$5:R325),$X$5:$X$172,0)),"")</f>
        <v/>
      </c>
      <c r="S325" s="76" t="str">
        <f>IF($R325="","",INDEX($O$5:$O$172,MATCH(ROWS($R$5:R325),$X$5:$X$172,0)))</f>
        <v/>
      </c>
      <c r="U325" s="160" t="str">
        <f>IFERROR(INDEX($Z$5:$Z$448,MATCH(ROWS($U$5:U325),$AA$5:$AA$448,0)),"")</f>
        <v/>
      </c>
      <c r="V325" s="274" t="str">
        <f>IF(Sept!C28="","",Sept!C28)</f>
        <v/>
      </c>
      <c r="W325" s="274" t="str" cm="1">
        <f t="array" ref="W325">IF(V325="","",IF(COUNTIF($V$5:V325,V325)&gt;1,"",ROUND(1+SUMPRODUCT(($V$5:$V$448&lt;&gt;"")*($V$5:$V$448&lt;V325)/COUNTIF($V$5:$V$448,$V$5:$V$448&amp;"")),0)))</f>
        <v/>
      </c>
      <c r="X325" s="274"/>
      <c r="Z325" s="274" t="str">
        <f>IF(Sept!H28="Major Injury",Sept!C28,"")</f>
        <v/>
      </c>
      <c r="AA325" s="274" t="str" cm="1">
        <f t="array" ref="AA325">IF(Z325="","",IF(COUNTIF($Z$5:Z325,Z325)&gt;1,"",ROUND(1+SUMPRODUCT(($Z$5:$Z$448&lt;&gt;"")*($Z$5:$Z$448&lt;Z325)/COUNTIF($Z$5:$Z$448,$Z$5:$Z$448&amp;"")),0)))</f>
        <v/>
      </c>
    </row>
    <row r="326" spans="2:27" x14ac:dyDescent="0.25">
      <c r="B326" s="160" t="str">
        <f>IFERROR(INDEX($V$5:$V$448,MATCH(ROWS($B$5:B326),$W$5:$W$448,0)),"")</f>
        <v/>
      </c>
      <c r="C326" s="265" t="str">
        <f>IF($B326="","",COUNTIF(Jan[Resident Name],$B326))</f>
        <v/>
      </c>
      <c r="D326" s="265" t="str">
        <f>IF($B326="","",COUNTIF(Feb[Resident Name],$B326))</f>
        <v/>
      </c>
      <c r="E326" s="265" t="str">
        <f>IF($B326="","",COUNTIF(Mar[Resident Name],$B326))</f>
        <v/>
      </c>
      <c r="F326" s="265" t="str">
        <f>IF($B326="","",COUNTIF(Apr[Resident Name],$B326))</f>
        <v/>
      </c>
      <c r="G326" s="265" t="str">
        <f>IF($B326="","",COUNTIF(May[Resident Name],$B326))</f>
        <v/>
      </c>
      <c r="H326" s="265" t="str">
        <f>IF($B326="","",COUNTIF(June[Resident Name],$B326))</f>
        <v/>
      </c>
      <c r="I326" s="265" t="str">
        <f>IF($B326="","",COUNTIF(July[Resident Name],$B326))</f>
        <v/>
      </c>
      <c r="J326" s="265" t="str">
        <f>IF($B326="","",COUNTIF(Aug[Resident Name],$B326))</f>
        <v/>
      </c>
      <c r="K326" s="265" t="str">
        <f>IF($B326="","",COUNTIF(Sept[Resident Name],$B326))</f>
        <v/>
      </c>
      <c r="L326" s="265" t="str">
        <f>IF($B326="","",COUNTIF(Oct[Resident Name],$B326))</f>
        <v/>
      </c>
      <c r="M326" s="265" t="str">
        <f>IF($B326="","",COUNTIF(Nov[Resident Name],$B326))</f>
        <v/>
      </c>
      <c r="N326" s="265" t="str">
        <f>IF($B326="","",COUNTIF(Dec[Resident Name],$B326))</f>
        <v/>
      </c>
      <c r="O326" s="265" t="str">
        <f t="shared" si="10"/>
        <v/>
      </c>
      <c r="P326" s="11"/>
      <c r="R326" s="160" t="str">
        <f>IFERROR(INDEX($B$5:$B$172,MATCH(ROWS($R$5:R326),$X$5:$X$172,0)),"")</f>
        <v/>
      </c>
      <c r="S326" s="76" t="str">
        <f>IF($R326="","",INDEX($O$5:$O$172,MATCH(ROWS($R$5:R326),$X$5:$X$172,0)))</f>
        <v/>
      </c>
      <c r="U326" s="160" t="str">
        <f>IFERROR(INDEX($Z$5:$Z$448,MATCH(ROWS($U$5:U326),$AA$5:$AA$448,0)),"")</f>
        <v/>
      </c>
      <c r="V326" s="274" t="str">
        <f>IF(Sept!C29="","",Sept!C29)</f>
        <v/>
      </c>
      <c r="W326" s="274" t="str" cm="1">
        <f t="array" ref="W326">IF(V326="","",IF(COUNTIF($V$5:V326,V326)&gt;1,"",ROUND(1+SUMPRODUCT(($V$5:$V$448&lt;&gt;"")*($V$5:$V$448&lt;V326)/COUNTIF($V$5:$V$448,$V$5:$V$448&amp;"")),0)))</f>
        <v/>
      </c>
      <c r="X326" s="274"/>
      <c r="Z326" s="274" t="str">
        <f>IF(Sept!H29="Major Injury",Sept!C29,"")</f>
        <v/>
      </c>
      <c r="AA326" s="274" t="str" cm="1">
        <f t="array" ref="AA326">IF(Z326="","",IF(COUNTIF($Z$5:Z326,Z326)&gt;1,"",ROUND(1+SUMPRODUCT(($Z$5:$Z$448&lt;&gt;"")*($Z$5:$Z$448&lt;Z326)/COUNTIF($Z$5:$Z$448,$Z$5:$Z$448&amp;"")),0)))</f>
        <v/>
      </c>
    </row>
    <row r="327" spans="2:27" x14ac:dyDescent="0.25">
      <c r="B327" s="160" t="str">
        <f>IFERROR(INDEX($V$5:$V$448,MATCH(ROWS($B$5:B327),$W$5:$W$448,0)),"")</f>
        <v/>
      </c>
      <c r="C327" s="265" t="str">
        <f>IF($B327="","",COUNTIF(Jan[Resident Name],$B327))</f>
        <v/>
      </c>
      <c r="D327" s="265" t="str">
        <f>IF($B327="","",COUNTIF(Feb[Resident Name],$B327))</f>
        <v/>
      </c>
      <c r="E327" s="265" t="str">
        <f>IF($B327="","",COUNTIF(Mar[Resident Name],$B327))</f>
        <v/>
      </c>
      <c r="F327" s="265" t="str">
        <f>IF($B327="","",COUNTIF(Apr[Resident Name],$B327))</f>
        <v/>
      </c>
      <c r="G327" s="265" t="str">
        <f>IF($B327="","",COUNTIF(May[Resident Name],$B327))</f>
        <v/>
      </c>
      <c r="H327" s="265" t="str">
        <f>IF($B327="","",COUNTIF(June[Resident Name],$B327))</f>
        <v/>
      </c>
      <c r="I327" s="265" t="str">
        <f>IF($B327="","",COUNTIF(July[Resident Name],$B327))</f>
        <v/>
      </c>
      <c r="J327" s="265" t="str">
        <f>IF($B327="","",COUNTIF(Aug[Resident Name],$B327))</f>
        <v/>
      </c>
      <c r="K327" s="265" t="str">
        <f>IF($B327="","",COUNTIF(Sept[Resident Name],$B327))</f>
        <v/>
      </c>
      <c r="L327" s="265" t="str">
        <f>IF($B327="","",COUNTIF(Oct[Resident Name],$B327))</f>
        <v/>
      </c>
      <c r="M327" s="265" t="str">
        <f>IF($B327="","",COUNTIF(Nov[Resident Name],$B327))</f>
        <v/>
      </c>
      <c r="N327" s="265" t="str">
        <f>IF($B327="","",COUNTIF(Dec[Resident Name],$B327))</f>
        <v/>
      </c>
      <c r="O327" s="265" t="str">
        <f t="shared" si="10"/>
        <v/>
      </c>
      <c r="P327" s="11"/>
      <c r="R327" s="160" t="str">
        <f>IFERROR(INDEX($B$5:$B$172,MATCH(ROWS($R$5:R327),$X$5:$X$172,0)),"")</f>
        <v/>
      </c>
      <c r="S327" s="76" t="str">
        <f>IF($R327="","",INDEX($O$5:$O$172,MATCH(ROWS($R$5:R327),$X$5:$X$172,0)))</f>
        <v/>
      </c>
      <c r="U327" s="160" t="str">
        <f>IFERROR(INDEX($Z$5:$Z$448,MATCH(ROWS($U$5:U327),$AA$5:$AA$448,0)),"")</f>
        <v/>
      </c>
      <c r="V327" s="274" t="str">
        <f>IF(Sept!C30="","",Sept!C30)</f>
        <v/>
      </c>
      <c r="W327" s="274" t="str" cm="1">
        <f t="array" ref="W327">IF(V327="","",IF(COUNTIF($V$5:V327,V327)&gt;1,"",ROUND(1+SUMPRODUCT(($V$5:$V$448&lt;&gt;"")*($V$5:$V$448&lt;V327)/COUNTIF($V$5:$V$448,$V$5:$V$448&amp;"")),0)))</f>
        <v/>
      </c>
      <c r="X327" s="274"/>
      <c r="Z327" s="274" t="str">
        <f>IF(Sept!H30="Major Injury",Sept!C30,"")</f>
        <v/>
      </c>
      <c r="AA327" s="274" t="str" cm="1">
        <f t="array" ref="AA327">IF(Z327="","",IF(COUNTIF($Z$5:Z327,Z327)&gt;1,"",ROUND(1+SUMPRODUCT(($Z$5:$Z$448&lt;&gt;"")*($Z$5:$Z$448&lt;Z327)/COUNTIF($Z$5:$Z$448,$Z$5:$Z$448&amp;"")),0)))</f>
        <v/>
      </c>
    </row>
    <row r="328" spans="2:27" x14ac:dyDescent="0.25">
      <c r="B328" s="160" t="str">
        <f>IFERROR(INDEX($V$5:$V$448,MATCH(ROWS($B$5:B328),$W$5:$W$448,0)),"")</f>
        <v/>
      </c>
      <c r="C328" s="265" t="str">
        <f>IF($B328="","",COUNTIF(Jan[Resident Name],$B328))</f>
        <v/>
      </c>
      <c r="D328" s="265" t="str">
        <f>IF($B328="","",COUNTIF(Feb[Resident Name],$B328))</f>
        <v/>
      </c>
      <c r="E328" s="265" t="str">
        <f>IF($B328="","",COUNTIF(Mar[Resident Name],$B328))</f>
        <v/>
      </c>
      <c r="F328" s="265" t="str">
        <f>IF($B328="","",COUNTIF(Apr[Resident Name],$B328))</f>
        <v/>
      </c>
      <c r="G328" s="265" t="str">
        <f>IF($B328="","",COUNTIF(May[Resident Name],$B328))</f>
        <v/>
      </c>
      <c r="H328" s="265" t="str">
        <f>IF($B328="","",COUNTIF(June[Resident Name],$B328))</f>
        <v/>
      </c>
      <c r="I328" s="265" t="str">
        <f>IF($B328="","",COUNTIF(July[Resident Name],$B328))</f>
        <v/>
      </c>
      <c r="J328" s="265" t="str">
        <f>IF($B328="","",COUNTIF(Aug[Resident Name],$B328))</f>
        <v/>
      </c>
      <c r="K328" s="265" t="str">
        <f>IF($B328="","",COUNTIF(Sept[Resident Name],$B328))</f>
        <v/>
      </c>
      <c r="L328" s="265" t="str">
        <f>IF($B328="","",COUNTIF(Oct[Resident Name],$B328))</f>
        <v/>
      </c>
      <c r="M328" s="265" t="str">
        <f>IF($B328="","",COUNTIF(Nov[Resident Name],$B328))</f>
        <v/>
      </c>
      <c r="N328" s="265" t="str">
        <f>IF($B328="","",COUNTIF(Dec[Resident Name],$B328))</f>
        <v/>
      </c>
      <c r="O328" s="265" t="str">
        <f t="shared" si="10"/>
        <v/>
      </c>
      <c r="P328" s="11"/>
      <c r="R328" s="160" t="str">
        <f>IFERROR(INDEX($B$5:$B$172,MATCH(ROWS($R$5:R328),$X$5:$X$172,0)),"")</f>
        <v/>
      </c>
      <c r="S328" s="76" t="str">
        <f>IF($R328="","",INDEX($O$5:$O$172,MATCH(ROWS($R$5:R328),$X$5:$X$172,0)))</f>
        <v/>
      </c>
      <c r="U328" s="160" t="str">
        <f>IFERROR(INDEX($Z$5:$Z$448,MATCH(ROWS($U$5:U328),$AA$5:$AA$448,0)),"")</f>
        <v/>
      </c>
      <c r="V328" s="274" t="str">
        <f>IF(Sept!C31="","",Sept!C31)</f>
        <v/>
      </c>
      <c r="W328" s="274" t="str" cm="1">
        <f t="array" ref="W328">IF(V328="","",IF(COUNTIF($V$5:V328,V328)&gt;1,"",ROUND(1+SUMPRODUCT(($V$5:$V$448&lt;&gt;"")*($V$5:$V$448&lt;V328)/COUNTIF($V$5:$V$448,$V$5:$V$448&amp;"")),0)))</f>
        <v/>
      </c>
      <c r="X328" s="274"/>
      <c r="Z328" s="274" t="str">
        <f>IF(Sept!H31="Major Injury",Sept!C31,"")</f>
        <v/>
      </c>
      <c r="AA328" s="274" t="str" cm="1">
        <f t="array" ref="AA328">IF(Z328="","",IF(COUNTIF($Z$5:Z328,Z328)&gt;1,"",ROUND(1+SUMPRODUCT(($Z$5:$Z$448&lt;&gt;"")*($Z$5:$Z$448&lt;Z328)/COUNTIF($Z$5:$Z$448,$Z$5:$Z$448&amp;"")),0)))</f>
        <v/>
      </c>
    </row>
    <row r="329" spans="2:27" x14ac:dyDescent="0.25">
      <c r="B329" s="160" t="str">
        <f>IFERROR(INDEX($V$5:$V$448,MATCH(ROWS($B$5:B329),$W$5:$W$448,0)),"")</f>
        <v/>
      </c>
      <c r="C329" s="265" t="str">
        <f>IF($B329="","",COUNTIF(Jan[Resident Name],$B329))</f>
        <v/>
      </c>
      <c r="D329" s="265" t="str">
        <f>IF($B329="","",COUNTIF(Feb[Resident Name],$B329))</f>
        <v/>
      </c>
      <c r="E329" s="265" t="str">
        <f>IF($B329="","",COUNTIF(Mar[Resident Name],$B329))</f>
        <v/>
      </c>
      <c r="F329" s="265" t="str">
        <f>IF($B329="","",COUNTIF(Apr[Resident Name],$B329))</f>
        <v/>
      </c>
      <c r="G329" s="265" t="str">
        <f>IF($B329="","",COUNTIF(May[Resident Name],$B329))</f>
        <v/>
      </c>
      <c r="H329" s="265" t="str">
        <f>IF($B329="","",COUNTIF(June[Resident Name],$B329))</f>
        <v/>
      </c>
      <c r="I329" s="265" t="str">
        <f>IF($B329="","",COUNTIF(July[Resident Name],$B329))</f>
        <v/>
      </c>
      <c r="J329" s="265" t="str">
        <f>IF($B329="","",COUNTIF(Aug[Resident Name],$B329))</f>
        <v/>
      </c>
      <c r="K329" s="265" t="str">
        <f>IF($B329="","",COUNTIF(Sept[Resident Name],$B329))</f>
        <v/>
      </c>
      <c r="L329" s="265" t="str">
        <f>IF($B329="","",COUNTIF(Oct[Resident Name],$B329))</f>
        <v/>
      </c>
      <c r="M329" s="265" t="str">
        <f>IF($B329="","",COUNTIF(Nov[Resident Name],$B329))</f>
        <v/>
      </c>
      <c r="N329" s="265" t="str">
        <f>IF($B329="","",COUNTIF(Dec[Resident Name],$B329))</f>
        <v/>
      </c>
      <c r="O329" s="265" t="str">
        <f t="shared" ref="O329:O392" si="11">IF($B329="","",SUM(C329:N329))</f>
        <v/>
      </c>
      <c r="P329" s="11"/>
      <c r="R329" s="160" t="str">
        <f>IFERROR(INDEX($B$5:$B$172,MATCH(ROWS($R$5:R329),$X$5:$X$172,0)),"")</f>
        <v/>
      </c>
      <c r="S329" s="76" t="str">
        <f>IF($R329="","",INDEX($O$5:$O$172,MATCH(ROWS($R$5:R329),$X$5:$X$172,0)))</f>
        <v/>
      </c>
      <c r="U329" s="160" t="str">
        <f>IFERROR(INDEX($Z$5:$Z$448,MATCH(ROWS($U$5:U329),$AA$5:$AA$448,0)),"")</f>
        <v/>
      </c>
      <c r="V329" s="274" t="str">
        <f>IF(Sept!C32="","",Sept!C32)</f>
        <v/>
      </c>
      <c r="W329" s="274" t="str" cm="1">
        <f t="array" ref="W329">IF(V329="","",IF(COUNTIF($V$5:V329,V329)&gt;1,"",ROUND(1+SUMPRODUCT(($V$5:$V$448&lt;&gt;"")*($V$5:$V$448&lt;V329)/COUNTIF($V$5:$V$448,$V$5:$V$448&amp;"")),0)))</f>
        <v/>
      </c>
      <c r="X329" s="274"/>
      <c r="Z329" s="274" t="str">
        <f>IF(Sept!H32="Major Injury",Sept!C32,"")</f>
        <v/>
      </c>
      <c r="AA329" s="274" t="str" cm="1">
        <f t="array" ref="AA329">IF(Z329="","",IF(COUNTIF($Z$5:Z329,Z329)&gt;1,"",ROUND(1+SUMPRODUCT(($Z$5:$Z$448&lt;&gt;"")*($Z$5:$Z$448&lt;Z329)/COUNTIF($Z$5:$Z$448,$Z$5:$Z$448&amp;"")),0)))</f>
        <v/>
      </c>
    </row>
    <row r="330" spans="2:27" x14ac:dyDescent="0.25">
      <c r="B330" s="160" t="str">
        <f>IFERROR(INDEX($V$5:$V$448,MATCH(ROWS($B$5:B330),$W$5:$W$448,0)),"")</f>
        <v/>
      </c>
      <c r="C330" s="265" t="str">
        <f>IF($B330="","",COUNTIF(Jan[Resident Name],$B330))</f>
        <v/>
      </c>
      <c r="D330" s="265" t="str">
        <f>IF($B330="","",COUNTIF(Feb[Resident Name],$B330))</f>
        <v/>
      </c>
      <c r="E330" s="265" t="str">
        <f>IF($B330="","",COUNTIF(Mar[Resident Name],$B330))</f>
        <v/>
      </c>
      <c r="F330" s="265" t="str">
        <f>IF($B330="","",COUNTIF(Apr[Resident Name],$B330))</f>
        <v/>
      </c>
      <c r="G330" s="265" t="str">
        <f>IF($B330="","",COUNTIF(May[Resident Name],$B330))</f>
        <v/>
      </c>
      <c r="H330" s="265" t="str">
        <f>IF($B330="","",COUNTIF(June[Resident Name],$B330))</f>
        <v/>
      </c>
      <c r="I330" s="265" t="str">
        <f>IF($B330="","",COUNTIF(July[Resident Name],$B330))</f>
        <v/>
      </c>
      <c r="J330" s="265" t="str">
        <f>IF($B330="","",COUNTIF(Aug[Resident Name],$B330))</f>
        <v/>
      </c>
      <c r="K330" s="265" t="str">
        <f>IF($B330="","",COUNTIF(Sept[Resident Name],$B330))</f>
        <v/>
      </c>
      <c r="L330" s="265" t="str">
        <f>IF($B330="","",COUNTIF(Oct[Resident Name],$B330))</f>
        <v/>
      </c>
      <c r="M330" s="265" t="str">
        <f>IF($B330="","",COUNTIF(Nov[Resident Name],$B330))</f>
        <v/>
      </c>
      <c r="N330" s="265" t="str">
        <f>IF($B330="","",COUNTIF(Dec[Resident Name],$B330))</f>
        <v/>
      </c>
      <c r="O330" s="265" t="str">
        <f t="shared" si="11"/>
        <v/>
      </c>
      <c r="P330" s="11"/>
      <c r="R330" s="160" t="str">
        <f>IFERROR(INDEX($B$5:$B$172,MATCH(ROWS($R$5:R330),$X$5:$X$172,0)),"")</f>
        <v/>
      </c>
      <c r="S330" s="76" t="str">
        <f>IF($R330="","",INDEX($O$5:$O$172,MATCH(ROWS($R$5:R330),$X$5:$X$172,0)))</f>
        <v/>
      </c>
      <c r="U330" s="160" t="str">
        <f>IFERROR(INDEX($Z$5:$Z$448,MATCH(ROWS($U$5:U330),$AA$5:$AA$448,0)),"")</f>
        <v/>
      </c>
      <c r="V330" s="274" t="str">
        <f>IF(Sept!C33="","",Sept!C33)</f>
        <v/>
      </c>
      <c r="W330" s="274" t="str" cm="1">
        <f t="array" ref="W330">IF(V330="","",IF(COUNTIF($V$5:V330,V330)&gt;1,"",ROUND(1+SUMPRODUCT(($V$5:$V$448&lt;&gt;"")*($V$5:$V$448&lt;V330)/COUNTIF($V$5:$V$448,$V$5:$V$448&amp;"")),0)))</f>
        <v/>
      </c>
      <c r="X330" s="274"/>
      <c r="Z330" s="274" t="str">
        <f>IF(Sept!H33="Major Injury",Sept!C33,"")</f>
        <v/>
      </c>
      <c r="AA330" s="274" t="str" cm="1">
        <f t="array" ref="AA330">IF(Z330="","",IF(COUNTIF($Z$5:Z330,Z330)&gt;1,"",ROUND(1+SUMPRODUCT(($Z$5:$Z$448&lt;&gt;"")*($Z$5:$Z$448&lt;Z330)/COUNTIF($Z$5:$Z$448,$Z$5:$Z$448&amp;"")),0)))</f>
        <v/>
      </c>
    </row>
    <row r="331" spans="2:27" x14ac:dyDescent="0.25">
      <c r="B331" s="160" t="str">
        <f>IFERROR(INDEX($V$5:$V$448,MATCH(ROWS($B$5:B331),$W$5:$W$448,0)),"")</f>
        <v/>
      </c>
      <c r="C331" s="265" t="str">
        <f>IF($B331="","",COUNTIF(Jan[Resident Name],$B331))</f>
        <v/>
      </c>
      <c r="D331" s="265" t="str">
        <f>IF($B331="","",COUNTIF(Feb[Resident Name],$B331))</f>
        <v/>
      </c>
      <c r="E331" s="265" t="str">
        <f>IF($B331="","",COUNTIF(Mar[Resident Name],$B331))</f>
        <v/>
      </c>
      <c r="F331" s="265" t="str">
        <f>IF($B331="","",COUNTIF(Apr[Resident Name],$B331))</f>
        <v/>
      </c>
      <c r="G331" s="265" t="str">
        <f>IF($B331="","",COUNTIF(May[Resident Name],$B331))</f>
        <v/>
      </c>
      <c r="H331" s="265" t="str">
        <f>IF($B331="","",COUNTIF(June[Resident Name],$B331))</f>
        <v/>
      </c>
      <c r="I331" s="265" t="str">
        <f>IF($B331="","",COUNTIF(July[Resident Name],$B331))</f>
        <v/>
      </c>
      <c r="J331" s="265" t="str">
        <f>IF($B331="","",COUNTIF(Aug[Resident Name],$B331))</f>
        <v/>
      </c>
      <c r="K331" s="265" t="str">
        <f>IF($B331="","",COUNTIF(Sept[Resident Name],$B331))</f>
        <v/>
      </c>
      <c r="L331" s="265" t="str">
        <f>IF($B331="","",COUNTIF(Oct[Resident Name],$B331))</f>
        <v/>
      </c>
      <c r="M331" s="265" t="str">
        <f>IF($B331="","",COUNTIF(Nov[Resident Name],$B331))</f>
        <v/>
      </c>
      <c r="N331" s="265" t="str">
        <f>IF($B331="","",COUNTIF(Dec[Resident Name],$B331))</f>
        <v/>
      </c>
      <c r="O331" s="265" t="str">
        <f t="shared" si="11"/>
        <v/>
      </c>
      <c r="P331" s="11"/>
      <c r="R331" s="160" t="str">
        <f>IFERROR(INDEX($B$5:$B$172,MATCH(ROWS($R$5:R331),$X$5:$X$172,0)),"")</f>
        <v/>
      </c>
      <c r="S331" s="76" t="str">
        <f>IF($R331="","",INDEX($O$5:$O$172,MATCH(ROWS($R$5:R331),$X$5:$X$172,0)))</f>
        <v/>
      </c>
      <c r="U331" s="160" t="str">
        <f>IFERROR(INDEX($Z$5:$Z$448,MATCH(ROWS($U$5:U331),$AA$5:$AA$448,0)),"")</f>
        <v/>
      </c>
      <c r="V331" s="274" t="str">
        <f>IF(Sept!C34="","",Sept!C34)</f>
        <v/>
      </c>
      <c r="W331" s="274" t="str" cm="1">
        <f t="array" ref="W331">IF(V331="","",IF(COUNTIF($V$5:V331,V331)&gt;1,"",ROUND(1+SUMPRODUCT(($V$5:$V$448&lt;&gt;"")*($V$5:$V$448&lt;V331)/COUNTIF($V$5:$V$448,$V$5:$V$448&amp;"")),0)))</f>
        <v/>
      </c>
      <c r="X331" s="274"/>
      <c r="Z331" s="274" t="str">
        <f>IF(Sept!H34="Major Injury",Sept!C34,"")</f>
        <v/>
      </c>
      <c r="AA331" s="274" t="str" cm="1">
        <f t="array" ref="AA331">IF(Z331="","",IF(COUNTIF($Z$5:Z331,Z331)&gt;1,"",ROUND(1+SUMPRODUCT(($Z$5:$Z$448&lt;&gt;"")*($Z$5:$Z$448&lt;Z331)/COUNTIF($Z$5:$Z$448,$Z$5:$Z$448&amp;"")),0)))</f>
        <v/>
      </c>
    </row>
    <row r="332" spans="2:27" x14ac:dyDescent="0.25">
      <c r="B332" s="160" t="str">
        <f>IFERROR(INDEX($V$5:$V$448,MATCH(ROWS($B$5:B332),$W$5:$W$448,0)),"")</f>
        <v/>
      </c>
      <c r="C332" s="265" t="str">
        <f>IF($B332="","",COUNTIF(Jan[Resident Name],$B332))</f>
        <v/>
      </c>
      <c r="D332" s="265" t="str">
        <f>IF($B332="","",COUNTIF(Feb[Resident Name],$B332))</f>
        <v/>
      </c>
      <c r="E332" s="265" t="str">
        <f>IF($B332="","",COUNTIF(Mar[Resident Name],$B332))</f>
        <v/>
      </c>
      <c r="F332" s="265" t="str">
        <f>IF($B332="","",COUNTIF(Apr[Resident Name],$B332))</f>
        <v/>
      </c>
      <c r="G332" s="265" t="str">
        <f>IF($B332="","",COUNTIF(May[Resident Name],$B332))</f>
        <v/>
      </c>
      <c r="H332" s="265" t="str">
        <f>IF($B332="","",COUNTIF(June[Resident Name],$B332))</f>
        <v/>
      </c>
      <c r="I332" s="265" t="str">
        <f>IF($B332="","",COUNTIF(July[Resident Name],$B332))</f>
        <v/>
      </c>
      <c r="J332" s="265" t="str">
        <f>IF($B332="","",COUNTIF(Aug[Resident Name],$B332))</f>
        <v/>
      </c>
      <c r="K332" s="265" t="str">
        <f>IF($B332="","",COUNTIF(Sept[Resident Name],$B332))</f>
        <v/>
      </c>
      <c r="L332" s="265" t="str">
        <f>IF($B332="","",COUNTIF(Oct[Resident Name],$B332))</f>
        <v/>
      </c>
      <c r="M332" s="265" t="str">
        <f>IF($B332="","",COUNTIF(Nov[Resident Name],$B332))</f>
        <v/>
      </c>
      <c r="N332" s="265" t="str">
        <f>IF($B332="","",COUNTIF(Dec[Resident Name],$B332))</f>
        <v/>
      </c>
      <c r="O332" s="265" t="str">
        <f t="shared" si="11"/>
        <v/>
      </c>
      <c r="P332" s="11"/>
      <c r="R332" s="160" t="str">
        <f>IFERROR(INDEX($B$5:$B$172,MATCH(ROWS($R$5:R332),$X$5:$X$172,0)),"")</f>
        <v/>
      </c>
      <c r="S332" s="76" t="str">
        <f>IF($R332="","",INDEX($O$5:$O$172,MATCH(ROWS($R$5:R332),$X$5:$X$172,0)))</f>
        <v/>
      </c>
      <c r="U332" s="160" t="str">
        <f>IFERROR(INDEX($Z$5:$Z$448,MATCH(ROWS($U$5:U332),$AA$5:$AA$448,0)),"")</f>
        <v/>
      </c>
      <c r="V332" s="274" t="str">
        <f>IF(Sept!C35="","",Sept!C35)</f>
        <v/>
      </c>
      <c r="W332" s="274" t="str" cm="1">
        <f t="array" ref="W332">IF(V332="","",IF(COUNTIF($V$5:V332,V332)&gt;1,"",ROUND(1+SUMPRODUCT(($V$5:$V$448&lt;&gt;"")*($V$5:$V$448&lt;V332)/COUNTIF($V$5:$V$448,$V$5:$V$448&amp;"")),0)))</f>
        <v/>
      </c>
      <c r="X332" s="274"/>
      <c r="Z332" s="274" t="str">
        <f>IF(Sept!H35="Major Injury",Sept!C35,"")</f>
        <v/>
      </c>
      <c r="AA332" s="274" t="str" cm="1">
        <f t="array" ref="AA332">IF(Z332="","",IF(COUNTIF($Z$5:Z332,Z332)&gt;1,"",ROUND(1+SUMPRODUCT(($Z$5:$Z$448&lt;&gt;"")*($Z$5:$Z$448&lt;Z332)/COUNTIF($Z$5:$Z$448,$Z$5:$Z$448&amp;"")),0)))</f>
        <v/>
      </c>
    </row>
    <row r="333" spans="2:27" x14ac:dyDescent="0.25">
      <c r="B333" s="160" t="str">
        <f>IFERROR(INDEX($V$5:$V$448,MATCH(ROWS($B$5:B333),$W$5:$W$448,0)),"")</f>
        <v/>
      </c>
      <c r="C333" s="265" t="str">
        <f>IF($B333="","",COUNTIF(Jan[Resident Name],$B333))</f>
        <v/>
      </c>
      <c r="D333" s="265" t="str">
        <f>IF($B333="","",COUNTIF(Feb[Resident Name],$B333))</f>
        <v/>
      </c>
      <c r="E333" s="265" t="str">
        <f>IF($B333="","",COUNTIF(Mar[Resident Name],$B333))</f>
        <v/>
      </c>
      <c r="F333" s="265" t="str">
        <f>IF($B333="","",COUNTIF(Apr[Resident Name],$B333))</f>
        <v/>
      </c>
      <c r="G333" s="265" t="str">
        <f>IF($B333="","",COUNTIF(May[Resident Name],$B333))</f>
        <v/>
      </c>
      <c r="H333" s="265" t="str">
        <f>IF($B333="","",COUNTIF(June[Resident Name],$B333))</f>
        <v/>
      </c>
      <c r="I333" s="265" t="str">
        <f>IF($B333="","",COUNTIF(July[Resident Name],$B333))</f>
        <v/>
      </c>
      <c r="J333" s="265" t="str">
        <f>IF($B333="","",COUNTIF(Aug[Resident Name],$B333))</f>
        <v/>
      </c>
      <c r="K333" s="265" t="str">
        <f>IF($B333="","",COUNTIF(Sept[Resident Name],$B333))</f>
        <v/>
      </c>
      <c r="L333" s="265" t="str">
        <f>IF($B333="","",COUNTIF(Oct[Resident Name],$B333))</f>
        <v/>
      </c>
      <c r="M333" s="265" t="str">
        <f>IF($B333="","",COUNTIF(Nov[Resident Name],$B333))</f>
        <v/>
      </c>
      <c r="N333" s="265" t="str">
        <f>IF($B333="","",COUNTIF(Dec[Resident Name],$B333))</f>
        <v/>
      </c>
      <c r="O333" s="265" t="str">
        <f t="shared" si="11"/>
        <v/>
      </c>
      <c r="P333" s="11"/>
      <c r="R333" s="160" t="str">
        <f>IFERROR(INDEX($B$5:$B$172,MATCH(ROWS($R$5:R333),$X$5:$X$172,0)),"")</f>
        <v/>
      </c>
      <c r="S333" s="76" t="str">
        <f>IF($R333="","",INDEX($O$5:$O$172,MATCH(ROWS($R$5:R333),$X$5:$X$172,0)))</f>
        <v/>
      </c>
      <c r="U333" s="160" t="str">
        <f>IFERROR(INDEX($Z$5:$Z$448,MATCH(ROWS($U$5:U333),$AA$5:$AA$448,0)),"")</f>
        <v/>
      </c>
      <c r="V333" s="274" t="str">
        <f>IF(Sept!C36="","",Sept!C36)</f>
        <v/>
      </c>
      <c r="W333" s="274" t="str" cm="1">
        <f t="array" ref="W333">IF(V333="","",IF(COUNTIF($V$5:V333,V333)&gt;1,"",ROUND(1+SUMPRODUCT(($V$5:$V$448&lt;&gt;"")*($V$5:$V$448&lt;V333)/COUNTIF($V$5:$V$448,$V$5:$V$448&amp;"")),0)))</f>
        <v/>
      </c>
      <c r="X333" s="274"/>
      <c r="Z333" s="274" t="str">
        <f>IF(Sept!H36="Major Injury",Sept!C36,"")</f>
        <v/>
      </c>
      <c r="AA333" s="274" t="str" cm="1">
        <f t="array" ref="AA333">IF(Z333="","",IF(COUNTIF($Z$5:Z333,Z333)&gt;1,"",ROUND(1+SUMPRODUCT(($Z$5:$Z$448&lt;&gt;"")*($Z$5:$Z$448&lt;Z333)/COUNTIF($Z$5:$Z$448,$Z$5:$Z$448&amp;"")),0)))</f>
        <v/>
      </c>
    </row>
    <row r="334" spans="2:27" x14ac:dyDescent="0.25">
      <c r="B334" s="160" t="str">
        <f>IFERROR(INDEX($V$5:$V$448,MATCH(ROWS($B$5:B334),$W$5:$W$448,0)),"")</f>
        <v/>
      </c>
      <c r="C334" s="265" t="str">
        <f>IF($B334="","",COUNTIF(Jan[Resident Name],$B334))</f>
        <v/>
      </c>
      <c r="D334" s="265" t="str">
        <f>IF($B334="","",COUNTIF(Feb[Resident Name],$B334))</f>
        <v/>
      </c>
      <c r="E334" s="265" t="str">
        <f>IF($B334="","",COUNTIF(Mar[Resident Name],$B334))</f>
        <v/>
      </c>
      <c r="F334" s="265" t="str">
        <f>IF($B334="","",COUNTIF(Apr[Resident Name],$B334))</f>
        <v/>
      </c>
      <c r="G334" s="265" t="str">
        <f>IF($B334="","",COUNTIF(May[Resident Name],$B334))</f>
        <v/>
      </c>
      <c r="H334" s="265" t="str">
        <f>IF($B334="","",COUNTIF(June[Resident Name],$B334))</f>
        <v/>
      </c>
      <c r="I334" s="265" t="str">
        <f>IF($B334="","",COUNTIF(July[Resident Name],$B334))</f>
        <v/>
      </c>
      <c r="J334" s="265" t="str">
        <f>IF($B334="","",COUNTIF(Aug[Resident Name],$B334))</f>
        <v/>
      </c>
      <c r="K334" s="265" t="str">
        <f>IF($B334="","",COUNTIF(Sept[Resident Name],$B334))</f>
        <v/>
      </c>
      <c r="L334" s="265" t="str">
        <f>IF($B334="","",COUNTIF(Oct[Resident Name],$B334))</f>
        <v/>
      </c>
      <c r="M334" s="265" t="str">
        <f>IF($B334="","",COUNTIF(Nov[Resident Name],$B334))</f>
        <v/>
      </c>
      <c r="N334" s="265" t="str">
        <f>IF($B334="","",COUNTIF(Dec[Resident Name],$B334))</f>
        <v/>
      </c>
      <c r="O334" s="265" t="str">
        <f t="shared" si="11"/>
        <v/>
      </c>
      <c r="P334" s="11"/>
      <c r="R334" s="160" t="str">
        <f>IFERROR(INDEX($B$5:$B$172,MATCH(ROWS($R$5:R334),$X$5:$X$172,0)),"")</f>
        <v/>
      </c>
      <c r="S334" s="76" t="str">
        <f>IF($R334="","",INDEX($O$5:$O$172,MATCH(ROWS($R$5:R334),$X$5:$X$172,0)))</f>
        <v/>
      </c>
      <c r="U334" s="160" t="str">
        <f>IFERROR(INDEX($Z$5:$Z$448,MATCH(ROWS($U$5:U334),$AA$5:$AA$448,0)),"")</f>
        <v/>
      </c>
      <c r="V334" s="274" t="str">
        <f>IF(Sept!C37="","",Sept!C37)</f>
        <v/>
      </c>
      <c r="W334" s="274" t="str" cm="1">
        <f t="array" ref="W334">IF(V334="","",IF(COUNTIF($V$5:V334,V334)&gt;1,"",ROUND(1+SUMPRODUCT(($V$5:$V$448&lt;&gt;"")*($V$5:$V$448&lt;V334)/COUNTIF($V$5:$V$448,$V$5:$V$448&amp;"")),0)))</f>
        <v/>
      </c>
      <c r="X334" s="274"/>
      <c r="Z334" s="274" t="str">
        <f>IF(Sept!H37="Major Injury",Sept!C37,"")</f>
        <v/>
      </c>
      <c r="AA334" s="274" t="str" cm="1">
        <f t="array" ref="AA334">IF(Z334="","",IF(COUNTIF($Z$5:Z334,Z334)&gt;1,"",ROUND(1+SUMPRODUCT(($Z$5:$Z$448&lt;&gt;"")*($Z$5:$Z$448&lt;Z334)/COUNTIF($Z$5:$Z$448,$Z$5:$Z$448&amp;"")),0)))</f>
        <v/>
      </c>
    </row>
    <row r="335" spans="2:27" x14ac:dyDescent="0.25">
      <c r="B335" s="160" t="str">
        <f>IFERROR(INDEX($V$5:$V$448,MATCH(ROWS($B$5:B335),$W$5:$W$448,0)),"")</f>
        <v/>
      </c>
      <c r="C335" s="265" t="str">
        <f>IF($B335="","",COUNTIF(Jan[Resident Name],$B335))</f>
        <v/>
      </c>
      <c r="D335" s="265" t="str">
        <f>IF($B335="","",COUNTIF(Feb[Resident Name],$B335))</f>
        <v/>
      </c>
      <c r="E335" s="265" t="str">
        <f>IF($B335="","",COUNTIF(Mar[Resident Name],$B335))</f>
        <v/>
      </c>
      <c r="F335" s="265" t="str">
        <f>IF($B335="","",COUNTIF(Apr[Resident Name],$B335))</f>
        <v/>
      </c>
      <c r="G335" s="265" t="str">
        <f>IF($B335="","",COUNTIF(May[Resident Name],$B335))</f>
        <v/>
      </c>
      <c r="H335" s="265" t="str">
        <f>IF($B335="","",COUNTIF(June[Resident Name],$B335))</f>
        <v/>
      </c>
      <c r="I335" s="265" t="str">
        <f>IF($B335="","",COUNTIF(July[Resident Name],$B335))</f>
        <v/>
      </c>
      <c r="J335" s="265" t="str">
        <f>IF($B335="","",COUNTIF(Aug[Resident Name],$B335))</f>
        <v/>
      </c>
      <c r="K335" s="265" t="str">
        <f>IF($B335="","",COUNTIF(Sept[Resident Name],$B335))</f>
        <v/>
      </c>
      <c r="L335" s="265" t="str">
        <f>IF($B335="","",COUNTIF(Oct[Resident Name],$B335))</f>
        <v/>
      </c>
      <c r="M335" s="265" t="str">
        <f>IF($B335="","",COUNTIF(Nov[Resident Name],$B335))</f>
        <v/>
      </c>
      <c r="N335" s="265" t="str">
        <f>IF($B335="","",COUNTIF(Dec[Resident Name],$B335))</f>
        <v/>
      </c>
      <c r="O335" s="265" t="str">
        <f t="shared" si="11"/>
        <v/>
      </c>
      <c r="P335" s="11"/>
      <c r="R335" s="160" t="str">
        <f>IFERROR(INDEX($B$5:$B$172,MATCH(ROWS($R$5:R335),$X$5:$X$172,0)),"")</f>
        <v/>
      </c>
      <c r="S335" s="76" t="str">
        <f>IF($R335="","",INDEX($O$5:$O$172,MATCH(ROWS($R$5:R335),$X$5:$X$172,0)))</f>
        <v/>
      </c>
      <c r="U335" s="160" t="str">
        <f>IFERROR(INDEX($Z$5:$Z$448,MATCH(ROWS($U$5:U335),$AA$5:$AA$448,0)),"")</f>
        <v/>
      </c>
      <c r="V335" s="274" t="str">
        <f>IF(Sept!C38="","",Sept!C38)</f>
        <v/>
      </c>
      <c r="W335" s="274" t="str" cm="1">
        <f t="array" ref="W335">IF(V335="","",IF(COUNTIF($V$5:V335,V335)&gt;1,"",ROUND(1+SUMPRODUCT(($V$5:$V$448&lt;&gt;"")*($V$5:$V$448&lt;V335)/COUNTIF($V$5:$V$448,$V$5:$V$448&amp;"")),0)))</f>
        <v/>
      </c>
      <c r="X335" s="274"/>
      <c r="Z335" s="274" t="str">
        <f>IF(Sept!H38="Major Injury",Sept!C38,"")</f>
        <v/>
      </c>
      <c r="AA335" s="274" t="str" cm="1">
        <f t="array" ref="AA335">IF(Z335="","",IF(COUNTIF($Z$5:Z335,Z335)&gt;1,"",ROUND(1+SUMPRODUCT(($Z$5:$Z$448&lt;&gt;"")*($Z$5:$Z$448&lt;Z335)/COUNTIF($Z$5:$Z$448,$Z$5:$Z$448&amp;"")),0)))</f>
        <v/>
      </c>
    </row>
    <row r="336" spans="2:27" x14ac:dyDescent="0.25">
      <c r="B336" s="160" t="str">
        <f>IFERROR(INDEX($V$5:$V$448,MATCH(ROWS($B$5:B336),$W$5:$W$448,0)),"")</f>
        <v/>
      </c>
      <c r="C336" s="265" t="str">
        <f>IF($B336="","",COUNTIF(Jan[Resident Name],$B336))</f>
        <v/>
      </c>
      <c r="D336" s="265" t="str">
        <f>IF($B336="","",COUNTIF(Feb[Resident Name],$B336))</f>
        <v/>
      </c>
      <c r="E336" s="265" t="str">
        <f>IF($B336="","",COUNTIF(Mar[Resident Name],$B336))</f>
        <v/>
      </c>
      <c r="F336" s="265" t="str">
        <f>IF($B336="","",COUNTIF(Apr[Resident Name],$B336))</f>
        <v/>
      </c>
      <c r="G336" s="265" t="str">
        <f>IF($B336="","",COUNTIF(May[Resident Name],$B336))</f>
        <v/>
      </c>
      <c r="H336" s="265" t="str">
        <f>IF($B336="","",COUNTIF(June[Resident Name],$B336))</f>
        <v/>
      </c>
      <c r="I336" s="265" t="str">
        <f>IF($B336="","",COUNTIF(July[Resident Name],$B336))</f>
        <v/>
      </c>
      <c r="J336" s="265" t="str">
        <f>IF($B336="","",COUNTIF(Aug[Resident Name],$B336))</f>
        <v/>
      </c>
      <c r="K336" s="265" t="str">
        <f>IF($B336="","",COUNTIF(Sept[Resident Name],$B336))</f>
        <v/>
      </c>
      <c r="L336" s="265" t="str">
        <f>IF($B336="","",COUNTIF(Oct[Resident Name],$B336))</f>
        <v/>
      </c>
      <c r="M336" s="265" t="str">
        <f>IF($B336="","",COUNTIF(Nov[Resident Name],$B336))</f>
        <v/>
      </c>
      <c r="N336" s="265" t="str">
        <f>IF($B336="","",COUNTIF(Dec[Resident Name],$B336))</f>
        <v/>
      </c>
      <c r="O336" s="265" t="str">
        <f t="shared" si="11"/>
        <v/>
      </c>
      <c r="P336" s="11"/>
      <c r="R336" s="160" t="str">
        <f>IFERROR(INDEX($B$5:$B$172,MATCH(ROWS($R$5:R336),$X$5:$X$172,0)),"")</f>
        <v/>
      </c>
      <c r="S336" s="76" t="str">
        <f>IF($R336="","",INDEX($O$5:$O$172,MATCH(ROWS($R$5:R336),$X$5:$X$172,0)))</f>
        <v/>
      </c>
      <c r="U336" s="160" t="str">
        <f>IFERROR(INDEX($Z$5:$Z$448,MATCH(ROWS($U$5:U336),$AA$5:$AA$448,0)),"")</f>
        <v/>
      </c>
      <c r="V336" s="274" t="str">
        <f>IF(Sept!C39="","",Sept!C39)</f>
        <v/>
      </c>
      <c r="W336" s="274" t="str" cm="1">
        <f t="array" ref="W336">IF(V336="","",IF(COUNTIF($V$5:V336,V336)&gt;1,"",ROUND(1+SUMPRODUCT(($V$5:$V$448&lt;&gt;"")*($V$5:$V$448&lt;V336)/COUNTIF($V$5:$V$448,$V$5:$V$448&amp;"")),0)))</f>
        <v/>
      </c>
      <c r="X336" s="274"/>
      <c r="Z336" s="274" t="str">
        <f>IF(Sept!H39="Major Injury",Sept!C39,"")</f>
        <v/>
      </c>
      <c r="AA336" s="274" t="str" cm="1">
        <f t="array" ref="AA336">IF(Z336="","",IF(COUNTIF($Z$5:Z336,Z336)&gt;1,"",ROUND(1+SUMPRODUCT(($Z$5:$Z$448&lt;&gt;"")*($Z$5:$Z$448&lt;Z336)/COUNTIF($Z$5:$Z$448,$Z$5:$Z$448&amp;"")),0)))</f>
        <v/>
      </c>
    </row>
    <row r="337" spans="2:27" x14ac:dyDescent="0.25">
      <c r="B337" s="160" t="str">
        <f>IFERROR(INDEX($V$5:$V$448,MATCH(ROWS($B$5:B337),$W$5:$W$448,0)),"")</f>
        <v/>
      </c>
      <c r="C337" s="265" t="str">
        <f>IF($B337="","",COUNTIF(Jan[Resident Name],$B337))</f>
        <v/>
      </c>
      <c r="D337" s="265" t="str">
        <f>IF($B337="","",COUNTIF(Feb[Resident Name],$B337))</f>
        <v/>
      </c>
      <c r="E337" s="265" t="str">
        <f>IF($B337="","",COUNTIF(Mar[Resident Name],$B337))</f>
        <v/>
      </c>
      <c r="F337" s="265" t="str">
        <f>IF($B337="","",COUNTIF(Apr[Resident Name],$B337))</f>
        <v/>
      </c>
      <c r="G337" s="265" t="str">
        <f>IF($B337="","",COUNTIF(May[Resident Name],$B337))</f>
        <v/>
      </c>
      <c r="H337" s="265" t="str">
        <f>IF($B337="","",COUNTIF(June[Resident Name],$B337))</f>
        <v/>
      </c>
      <c r="I337" s="265" t="str">
        <f>IF($B337="","",COUNTIF(July[Resident Name],$B337))</f>
        <v/>
      </c>
      <c r="J337" s="265" t="str">
        <f>IF($B337="","",COUNTIF(Aug[Resident Name],$B337))</f>
        <v/>
      </c>
      <c r="K337" s="265" t="str">
        <f>IF($B337="","",COUNTIF(Sept[Resident Name],$B337))</f>
        <v/>
      </c>
      <c r="L337" s="265" t="str">
        <f>IF($B337="","",COUNTIF(Oct[Resident Name],$B337))</f>
        <v/>
      </c>
      <c r="M337" s="265" t="str">
        <f>IF($B337="","",COUNTIF(Nov[Resident Name],$B337))</f>
        <v/>
      </c>
      <c r="N337" s="265" t="str">
        <f>IF($B337="","",COUNTIF(Dec[Resident Name],$B337))</f>
        <v/>
      </c>
      <c r="O337" s="265" t="str">
        <f t="shared" si="11"/>
        <v/>
      </c>
      <c r="P337" s="11"/>
      <c r="R337" s="160" t="str">
        <f>IFERROR(INDEX($B$5:$B$172,MATCH(ROWS($R$5:R337),$X$5:$X$172,0)),"")</f>
        <v/>
      </c>
      <c r="S337" s="76" t="str">
        <f>IF($R337="","",INDEX($O$5:$O$172,MATCH(ROWS($R$5:R337),$X$5:$X$172,0)))</f>
        <v/>
      </c>
      <c r="U337" s="160" t="str">
        <f>IFERROR(INDEX($Z$5:$Z$448,MATCH(ROWS($U$5:U337),$AA$5:$AA$448,0)),"")</f>
        <v/>
      </c>
      <c r="V337" s="274" t="str">
        <f>IF(Sept!C40="","",Sept!C40)</f>
        <v/>
      </c>
      <c r="W337" s="274" t="str" cm="1">
        <f t="array" ref="W337">IF(V337="","",IF(COUNTIF($V$5:V337,V337)&gt;1,"",ROUND(1+SUMPRODUCT(($V$5:$V$448&lt;&gt;"")*($V$5:$V$448&lt;V337)/COUNTIF($V$5:$V$448,$V$5:$V$448&amp;"")),0)))</f>
        <v/>
      </c>
      <c r="X337" s="274"/>
      <c r="Z337" s="274" t="str">
        <f>IF(Sept!H40="Major Injury",Sept!C40,"")</f>
        <v/>
      </c>
      <c r="AA337" s="274" t="str" cm="1">
        <f t="array" ref="AA337">IF(Z337="","",IF(COUNTIF($Z$5:Z337,Z337)&gt;1,"",ROUND(1+SUMPRODUCT(($Z$5:$Z$448&lt;&gt;"")*($Z$5:$Z$448&lt;Z337)/COUNTIF($Z$5:$Z$448,$Z$5:$Z$448&amp;"")),0)))</f>
        <v/>
      </c>
    </row>
    <row r="338" spans="2:27" x14ac:dyDescent="0.25">
      <c r="B338" s="160" t="str">
        <f>IFERROR(INDEX($V$5:$V$448,MATCH(ROWS($B$5:B338),$W$5:$W$448,0)),"")</f>
        <v/>
      </c>
      <c r="C338" s="265" t="str">
        <f>IF($B338="","",COUNTIF(Jan[Resident Name],$B338))</f>
        <v/>
      </c>
      <c r="D338" s="265" t="str">
        <f>IF($B338="","",COUNTIF(Feb[Resident Name],$B338))</f>
        <v/>
      </c>
      <c r="E338" s="265" t="str">
        <f>IF($B338="","",COUNTIF(Mar[Resident Name],$B338))</f>
        <v/>
      </c>
      <c r="F338" s="265" t="str">
        <f>IF($B338="","",COUNTIF(Apr[Resident Name],$B338))</f>
        <v/>
      </c>
      <c r="G338" s="265" t="str">
        <f>IF($B338="","",COUNTIF(May[Resident Name],$B338))</f>
        <v/>
      </c>
      <c r="H338" s="265" t="str">
        <f>IF($B338="","",COUNTIF(June[Resident Name],$B338))</f>
        <v/>
      </c>
      <c r="I338" s="265" t="str">
        <f>IF($B338="","",COUNTIF(July[Resident Name],$B338))</f>
        <v/>
      </c>
      <c r="J338" s="265" t="str">
        <f>IF($B338="","",COUNTIF(Aug[Resident Name],$B338))</f>
        <v/>
      </c>
      <c r="K338" s="265" t="str">
        <f>IF($B338="","",COUNTIF(Sept[Resident Name],$B338))</f>
        <v/>
      </c>
      <c r="L338" s="265" t="str">
        <f>IF($B338="","",COUNTIF(Oct[Resident Name],$B338))</f>
        <v/>
      </c>
      <c r="M338" s="265" t="str">
        <f>IF($B338="","",COUNTIF(Nov[Resident Name],$B338))</f>
        <v/>
      </c>
      <c r="N338" s="265" t="str">
        <f>IF($B338="","",COUNTIF(Dec[Resident Name],$B338))</f>
        <v/>
      </c>
      <c r="O338" s="265" t="str">
        <f t="shared" si="11"/>
        <v/>
      </c>
      <c r="P338" s="11"/>
      <c r="R338" s="160" t="str">
        <f>IFERROR(INDEX($B$5:$B$172,MATCH(ROWS($R$5:R338),$X$5:$X$172,0)),"")</f>
        <v/>
      </c>
      <c r="S338" s="76" t="str">
        <f>IF($R338="","",INDEX($O$5:$O$172,MATCH(ROWS($R$5:R338),$X$5:$X$172,0)))</f>
        <v/>
      </c>
      <c r="U338" s="160" t="str">
        <f>IFERROR(INDEX($Z$5:$Z$448,MATCH(ROWS($U$5:U338),$AA$5:$AA$448,0)),"")</f>
        <v/>
      </c>
      <c r="V338" s="274" t="str">
        <f>IF(Oct!C4="","",Oct!C4)</f>
        <v/>
      </c>
      <c r="W338" s="274" t="str" cm="1">
        <f t="array" ref="W338">IF(V338="","",IF(COUNTIF($V$5:V338,V338)&gt;1,"",ROUND(1+SUMPRODUCT(($V$5:$V$448&lt;&gt;"")*($V$5:$V$448&lt;V338)/COUNTIF($V$5:$V$448,$V$5:$V$448&amp;"")),0)))</f>
        <v/>
      </c>
      <c r="X338" s="274"/>
      <c r="Z338" s="274" t="str">
        <f>IF(Oct!H4="Major Injury",Oct!C4,"")</f>
        <v/>
      </c>
      <c r="AA338" s="274" t="str" cm="1">
        <f t="array" ref="AA338">IF(Z338="","",IF(COUNTIF($Z$5:Z338,Z338)&gt;1,"",ROUND(1+SUMPRODUCT(($Z$5:$Z$448&lt;&gt;"")*($Z$5:$Z$448&lt;Z338)/COUNTIF($Z$5:$Z$448,$Z$5:$Z$448&amp;"")),0)))</f>
        <v/>
      </c>
    </row>
    <row r="339" spans="2:27" x14ac:dyDescent="0.25">
      <c r="B339" s="160" t="str">
        <f>IFERROR(INDEX($V$5:$V$448,MATCH(ROWS($B$5:B339),$W$5:$W$448,0)),"")</f>
        <v/>
      </c>
      <c r="C339" s="265" t="str">
        <f>IF($B339="","",COUNTIF(Jan[Resident Name],$B339))</f>
        <v/>
      </c>
      <c r="D339" s="265" t="str">
        <f>IF($B339="","",COUNTIF(Feb[Resident Name],$B339))</f>
        <v/>
      </c>
      <c r="E339" s="265" t="str">
        <f>IF($B339="","",COUNTIF(Mar[Resident Name],$B339))</f>
        <v/>
      </c>
      <c r="F339" s="265" t="str">
        <f>IF($B339="","",COUNTIF(Apr[Resident Name],$B339))</f>
        <v/>
      </c>
      <c r="G339" s="265" t="str">
        <f>IF($B339="","",COUNTIF(May[Resident Name],$B339))</f>
        <v/>
      </c>
      <c r="H339" s="265" t="str">
        <f>IF($B339="","",COUNTIF(June[Resident Name],$B339))</f>
        <v/>
      </c>
      <c r="I339" s="265" t="str">
        <f>IF($B339="","",COUNTIF(July[Resident Name],$B339))</f>
        <v/>
      </c>
      <c r="J339" s="265" t="str">
        <f>IF($B339="","",COUNTIF(Aug[Resident Name],$B339))</f>
        <v/>
      </c>
      <c r="K339" s="265" t="str">
        <f>IF($B339="","",COUNTIF(Sept[Resident Name],$B339))</f>
        <v/>
      </c>
      <c r="L339" s="265" t="str">
        <f>IF($B339="","",COUNTIF(Oct[Resident Name],$B339))</f>
        <v/>
      </c>
      <c r="M339" s="265" t="str">
        <f>IF($B339="","",COUNTIF(Nov[Resident Name],$B339))</f>
        <v/>
      </c>
      <c r="N339" s="265" t="str">
        <f>IF($B339="","",COUNTIF(Dec[Resident Name],$B339))</f>
        <v/>
      </c>
      <c r="O339" s="265" t="str">
        <f t="shared" si="11"/>
        <v/>
      </c>
      <c r="P339" s="11"/>
      <c r="R339" s="160" t="str">
        <f>IFERROR(INDEX($B$5:$B$172,MATCH(ROWS($R$5:R339),$X$5:$X$172,0)),"")</f>
        <v/>
      </c>
      <c r="S339" s="76" t="str">
        <f>IF($R339="","",INDEX($O$5:$O$172,MATCH(ROWS($R$5:R339),$X$5:$X$172,0)))</f>
        <v/>
      </c>
      <c r="U339" s="160" t="str">
        <f>IFERROR(INDEX($Z$5:$Z$448,MATCH(ROWS($U$5:U339),$AA$5:$AA$448,0)),"")</f>
        <v/>
      </c>
      <c r="V339" s="274" t="str">
        <f>IF(Oct!C5="","",Oct!C5)</f>
        <v/>
      </c>
      <c r="W339" s="274" t="str" cm="1">
        <f t="array" ref="W339">IF(V339="","",IF(COUNTIF($V$5:V339,V339)&gt;1,"",ROUND(1+SUMPRODUCT(($V$5:$V$448&lt;&gt;"")*($V$5:$V$448&lt;V339)/COUNTIF($V$5:$V$448,$V$5:$V$448&amp;"")),0)))</f>
        <v/>
      </c>
      <c r="X339" s="274"/>
      <c r="Z339" s="274" t="str">
        <f>IF(Oct!H5="Major Injury",Oct!C5,"")</f>
        <v/>
      </c>
      <c r="AA339" s="274" t="str" cm="1">
        <f t="array" ref="AA339">IF(Z339="","",IF(COUNTIF($Z$5:Z339,Z339)&gt;1,"",ROUND(1+SUMPRODUCT(($Z$5:$Z$448&lt;&gt;"")*($Z$5:$Z$448&lt;Z339)/COUNTIF($Z$5:$Z$448,$Z$5:$Z$448&amp;"")),0)))</f>
        <v/>
      </c>
    </row>
    <row r="340" spans="2:27" x14ac:dyDescent="0.25">
      <c r="B340" s="160" t="str">
        <f>IFERROR(INDEX($V$5:$V$448,MATCH(ROWS($B$5:B340),$W$5:$W$448,0)),"")</f>
        <v/>
      </c>
      <c r="C340" s="265" t="str">
        <f>IF($B340="","",COUNTIF(Jan[Resident Name],$B340))</f>
        <v/>
      </c>
      <c r="D340" s="265" t="str">
        <f>IF($B340="","",COUNTIF(Feb[Resident Name],$B340))</f>
        <v/>
      </c>
      <c r="E340" s="265" t="str">
        <f>IF($B340="","",COUNTIF(Mar[Resident Name],$B340))</f>
        <v/>
      </c>
      <c r="F340" s="265" t="str">
        <f>IF($B340="","",COUNTIF(Apr[Resident Name],$B340))</f>
        <v/>
      </c>
      <c r="G340" s="265" t="str">
        <f>IF($B340="","",COUNTIF(May[Resident Name],$B340))</f>
        <v/>
      </c>
      <c r="H340" s="265" t="str">
        <f>IF($B340="","",COUNTIF(June[Resident Name],$B340))</f>
        <v/>
      </c>
      <c r="I340" s="265" t="str">
        <f>IF($B340="","",COUNTIF(July[Resident Name],$B340))</f>
        <v/>
      </c>
      <c r="J340" s="265" t="str">
        <f>IF($B340="","",COUNTIF(Aug[Resident Name],$B340))</f>
        <v/>
      </c>
      <c r="K340" s="265" t="str">
        <f>IF($B340="","",COUNTIF(Sept[Resident Name],$B340))</f>
        <v/>
      </c>
      <c r="L340" s="265" t="str">
        <f>IF($B340="","",COUNTIF(Oct[Resident Name],$B340))</f>
        <v/>
      </c>
      <c r="M340" s="265" t="str">
        <f>IF($B340="","",COUNTIF(Nov[Resident Name],$B340))</f>
        <v/>
      </c>
      <c r="N340" s="265" t="str">
        <f>IF($B340="","",COUNTIF(Dec[Resident Name],$B340))</f>
        <v/>
      </c>
      <c r="O340" s="265" t="str">
        <f t="shared" si="11"/>
        <v/>
      </c>
      <c r="P340" s="11"/>
      <c r="R340" s="160" t="str">
        <f>IFERROR(INDEX($B$5:$B$172,MATCH(ROWS($R$5:R340),$X$5:$X$172,0)),"")</f>
        <v/>
      </c>
      <c r="S340" s="76" t="str">
        <f>IF($R340="","",INDEX($O$5:$O$172,MATCH(ROWS($R$5:R340),$X$5:$X$172,0)))</f>
        <v/>
      </c>
      <c r="U340" s="160" t="str">
        <f>IFERROR(INDEX($Z$5:$Z$448,MATCH(ROWS($U$5:U340),$AA$5:$AA$448,0)),"")</f>
        <v/>
      </c>
      <c r="V340" s="274" t="str">
        <f>IF(Oct!C6="","",Oct!C6)</f>
        <v/>
      </c>
      <c r="W340" s="274" t="str" cm="1">
        <f t="array" ref="W340">IF(V340="","",IF(COUNTIF($V$5:V340,V340)&gt;1,"",ROUND(1+SUMPRODUCT(($V$5:$V$448&lt;&gt;"")*($V$5:$V$448&lt;V340)/COUNTIF($V$5:$V$448,$V$5:$V$448&amp;"")),0)))</f>
        <v/>
      </c>
      <c r="X340" s="274"/>
      <c r="Z340" s="274" t="str">
        <f>IF(Oct!H6="Major Injury",Oct!C6,"")</f>
        <v/>
      </c>
      <c r="AA340" s="274" t="str" cm="1">
        <f t="array" ref="AA340">IF(Z340="","",IF(COUNTIF($Z$5:Z340,Z340)&gt;1,"",ROUND(1+SUMPRODUCT(($Z$5:$Z$448&lt;&gt;"")*($Z$5:$Z$448&lt;Z340)/COUNTIF($Z$5:$Z$448,$Z$5:$Z$448&amp;"")),0)))</f>
        <v/>
      </c>
    </row>
    <row r="341" spans="2:27" x14ac:dyDescent="0.25">
      <c r="B341" s="160" t="str">
        <f>IFERROR(INDEX($V$5:$V$448,MATCH(ROWS($B$5:B341),$W$5:$W$448,0)),"")</f>
        <v/>
      </c>
      <c r="C341" s="265" t="str">
        <f>IF($B341="","",COUNTIF(Jan[Resident Name],$B341))</f>
        <v/>
      </c>
      <c r="D341" s="265" t="str">
        <f>IF($B341="","",COUNTIF(Feb[Resident Name],$B341))</f>
        <v/>
      </c>
      <c r="E341" s="265" t="str">
        <f>IF($B341="","",COUNTIF(Mar[Resident Name],$B341))</f>
        <v/>
      </c>
      <c r="F341" s="265" t="str">
        <f>IF($B341="","",COUNTIF(Apr[Resident Name],$B341))</f>
        <v/>
      </c>
      <c r="G341" s="265" t="str">
        <f>IF($B341="","",COUNTIF(May[Resident Name],$B341))</f>
        <v/>
      </c>
      <c r="H341" s="265" t="str">
        <f>IF($B341="","",COUNTIF(June[Resident Name],$B341))</f>
        <v/>
      </c>
      <c r="I341" s="265" t="str">
        <f>IF($B341="","",COUNTIF(July[Resident Name],$B341))</f>
        <v/>
      </c>
      <c r="J341" s="265" t="str">
        <f>IF($B341="","",COUNTIF(Aug[Resident Name],$B341))</f>
        <v/>
      </c>
      <c r="K341" s="265" t="str">
        <f>IF($B341="","",COUNTIF(Sept[Resident Name],$B341))</f>
        <v/>
      </c>
      <c r="L341" s="265" t="str">
        <f>IF($B341="","",COUNTIF(Oct[Resident Name],$B341))</f>
        <v/>
      </c>
      <c r="M341" s="265" t="str">
        <f>IF($B341="","",COUNTIF(Nov[Resident Name],$B341))</f>
        <v/>
      </c>
      <c r="N341" s="265" t="str">
        <f>IF($B341="","",COUNTIF(Dec[Resident Name],$B341))</f>
        <v/>
      </c>
      <c r="O341" s="265" t="str">
        <f t="shared" si="11"/>
        <v/>
      </c>
      <c r="P341" s="11"/>
      <c r="R341" s="160" t="str">
        <f>IFERROR(INDEX($B$5:$B$172,MATCH(ROWS($R$5:R341),$X$5:$X$172,0)),"")</f>
        <v/>
      </c>
      <c r="S341" s="76" t="str">
        <f>IF($R341="","",INDEX($O$5:$O$172,MATCH(ROWS($R$5:R341),$X$5:$X$172,0)))</f>
        <v/>
      </c>
      <c r="U341" s="160" t="str">
        <f>IFERROR(INDEX($Z$5:$Z$448,MATCH(ROWS($U$5:U341),$AA$5:$AA$448,0)),"")</f>
        <v/>
      </c>
      <c r="V341" s="274" t="str">
        <f>IF(Oct!C7="","",Oct!C7)</f>
        <v/>
      </c>
      <c r="W341" s="274" t="str" cm="1">
        <f t="array" ref="W341">IF(V341="","",IF(COUNTIF($V$5:V341,V341)&gt;1,"",ROUND(1+SUMPRODUCT(($V$5:$V$448&lt;&gt;"")*($V$5:$V$448&lt;V341)/COUNTIF($V$5:$V$448,$V$5:$V$448&amp;"")),0)))</f>
        <v/>
      </c>
      <c r="X341" s="274"/>
      <c r="Z341" s="274" t="str">
        <f>IF(Oct!H7="Major Injury",Oct!C7,"")</f>
        <v/>
      </c>
      <c r="AA341" s="274" t="str" cm="1">
        <f t="array" ref="AA341">IF(Z341="","",IF(COUNTIF($Z$5:Z341,Z341)&gt;1,"",ROUND(1+SUMPRODUCT(($Z$5:$Z$448&lt;&gt;"")*($Z$5:$Z$448&lt;Z341)/COUNTIF($Z$5:$Z$448,$Z$5:$Z$448&amp;"")),0)))</f>
        <v/>
      </c>
    </row>
    <row r="342" spans="2:27" x14ac:dyDescent="0.25">
      <c r="B342" s="160" t="str">
        <f>IFERROR(INDEX($V$5:$V$448,MATCH(ROWS($B$5:B342),$W$5:$W$448,0)),"")</f>
        <v/>
      </c>
      <c r="C342" s="265" t="str">
        <f>IF($B342="","",COUNTIF(Jan[Resident Name],$B342))</f>
        <v/>
      </c>
      <c r="D342" s="265" t="str">
        <f>IF($B342="","",COUNTIF(Feb[Resident Name],$B342))</f>
        <v/>
      </c>
      <c r="E342" s="265" t="str">
        <f>IF($B342="","",COUNTIF(Mar[Resident Name],$B342))</f>
        <v/>
      </c>
      <c r="F342" s="265" t="str">
        <f>IF($B342="","",COUNTIF(Apr[Resident Name],$B342))</f>
        <v/>
      </c>
      <c r="G342" s="265" t="str">
        <f>IF($B342="","",COUNTIF(May[Resident Name],$B342))</f>
        <v/>
      </c>
      <c r="H342" s="265" t="str">
        <f>IF($B342="","",COUNTIF(June[Resident Name],$B342))</f>
        <v/>
      </c>
      <c r="I342" s="265" t="str">
        <f>IF($B342="","",COUNTIF(July[Resident Name],$B342))</f>
        <v/>
      </c>
      <c r="J342" s="265" t="str">
        <f>IF($B342="","",COUNTIF(Aug[Resident Name],$B342))</f>
        <v/>
      </c>
      <c r="K342" s="265" t="str">
        <f>IF($B342="","",COUNTIF(Sept[Resident Name],$B342))</f>
        <v/>
      </c>
      <c r="L342" s="265" t="str">
        <f>IF($B342="","",COUNTIF(Oct[Resident Name],$B342))</f>
        <v/>
      </c>
      <c r="M342" s="265" t="str">
        <f>IF($B342="","",COUNTIF(Nov[Resident Name],$B342))</f>
        <v/>
      </c>
      <c r="N342" s="265" t="str">
        <f>IF($B342="","",COUNTIF(Dec[Resident Name],$B342))</f>
        <v/>
      </c>
      <c r="O342" s="265" t="str">
        <f t="shared" si="11"/>
        <v/>
      </c>
      <c r="P342" s="11"/>
      <c r="R342" s="160" t="str">
        <f>IFERROR(INDEX($B$5:$B$172,MATCH(ROWS($R$5:R342),$X$5:$X$172,0)),"")</f>
        <v/>
      </c>
      <c r="S342" s="76" t="str">
        <f>IF($R342="","",INDEX($O$5:$O$172,MATCH(ROWS($R$5:R342),$X$5:$X$172,0)))</f>
        <v/>
      </c>
      <c r="U342" s="160" t="str">
        <f>IFERROR(INDEX($Z$5:$Z$448,MATCH(ROWS($U$5:U342),$AA$5:$AA$448,0)),"")</f>
        <v/>
      </c>
      <c r="V342" s="274" t="str">
        <f>IF(Oct!C8="","",Oct!C8)</f>
        <v/>
      </c>
      <c r="W342" s="274" t="str" cm="1">
        <f t="array" ref="W342">IF(V342="","",IF(COUNTIF($V$5:V342,V342)&gt;1,"",ROUND(1+SUMPRODUCT(($V$5:$V$448&lt;&gt;"")*($V$5:$V$448&lt;V342)/COUNTIF($V$5:$V$448,$V$5:$V$448&amp;"")),0)))</f>
        <v/>
      </c>
      <c r="X342" s="274"/>
      <c r="Z342" s="274" t="str">
        <f>IF(Oct!H8="Major Injury",Oct!C8,"")</f>
        <v/>
      </c>
      <c r="AA342" s="274" t="str" cm="1">
        <f t="array" ref="AA342">IF(Z342="","",IF(COUNTIF($Z$5:Z342,Z342)&gt;1,"",ROUND(1+SUMPRODUCT(($Z$5:$Z$448&lt;&gt;"")*($Z$5:$Z$448&lt;Z342)/COUNTIF($Z$5:$Z$448,$Z$5:$Z$448&amp;"")),0)))</f>
        <v/>
      </c>
    </row>
    <row r="343" spans="2:27" x14ac:dyDescent="0.25">
      <c r="B343" s="160" t="str">
        <f>IFERROR(INDEX($V$5:$V$448,MATCH(ROWS($B$5:B343),$W$5:$W$448,0)),"")</f>
        <v/>
      </c>
      <c r="C343" s="265" t="str">
        <f>IF($B343="","",COUNTIF(Jan[Resident Name],$B343))</f>
        <v/>
      </c>
      <c r="D343" s="265" t="str">
        <f>IF($B343="","",COUNTIF(Feb[Resident Name],$B343))</f>
        <v/>
      </c>
      <c r="E343" s="265" t="str">
        <f>IF($B343="","",COUNTIF(Mar[Resident Name],$B343))</f>
        <v/>
      </c>
      <c r="F343" s="265" t="str">
        <f>IF($B343="","",COUNTIF(Apr[Resident Name],$B343))</f>
        <v/>
      </c>
      <c r="G343" s="265" t="str">
        <f>IF($B343="","",COUNTIF(May[Resident Name],$B343))</f>
        <v/>
      </c>
      <c r="H343" s="265" t="str">
        <f>IF($B343="","",COUNTIF(June[Resident Name],$B343))</f>
        <v/>
      </c>
      <c r="I343" s="265" t="str">
        <f>IF($B343="","",COUNTIF(July[Resident Name],$B343))</f>
        <v/>
      </c>
      <c r="J343" s="265" t="str">
        <f>IF($B343="","",COUNTIF(Aug[Resident Name],$B343))</f>
        <v/>
      </c>
      <c r="K343" s="265" t="str">
        <f>IF($B343="","",COUNTIF(Sept[Resident Name],$B343))</f>
        <v/>
      </c>
      <c r="L343" s="265" t="str">
        <f>IF($B343="","",COUNTIF(Oct[Resident Name],$B343))</f>
        <v/>
      </c>
      <c r="M343" s="265" t="str">
        <f>IF($B343="","",COUNTIF(Nov[Resident Name],$B343))</f>
        <v/>
      </c>
      <c r="N343" s="265" t="str">
        <f>IF($B343="","",COUNTIF(Dec[Resident Name],$B343))</f>
        <v/>
      </c>
      <c r="O343" s="265" t="str">
        <f t="shared" si="11"/>
        <v/>
      </c>
      <c r="P343" s="11"/>
      <c r="R343" s="160" t="str">
        <f>IFERROR(INDEX($B$5:$B$172,MATCH(ROWS($R$5:R343),$X$5:$X$172,0)),"")</f>
        <v/>
      </c>
      <c r="S343" s="76" t="str">
        <f>IF($R343="","",INDEX($O$5:$O$172,MATCH(ROWS($R$5:R343),$X$5:$X$172,0)))</f>
        <v/>
      </c>
      <c r="U343" s="160" t="str">
        <f>IFERROR(INDEX($Z$5:$Z$448,MATCH(ROWS($U$5:U343),$AA$5:$AA$448,0)),"")</f>
        <v/>
      </c>
      <c r="V343" s="274" t="str">
        <f>IF(Oct!C9="","",Oct!C9)</f>
        <v/>
      </c>
      <c r="W343" s="274" t="str" cm="1">
        <f t="array" ref="W343">IF(V343="","",IF(COUNTIF($V$5:V343,V343)&gt;1,"",ROUND(1+SUMPRODUCT(($V$5:$V$448&lt;&gt;"")*($V$5:$V$448&lt;V343)/COUNTIF($V$5:$V$448,$V$5:$V$448&amp;"")),0)))</f>
        <v/>
      </c>
      <c r="X343" s="274"/>
      <c r="Z343" s="274" t="str">
        <f>IF(Oct!H9="Major Injury",Oct!C9,"")</f>
        <v/>
      </c>
      <c r="AA343" s="274" t="str" cm="1">
        <f t="array" ref="AA343">IF(Z343="","",IF(COUNTIF($Z$5:Z343,Z343)&gt;1,"",ROUND(1+SUMPRODUCT(($Z$5:$Z$448&lt;&gt;"")*($Z$5:$Z$448&lt;Z343)/COUNTIF($Z$5:$Z$448,$Z$5:$Z$448&amp;"")),0)))</f>
        <v/>
      </c>
    </row>
    <row r="344" spans="2:27" x14ac:dyDescent="0.25">
      <c r="B344" s="160" t="str">
        <f>IFERROR(INDEX($V$5:$V$448,MATCH(ROWS($B$5:B344),$W$5:$W$448,0)),"")</f>
        <v/>
      </c>
      <c r="C344" s="265" t="str">
        <f>IF($B344="","",COUNTIF(Jan[Resident Name],$B344))</f>
        <v/>
      </c>
      <c r="D344" s="265" t="str">
        <f>IF($B344="","",COUNTIF(Feb[Resident Name],$B344))</f>
        <v/>
      </c>
      <c r="E344" s="265" t="str">
        <f>IF($B344="","",COUNTIF(Mar[Resident Name],$B344))</f>
        <v/>
      </c>
      <c r="F344" s="265" t="str">
        <f>IF($B344="","",COUNTIF(Apr[Resident Name],$B344))</f>
        <v/>
      </c>
      <c r="G344" s="265" t="str">
        <f>IF($B344="","",COUNTIF(May[Resident Name],$B344))</f>
        <v/>
      </c>
      <c r="H344" s="265" t="str">
        <f>IF($B344="","",COUNTIF(June[Resident Name],$B344))</f>
        <v/>
      </c>
      <c r="I344" s="265" t="str">
        <f>IF($B344="","",COUNTIF(July[Resident Name],$B344))</f>
        <v/>
      </c>
      <c r="J344" s="265" t="str">
        <f>IF($B344="","",COUNTIF(Aug[Resident Name],$B344))</f>
        <v/>
      </c>
      <c r="K344" s="265" t="str">
        <f>IF($B344="","",COUNTIF(Sept[Resident Name],$B344))</f>
        <v/>
      </c>
      <c r="L344" s="265" t="str">
        <f>IF($B344="","",COUNTIF(Oct[Resident Name],$B344))</f>
        <v/>
      </c>
      <c r="M344" s="265" t="str">
        <f>IF($B344="","",COUNTIF(Nov[Resident Name],$B344))</f>
        <v/>
      </c>
      <c r="N344" s="265" t="str">
        <f>IF($B344="","",COUNTIF(Dec[Resident Name],$B344))</f>
        <v/>
      </c>
      <c r="O344" s="265" t="str">
        <f t="shared" si="11"/>
        <v/>
      </c>
      <c r="P344" s="11"/>
      <c r="R344" s="160" t="str">
        <f>IFERROR(INDEX($B$5:$B$172,MATCH(ROWS($R$5:R344),$X$5:$X$172,0)),"")</f>
        <v/>
      </c>
      <c r="S344" s="76" t="str">
        <f>IF($R344="","",INDEX($O$5:$O$172,MATCH(ROWS($R$5:R344),$X$5:$X$172,0)))</f>
        <v/>
      </c>
      <c r="U344" s="160" t="str">
        <f>IFERROR(INDEX($Z$5:$Z$448,MATCH(ROWS($U$5:U344),$AA$5:$AA$448,0)),"")</f>
        <v/>
      </c>
      <c r="V344" s="274" t="str">
        <f>IF(Oct!C10="","",Oct!C10)</f>
        <v/>
      </c>
      <c r="W344" s="274" t="str" cm="1">
        <f t="array" ref="W344">IF(V344="","",IF(COUNTIF($V$5:V344,V344)&gt;1,"",ROUND(1+SUMPRODUCT(($V$5:$V$448&lt;&gt;"")*($V$5:$V$448&lt;V344)/COUNTIF($V$5:$V$448,$V$5:$V$448&amp;"")),0)))</f>
        <v/>
      </c>
      <c r="X344" s="274"/>
      <c r="Z344" s="274" t="str">
        <f>IF(Oct!H10="Major Injury",Oct!C10,"")</f>
        <v/>
      </c>
      <c r="AA344" s="274" t="str" cm="1">
        <f t="array" ref="AA344">IF(Z344="","",IF(COUNTIF($Z$5:Z344,Z344)&gt;1,"",ROUND(1+SUMPRODUCT(($Z$5:$Z$448&lt;&gt;"")*($Z$5:$Z$448&lt;Z344)/COUNTIF($Z$5:$Z$448,$Z$5:$Z$448&amp;"")),0)))</f>
        <v/>
      </c>
    </row>
    <row r="345" spans="2:27" x14ac:dyDescent="0.25">
      <c r="B345" s="160" t="str">
        <f>IFERROR(INDEX($V$5:$V$448,MATCH(ROWS($B$5:B345),$W$5:$W$448,0)),"")</f>
        <v/>
      </c>
      <c r="C345" s="265" t="str">
        <f>IF($B345="","",COUNTIF(Jan[Resident Name],$B345))</f>
        <v/>
      </c>
      <c r="D345" s="265" t="str">
        <f>IF($B345="","",COUNTIF(Feb[Resident Name],$B345))</f>
        <v/>
      </c>
      <c r="E345" s="265" t="str">
        <f>IF($B345="","",COUNTIF(Mar[Resident Name],$B345))</f>
        <v/>
      </c>
      <c r="F345" s="265" t="str">
        <f>IF($B345="","",COUNTIF(Apr[Resident Name],$B345))</f>
        <v/>
      </c>
      <c r="G345" s="265" t="str">
        <f>IF($B345="","",COUNTIF(May[Resident Name],$B345))</f>
        <v/>
      </c>
      <c r="H345" s="265" t="str">
        <f>IF($B345="","",COUNTIF(June[Resident Name],$B345))</f>
        <v/>
      </c>
      <c r="I345" s="265" t="str">
        <f>IF($B345="","",COUNTIF(July[Resident Name],$B345))</f>
        <v/>
      </c>
      <c r="J345" s="265" t="str">
        <f>IF($B345="","",COUNTIF(Aug[Resident Name],$B345))</f>
        <v/>
      </c>
      <c r="K345" s="265" t="str">
        <f>IF($B345="","",COUNTIF(Sept[Resident Name],$B345))</f>
        <v/>
      </c>
      <c r="L345" s="265" t="str">
        <f>IF($B345="","",COUNTIF(Oct[Resident Name],$B345))</f>
        <v/>
      </c>
      <c r="M345" s="265" t="str">
        <f>IF($B345="","",COUNTIF(Nov[Resident Name],$B345))</f>
        <v/>
      </c>
      <c r="N345" s="265" t="str">
        <f>IF($B345="","",COUNTIF(Dec[Resident Name],$B345))</f>
        <v/>
      </c>
      <c r="O345" s="265" t="str">
        <f t="shared" si="11"/>
        <v/>
      </c>
      <c r="P345" s="11"/>
      <c r="R345" s="160" t="str">
        <f>IFERROR(INDEX($B$5:$B$172,MATCH(ROWS($R$5:R345),$X$5:$X$172,0)),"")</f>
        <v/>
      </c>
      <c r="S345" s="76" t="str">
        <f>IF($R345="","",INDEX($O$5:$O$172,MATCH(ROWS($R$5:R345),$X$5:$X$172,0)))</f>
        <v/>
      </c>
      <c r="U345" s="160" t="str">
        <f>IFERROR(INDEX($Z$5:$Z$448,MATCH(ROWS($U$5:U345),$AA$5:$AA$448,0)),"")</f>
        <v/>
      </c>
      <c r="V345" s="274" t="str">
        <f>IF(Oct!C11="","",Oct!C11)</f>
        <v/>
      </c>
      <c r="W345" s="274" t="str" cm="1">
        <f t="array" ref="W345">IF(V345="","",IF(COUNTIF($V$5:V345,V345)&gt;1,"",ROUND(1+SUMPRODUCT(($V$5:$V$448&lt;&gt;"")*($V$5:$V$448&lt;V345)/COUNTIF($V$5:$V$448,$V$5:$V$448&amp;"")),0)))</f>
        <v/>
      </c>
      <c r="X345" s="274"/>
      <c r="Z345" s="274" t="str">
        <f>IF(Oct!H11="Major Injury",Oct!C11,"")</f>
        <v/>
      </c>
      <c r="AA345" s="274" t="str" cm="1">
        <f t="array" ref="AA345">IF(Z345="","",IF(COUNTIF($Z$5:Z345,Z345)&gt;1,"",ROUND(1+SUMPRODUCT(($Z$5:$Z$448&lt;&gt;"")*($Z$5:$Z$448&lt;Z345)/COUNTIF($Z$5:$Z$448,$Z$5:$Z$448&amp;"")),0)))</f>
        <v/>
      </c>
    </row>
    <row r="346" spans="2:27" x14ac:dyDescent="0.25">
      <c r="B346" s="160" t="str">
        <f>IFERROR(INDEX($V$5:$V$448,MATCH(ROWS($B$5:B346),$W$5:$W$448,0)),"")</f>
        <v/>
      </c>
      <c r="C346" s="265" t="str">
        <f>IF($B346="","",COUNTIF(Jan[Resident Name],$B346))</f>
        <v/>
      </c>
      <c r="D346" s="265" t="str">
        <f>IF($B346="","",COUNTIF(Feb[Resident Name],$B346))</f>
        <v/>
      </c>
      <c r="E346" s="265" t="str">
        <f>IF($B346="","",COUNTIF(Mar[Resident Name],$B346))</f>
        <v/>
      </c>
      <c r="F346" s="265" t="str">
        <f>IF($B346="","",COUNTIF(Apr[Resident Name],$B346))</f>
        <v/>
      </c>
      <c r="G346" s="265" t="str">
        <f>IF($B346="","",COUNTIF(May[Resident Name],$B346))</f>
        <v/>
      </c>
      <c r="H346" s="265" t="str">
        <f>IF($B346="","",COUNTIF(June[Resident Name],$B346))</f>
        <v/>
      </c>
      <c r="I346" s="265" t="str">
        <f>IF($B346="","",COUNTIF(July[Resident Name],$B346))</f>
        <v/>
      </c>
      <c r="J346" s="265" t="str">
        <f>IF($B346="","",COUNTIF(Aug[Resident Name],$B346))</f>
        <v/>
      </c>
      <c r="K346" s="265" t="str">
        <f>IF($B346="","",COUNTIF(Sept[Resident Name],$B346))</f>
        <v/>
      </c>
      <c r="L346" s="265" t="str">
        <f>IF($B346="","",COUNTIF(Oct[Resident Name],$B346))</f>
        <v/>
      </c>
      <c r="M346" s="265" t="str">
        <f>IF($B346="","",COUNTIF(Nov[Resident Name],$B346))</f>
        <v/>
      </c>
      <c r="N346" s="265" t="str">
        <f>IF($B346="","",COUNTIF(Dec[Resident Name],$B346))</f>
        <v/>
      </c>
      <c r="O346" s="265" t="str">
        <f t="shared" si="11"/>
        <v/>
      </c>
      <c r="P346" s="11"/>
      <c r="R346" s="160" t="str">
        <f>IFERROR(INDEX($B$5:$B$172,MATCH(ROWS($R$5:R346),$X$5:$X$172,0)),"")</f>
        <v/>
      </c>
      <c r="S346" s="76" t="str">
        <f>IF($R346="","",INDEX($O$5:$O$172,MATCH(ROWS($R$5:R346),$X$5:$X$172,0)))</f>
        <v/>
      </c>
      <c r="U346" s="160" t="str">
        <f>IFERROR(INDEX($Z$5:$Z$448,MATCH(ROWS($U$5:U346),$AA$5:$AA$448,0)),"")</f>
        <v/>
      </c>
      <c r="V346" s="274" t="str">
        <f>IF(Oct!C12="","",Oct!C12)</f>
        <v/>
      </c>
      <c r="W346" s="274" t="str" cm="1">
        <f t="array" ref="W346">IF(V346="","",IF(COUNTIF($V$5:V346,V346)&gt;1,"",ROUND(1+SUMPRODUCT(($V$5:$V$448&lt;&gt;"")*($V$5:$V$448&lt;V346)/COUNTIF($V$5:$V$448,$V$5:$V$448&amp;"")),0)))</f>
        <v/>
      </c>
      <c r="X346" s="274"/>
      <c r="Z346" s="274" t="str">
        <f>IF(Oct!H12="Major Injury",Oct!C12,"")</f>
        <v/>
      </c>
      <c r="AA346" s="274" t="str" cm="1">
        <f t="array" ref="AA346">IF(Z346="","",IF(COUNTIF($Z$5:Z346,Z346)&gt;1,"",ROUND(1+SUMPRODUCT(($Z$5:$Z$448&lt;&gt;"")*($Z$5:$Z$448&lt;Z346)/COUNTIF($Z$5:$Z$448,$Z$5:$Z$448&amp;"")),0)))</f>
        <v/>
      </c>
    </row>
    <row r="347" spans="2:27" x14ac:dyDescent="0.25">
      <c r="B347" s="160" t="str">
        <f>IFERROR(INDEX($V$5:$V$448,MATCH(ROWS($B$5:B347),$W$5:$W$448,0)),"")</f>
        <v/>
      </c>
      <c r="C347" s="265" t="str">
        <f>IF($B347="","",COUNTIF(Jan[Resident Name],$B347))</f>
        <v/>
      </c>
      <c r="D347" s="265" t="str">
        <f>IF($B347="","",COUNTIF(Feb[Resident Name],$B347))</f>
        <v/>
      </c>
      <c r="E347" s="265" t="str">
        <f>IF($B347="","",COUNTIF(Mar[Resident Name],$B347))</f>
        <v/>
      </c>
      <c r="F347" s="265" t="str">
        <f>IF($B347="","",COUNTIF(Apr[Resident Name],$B347))</f>
        <v/>
      </c>
      <c r="G347" s="265" t="str">
        <f>IF($B347="","",COUNTIF(May[Resident Name],$B347))</f>
        <v/>
      </c>
      <c r="H347" s="265" t="str">
        <f>IF($B347="","",COUNTIF(June[Resident Name],$B347))</f>
        <v/>
      </c>
      <c r="I347" s="265" t="str">
        <f>IF($B347="","",COUNTIF(July[Resident Name],$B347))</f>
        <v/>
      </c>
      <c r="J347" s="265" t="str">
        <f>IF($B347="","",COUNTIF(Aug[Resident Name],$B347))</f>
        <v/>
      </c>
      <c r="K347" s="265" t="str">
        <f>IF($B347="","",COUNTIF(Sept[Resident Name],$B347))</f>
        <v/>
      </c>
      <c r="L347" s="265" t="str">
        <f>IF($B347="","",COUNTIF(Oct[Resident Name],$B347))</f>
        <v/>
      </c>
      <c r="M347" s="265" t="str">
        <f>IF($B347="","",COUNTIF(Nov[Resident Name],$B347))</f>
        <v/>
      </c>
      <c r="N347" s="265" t="str">
        <f>IF($B347="","",COUNTIF(Dec[Resident Name],$B347))</f>
        <v/>
      </c>
      <c r="O347" s="265" t="str">
        <f t="shared" si="11"/>
        <v/>
      </c>
      <c r="P347" s="11"/>
      <c r="R347" s="160" t="str">
        <f>IFERROR(INDEX($B$5:$B$172,MATCH(ROWS($R$5:R347),$X$5:$X$172,0)),"")</f>
        <v/>
      </c>
      <c r="S347" s="76" t="str">
        <f>IF($R347="","",INDEX($O$5:$O$172,MATCH(ROWS($R$5:R347),$X$5:$X$172,0)))</f>
        <v/>
      </c>
      <c r="U347" s="160" t="str">
        <f>IFERROR(INDEX($Z$5:$Z$448,MATCH(ROWS($U$5:U347),$AA$5:$AA$448,0)),"")</f>
        <v/>
      </c>
      <c r="V347" s="274" t="str">
        <f>IF(Oct!C13="","",Oct!C13)</f>
        <v/>
      </c>
      <c r="W347" s="274" t="str" cm="1">
        <f t="array" ref="W347">IF(V347="","",IF(COUNTIF($V$5:V347,V347)&gt;1,"",ROUND(1+SUMPRODUCT(($V$5:$V$448&lt;&gt;"")*($V$5:$V$448&lt;V347)/COUNTIF($V$5:$V$448,$V$5:$V$448&amp;"")),0)))</f>
        <v/>
      </c>
      <c r="X347" s="274"/>
      <c r="Z347" s="274" t="str">
        <f>IF(Oct!H13="Major Injury",Oct!C13,"")</f>
        <v/>
      </c>
      <c r="AA347" s="274" t="str" cm="1">
        <f t="array" ref="AA347">IF(Z347="","",IF(COUNTIF($Z$5:Z347,Z347)&gt;1,"",ROUND(1+SUMPRODUCT(($Z$5:$Z$448&lt;&gt;"")*($Z$5:$Z$448&lt;Z347)/COUNTIF($Z$5:$Z$448,$Z$5:$Z$448&amp;"")),0)))</f>
        <v/>
      </c>
    </row>
    <row r="348" spans="2:27" x14ac:dyDescent="0.25">
      <c r="B348" s="160" t="str">
        <f>IFERROR(INDEX($V$5:$V$448,MATCH(ROWS($B$5:B348),$W$5:$W$448,0)),"")</f>
        <v/>
      </c>
      <c r="C348" s="265" t="str">
        <f>IF($B348="","",COUNTIF(Jan[Resident Name],$B348))</f>
        <v/>
      </c>
      <c r="D348" s="265" t="str">
        <f>IF($B348="","",COUNTIF(Feb[Resident Name],$B348))</f>
        <v/>
      </c>
      <c r="E348" s="265" t="str">
        <f>IF($B348="","",COUNTIF(Mar[Resident Name],$B348))</f>
        <v/>
      </c>
      <c r="F348" s="265" t="str">
        <f>IF($B348="","",COUNTIF(Apr[Resident Name],$B348))</f>
        <v/>
      </c>
      <c r="G348" s="265" t="str">
        <f>IF($B348="","",COUNTIF(May[Resident Name],$B348))</f>
        <v/>
      </c>
      <c r="H348" s="265" t="str">
        <f>IF($B348="","",COUNTIF(June[Resident Name],$B348))</f>
        <v/>
      </c>
      <c r="I348" s="265" t="str">
        <f>IF($B348="","",COUNTIF(July[Resident Name],$B348))</f>
        <v/>
      </c>
      <c r="J348" s="265" t="str">
        <f>IF($B348="","",COUNTIF(Aug[Resident Name],$B348))</f>
        <v/>
      </c>
      <c r="K348" s="265" t="str">
        <f>IF($B348="","",COUNTIF(Sept[Resident Name],$B348))</f>
        <v/>
      </c>
      <c r="L348" s="265" t="str">
        <f>IF($B348="","",COUNTIF(Oct[Resident Name],$B348))</f>
        <v/>
      </c>
      <c r="M348" s="265" t="str">
        <f>IF($B348="","",COUNTIF(Nov[Resident Name],$B348))</f>
        <v/>
      </c>
      <c r="N348" s="265" t="str">
        <f>IF($B348="","",COUNTIF(Dec[Resident Name],$B348))</f>
        <v/>
      </c>
      <c r="O348" s="265" t="str">
        <f t="shared" si="11"/>
        <v/>
      </c>
      <c r="P348" s="11"/>
      <c r="R348" s="160" t="str">
        <f>IFERROR(INDEX($B$5:$B$172,MATCH(ROWS($R$5:R348),$X$5:$X$172,0)),"")</f>
        <v/>
      </c>
      <c r="S348" s="76" t="str">
        <f>IF($R348="","",INDEX($O$5:$O$172,MATCH(ROWS($R$5:R348),$X$5:$X$172,0)))</f>
        <v/>
      </c>
      <c r="U348" s="160" t="str">
        <f>IFERROR(INDEX($Z$5:$Z$448,MATCH(ROWS($U$5:U348),$AA$5:$AA$448,0)),"")</f>
        <v/>
      </c>
      <c r="V348" s="274" t="str">
        <f>IF(Oct!C14="","",Oct!C14)</f>
        <v/>
      </c>
      <c r="W348" s="274" t="str" cm="1">
        <f t="array" ref="W348">IF(V348="","",IF(COUNTIF($V$5:V348,V348)&gt;1,"",ROUND(1+SUMPRODUCT(($V$5:$V$448&lt;&gt;"")*($V$5:$V$448&lt;V348)/COUNTIF($V$5:$V$448,$V$5:$V$448&amp;"")),0)))</f>
        <v/>
      </c>
      <c r="X348" s="274"/>
      <c r="Z348" s="274" t="str">
        <f>IF(Oct!H14="Major Injury",Oct!C14,"")</f>
        <v/>
      </c>
      <c r="AA348" s="274" t="str" cm="1">
        <f t="array" ref="AA348">IF(Z348="","",IF(COUNTIF($Z$5:Z348,Z348)&gt;1,"",ROUND(1+SUMPRODUCT(($Z$5:$Z$448&lt;&gt;"")*($Z$5:$Z$448&lt;Z348)/COUNTIF($Z$5:$Z$448,$Z$5:$Z$448&amp;"")),0)))</f>
        <v/>
      </c>
    </row>
    <row r="349" spans="2:27" x14ac:dyDescent="0.25">
      <c r="B349" s="160" t="str">
        <f>IFERROR(INDEX($V$5:$V$448,MATCH(ROWS($B$5:B349),$W$5:$W$448,0)),"")</f>
        <v/>
      </c>
      <c r="C349" s="265" t="str">
        <f>IF($B349="","",COUNTIF(Jan[Resident Name],$B349))</f>
        <v/>
      </c>
      <c r="D349" s="265" t="str">
        <f>IF($B349="","",COUNTIF(Feb[Resident Name],$B349))</f>
        <v/>
      </c>
      <c r="E349" s="265" t="str">
        <f>IF($B349="","",COUNTIF(Mar[Resident Name],$B349))</f>
        <v/>
      </c>
      <c r="F349" s="265" t="str">
        <f>IF($B349="","",COUNTIF(Apr[Resident Name],$B349))</f>
        <v/>
      </c>
      <c r="G349" s="265" t="str">
        <f>IF($B349="","",COUNTIF(May[Resident Name],$B349))</f>
        <v/>
      </c>
      <c r="H349" s="265" t="str">
        <f>IF($B349="","",COUNTIF(June[Resident Name],$B349))</f>
        <v/>
      </c>
      <c r="I349" s="265" t="str">
        <f>IF($B349="","",COUNTIF(July[Resident Name],$B349))</f>
        <v/>
      </c>
      <c r="J349" s="265" t="str">
        <f>IF($B349="","",COUNTIF(Aug[Resident Name],$B349))</f>
        <v/>
      </c>
      <c r="K349" s="265" t="str">
        <f>IF($B349="","",COUNTIF(Sept[Resident Name],$B349))</f>
        <v/>
      </c>
      <c r="L349" s="265" t="str">
        <f>IF($B349="","",COUNTIF(Oct[Resident Name],$B349))</f>
        <v/>
      </c>
      <c r="M349" s="265" t="str">
        <f>IF($B349="","",COUNTIF(Nov[Resident Name],$B349))</f>
        <v/>
      </c>
      <c r="N349" s="265" t="str">
        <f>IF($B349="","",COUNTIF(Dec[Resident Name],$B349))</f>
        <v/>
      </c>
      <c r="O349" s="265" t="str">
        <f t="shared" si="11"/>
        <v/>
      </c>
      <c r="P349" s="11"/>
      <c r="R349" s="160" t="str">
        <f>IFERROR(INDEX($B$5:$B$172,MATCH(ROWS($R$5:R349),$X$5:$X$172,0)),"")</f>
        <v/>
      </c>
      <c r="S349" s="76" t="str">
        <f>IF($R349="","",INDEX($O$5:$O$172,MATCH(ROWS($R$5:R349),$X$5:$X$172,0)))</f>
        <v/>
      </c>
      <c r="U349" s="160" t="str">
        <f>IFERROR(INDEX($Z$5:$Z$448,MATCH(ROWS($U$5:U349),$AA$5:$AA$448,0)),"")</f>
        <v/>
      </c>
      <c r="V349" s="274" t="str">
        <f>IF(Oct!C15="","",Oct!C15)</f>
        <v/>
      </c>
      <c r="W349" s="274" t="str" cm="1">
        <f t="array" ref="W349">IF(V349="","",IF(COUNTIF($V$5:V349,V349)&gt;1,"",ROUND(1+SUMPRODUCT(($V$5:$V$448&lt;&gt;"")*($V$5:$V$448&lt;V349)/COUNTIF($V$5:$V$448,$V$5:$V$448&amp;"")),0)))</f>
        <v/>
      </c>
      <c r="X349" s="274"/>
      <c r="Z349" s="274" t="str">
        <f>IF(Oct!H15="Major Injury",Oct!C15,"")</f>
        <v/>
      </c>
      <c r="AA349" s="274" t="str" cm="1">
        <f t="array" ref="AA349">IF(Z349="","",IF(COUNTIF($Z$5:Z349,Z349)&gt;1,"",ROUND(1+SUMPRODUCT(($Z$5:$Z$448&lt;&gt;"")*($Z$5:$Z$448&lt;Z349)/COUNTIF($Z$5:$Z$448,$Z$5:$Z$448&amp;"")),0)))</f>
        <v/>
      </c>
    </row>
    <row r="350" spans="2:27" x14ac:dyDescent="0.25">
      <c r="B350" s="160" t="str">
        <f>IFERROR(INDEX($V$5:$V$448,MATCH(ROWS($B$5:B350),$W$5:$W$448,0)),"")</f>
        <v/>
      </c>
      <c r="C350" s="265" t="str">
        <f>IF($B350="","",COUNTIF(Jan[Resident Name],$B350))</f>
        <v/>
      </c>
      <c r="D350" s="265" t="str">
        <f>IF($B350="","",COUNTIF(Feb[Resident Name],$B350))</f>
        <v/>
      </c>
      <c r="E350" s="265" t="str">
        <f>IF($B350="","",COUNTIF(Mar[Resident Name],$B350))</f>
        <v/>
      </c>
      <c r="F350" s="265" t="str">
        <f>IF($B350="","",COUNTIF(Apr[Resident Name],$B350))</f>
        <v/>
      </c>
      <c r="G350" s="265" t="str">
        <f>IF($B350="","",COUNTIF(May[Resident Name],$B350))</f>
        <v/>
      </c>
      <c r="H350" s="265" t="str">
        <f>IF($B350="","",COUNTIF(June[Resident Name],$B350))</f>
        <v/>
      </c>
      <c r="I350" s="265" t="str">
        <f>IF($B350="","",COUNTIF(July[Resident Name],$B350))</f>
        <v/>
      </c>
      <c r="J350" s="265" t="str">
        <f>IF($B350="","",COUNTIF(Aug[Resident Name],$B350))</f>
        <v/>
      </c>
      <c r="K350" s="265" t="str">
        <f>IF($B350="","",COUNTIF(Sept[Resident Name],$B350))</f>
        <v/>
      </c>
      <c r="L350" s="265" t="str">
        <f>IF($B350="","",COUNTIF(Oct[Resident Name],$B350))</f>
        <v/>
      </c>
      <c r="M350" s="265" t="str">
        <f>IF($B350="","",COUNTIF(Nov[Resident Name],$B350))</f>
        <v/>
      </c>
      <c r="N350" s="265" t="str">
        <f>IF($B350="","",COUNTIF(Dec[Resident Name],$B350))</f>
        <v/>
      </c>
      <c r="O350" s="265" t="str">
        <f t="shared" si="11"/>
        <v/>
      </c>
      <c r="P350" s="11"/>
      <c r="R350" s="160" t="str">
        <f>IFERROR(INDEX($B$5:$B$172,MATCH(ROWS($R$5:R350),$X$5:$X$172,0)),"")</f>
        <v/>
      </c>
      <c r="S350" s="76" t="str">
        <f>IF($R350="","",INDEX($O$5:$O$172,MATCH(ROWS($R$5:R350),$X$5:$X$172,0)))</f>
        <v/>
      </c>
      <c r="U350" s="160" t="str">
        <f>IFERROR(INDEX($Z$5:$Z$448,MATCH(ROWS($U$5:U350),$AA$5:$AA$448,0)),"")</f>
        <v/>
      </c>
      <c r="V350" s="274" t="str">
        <f>IF(Oct!C16="","",Oct!C16)</f>
        <v/>
      </c>
      <c r="W350" s="274" t="str" cm="1">
        <f t="array" ref="W350">IF(V350="","",IF(COUNTIF($V$5:V350,V350)&gt;1,"",ROUND(1+SUMPRODUCT(($V$5:$V$448&lt;&gt;"")*($V$5:$V$448&lt;V350)/COUNTIF($V$5:$V$448,$V$5:$V$448&amp;"")),0)))</f>
        <v/>
      </c>
      <c r="X350" s="274"/>
      <c r="Z350" s="274" t="str">
        <f>IF(Oct!H16="Major Injury",Oct!C16,"")</f>
        <v/>
      </c>
      <c r="AA350" s="274" t="str" cm="1">
        <f t="array" ref="AA350">IF(Z350="","",IF(COUNTIF($Z$5:Z350,Z350)&gt;1,"",ROUND(1+SUMPRODUCT(($Z$5:$Z$448&lt;&gt;"")*($Z$5:$Z$448&lt;Z350)/COUNTIF($Z$5:$Z$448,$Z$5:$Z$448&amp;"")),0)))</f>
        <v/>
      </c>
    </row>
    <row r="351" spans="2:27" x14ac:dyDescent="0.25">
      <c r="B351" s="160" t="str">
        <f>IFERROR(INDEX($V$5:$V$448,MATCH(ROWS($B$5:B351),$W$5:$W$448,0)),"")</f>
        <v/>
      </c>
      <c r="C351" s="265" t="str">
        <f>IF($B351="","",COUNTIF(Jan[Resident Name],$B351))</f>
        <v/>
      </c>
      <c r="D351" s="265" t="str">
        <f>IF($B351="","",COUNTIF(Feb[Resident Name],$B351))</f>
        <v/>
      </c>
      <c r="E351" s="265" t="str">
        <f>IF($B351="","",COUNTIF(Mar[Resident Name],$B351))</f>
        <v/>
      </c>
      <c r="F351" s="265" t="str">
        <f>IF($B351="","",COUNTIF(Apr[Resident Name],$B351))</f>
        <v/>
      </c>
      <c r="G351" s="265" t="str">
        <f>IF($B351="","",COUNTIF(May[Resident Name],$B351))</f>
        <v/>
      </c>
      <c r="H351" s="265" t="str">
        <f>IF($B351="","",COUNTIF(June[Resident Name],$B351))</f>
        <v/>
      </c>
      <c r="I351" s="265" t="str">
        <f>IF($B351="","",COUNTIF(July[Resident Name],$B351))</f>
        <v/>
      </c>
      <c r="J351" s="265" t="str">
        <f>IF($B351="","",COUNTIF(Aug[Resident Name],$B351))</f>
        <v/>
      </c>
      <c r="K351" s="265" t="str">
        <f>IF($B351="","",COUNTIF(Sept[Resident Name],$B351))</f>
        <v/>
      </c>
      <c r="L351" s="265" t="str">
        <f>IF($B351="","",COUNTIF(Oct[Resident Name],$B351))</f>
        <v/>
      </c>
      <c r="M351" s="265" t="str">
        <f>IF($B351="","",COUNTIF(Nov[Resident Name],$B351))</f>
        <v/>
      </c>
      <c r="N351" s="265" t="str">
        <f>IF($B351="","",COUNTIF(Dec[Resident Name],$B351))</f>
        <v/>
      </c>
      <c r="O351" s="265" t="str">
        <f t="shared" si="11"/>
        <v/>
      </c>
      <c r="P351" s="11"/>
      <c r="R351" s="160" t="str">
        <f>IFERROR(INDEX($B$5:$B$172,MATCH(ROWS($R$5:R351),$X$5:$X$172,0)),"")</f>
        <v/>
      </c>
      <c r="S351" s="76" t="str">
        <f>IF($R351="","",INDEX($O$5:$O$172,MATCH(ROWS($R$5:R351),$X$5:$X$172,0)))</f>
        <v/>
      </c>
      <c r="U351" s="160" t="str">
        <f>IFERROR(INDEX($Z$5:$Z$448,MATCH(ROWS($U$5:U351),$AA$5:$AA$448,0)),"")</f>
        <v/>
      </c>
      <c r="V351" s="274" t="str">
        <f>IF(Oct!C17="","",Oct!C17)</f>
        <v/>
      </c>
      <c r="W351" s="274" t="str" cm="1">
        <f t="array" ref="W351">IF(V351="","",IF(COUNTIF($V$5:V351,V351)&gt;1,"",ROUND(1+SUMPRODUCT(($V$5:$V$448&lt;&gt;"")*($V$5:$V$448&lt;V351)/COUNTIF($V$5:$V$448,$V$5:$V$448&amp;"")),0)))</f>
        <v/>
      </c>
      <c r="X351" s="274"/>
      <c r="Z351" s="274" t="str">
        <f>IF(Oct!H17="Major Injury",Oct!C17,"")</f>
        <v/>
      </c>
      <c r="AA351" s="274" t="str" cm="1">
        <f t="array" ref="AA351">IF(Z351="","",IF(COUNTIF($Z$5:Z351,Z351)&gt;1,"",ROUND(1+SUMPRODUCT(($Z$5:$Z$448&lt;&gt;"")*($Z$5:$Z$448&lt;Z351)/COUNTIF($Z$5:$Z$448,$Z$5:$Z$448&amp;"")),0)))</f>
        <v/>
      </c>
    </row>
    <row r="352" spans="2:27" x14ac:dyDescent="0.25">
      <c r="B352" s="160" t="str">
        <f>IFERROR(INDEX($V$5:$V$448,MATCH(ROWS($B$5:B352),$W$5:$W$448,0)),"")</f>
        <v/>
      </c>
      <c r="C352" s="265" t="str">
        <f>IF($B352="","",COUNTIF(Jan[Resident Name],$B352))</f>
        <v/>
      </c>
      <c r="D352" s="265" t="str">
        <f>IF($B352="","",COUNTIF(Feb[Resident Name],$B352))</f>
        <v/>
      </c>
      <c r="E352" s="265" t="str">
        <f>IF($B352="","",COUNTIF(Mar[Resident Name],$B352))</f>
        <v/>
      </c>
      <c r="F352" s="265" t="str">
        <f>IF($B352="","",COUNTIF(Apr[Resident Name],$B352))</f>
        <v/>
      </c>
      <c r="G352" s="265" t="str">
        <f>IF($B352="","",COUNTIF(May[Resident Name],$B352))</f>
        <v/>
      </c>
      <c r="H352" s="265" t="str">
        <f>IF($B352="","",COUNTIF(June[Resident Name],$B352))</f>
        <v/>
      </c>
      <c r="I352" s="265" t="str">
        <f>IF($B352="","",COUNTIF(July[Resident Name],$B352))</f>
        <v/>
      </c>
      <c r="J352" s="265" t="str">
        <f>IF($B352="","",COUNTIF(Aug[Resident Name],$B352))</f>
        <v/>
      </c>
      <c r="K352" s="265" t="str">
        <f>IF($B352="","",COUNTIF(Sept[Resident Name],$B352))</f>
        <v/>
      </c>
      <c r="L352" s="265" t="str">
        <f>IF($B352="","",COUNTIF(Oct[Resident Name],$B352))</f>
        <v/>
      </c>
      <c r="M352" s="265" t="str">
        <f>IF($B352="","",COUNTIF(Nov[Resident Name],$B352))</f>
        <v/>
      </c>
      <c r="N352" s="265" t="str">
        <f>IF($B352="","",COUNTIF(Dec[Resident Name],$B352))</f>
        <v/>
      </c>
      <c r="O352" s="265" t="str">
        <f t="shared" si="11"/>
        <v/>
      </c>
      <c r="P352" s="11"/>
      <c r="R352" s="160" t="str">
        <f>IFERROR(INDEX($B$5:$B$172,MATCH(ROWS($R$5:R352),$X$5:$X$172,0)),"")</f>
        <v/>
      </c>
      <c r="S352" s="76" t="str">
        <f>IF($R352="","",INDEX($O$5:$O$172,MATCH(ROWS($R$5:R352),$X$5:$X$172,0)))</f>
        <v/>
      </c>
      <c r="U352" s="160" t="str">
        <f>IFERROR(INDEX($Z$5:$Z$448,MATCH(ROWS($U$5:U352),$AA$5:$AA$448,0)),"")</f>
        <v/>
      </c>
      <c r="V352" s="274" t="str">
        <f>IF(Oct!C18="","",Oct!C18)</f>
        <v/>
      </c>
      <c r="W352" s="274" t="str" cm="1">
        <f t="array" ref="W352">IF(V352="","",IF(COUNTIF($V$5:V352,V352)&gt;1,"",ROUND(1+SUMPRODUCT(($V$5:$V$448&lt;&gt;"")*($V$5:$V$448&lt;V352)/COUNTIF($V$5:$V$448,$V$5:$V$448&amp;"")),0)))</f>
        <v/>
      </c>
      <c r="X352" s="274"/>
      <c r="Z352" s="274" t="str">
        <f>IF(Oct!H18="Major Injury",Oct!C18,"")</f>
        <v/>
      </c>
      <c r="AA352" s="274" t="str" cm="1">
        <f t="array" ref="AA352">IF(Z352="","",IF(COUNTIF($Z$5:Z352,Z352)&gt;1,"",ROUND(1+SUMPRODUCT(($Z$5:$Z$448&lt;&gt;"")*($Z$5:$Z$448&lt;Z352)/COUNTIF($Z$5:$Z$448,$Z$5:$Z$448&amp;"")),0)))</f>
        <v/>
      </c>
    </row>
    <row r="353" spans="2:27" x14ac:dyDescent="0.25">
      <c r="B353" s="160" t="str">
        <f>IFERROR(INDEX($V$5:$V$448,MATCH(ROWS($B$5:B353),$W$5:$W$448,0)),"")</f>
        <v/>
      </c>
      <c r="C353" s="265" t="str">
        <f>IF($B353="","",COUNTIF(Jan[Resident Name],$B353))</f>
        <v/>
      </c>
      <c r="D353" s="265" t="str">
        <f>IF($B353="","",COUNTIF(Feb[Resident Name],$B353))</f>
        <v/>
      </c>
      <c r="E353" s="265" t="str">
        <f>IF($B353="","",COUNTIF(Mar[Resident Name],$B353))</f>
        <v/>
      </c>
      <c r="F353" s="265" t="str">
        <f>IF($B353="","",COUNTIF(Apr[Resident Name],$B353))</f>
        <v/>
      </c>
      <c r="G353" s="265" t="str">
        <f>IF($B353="","",COUNTIF(May[Resident Name],$B353))</f>
        <v/>
      </c>
      <c r="H353" s="265" t="str">
        <f>IF($B353="","",COUNTIF(June[Resident Name],$B353))</f>
        <v/>
      </c>
      <c r="I353" s="265" t="str">
        <f>IF($B353="","",COUNTIF(July[Resident Name],$B353))</f>
        <v/>
      </c>
      <c r="J353" s="265" t="str">
        <f>IF($B353="","",COUNTIF(Aug[Resident Name],$B353))</f>
        <v/>
      </c>
      <c r="K353" s="265" t="str">
        <f>IF($B353="","",COUNTIF(Sept[Resident Name],$B353))</f>
        <v/>
      </c>
      <c r="L353" s="265" t="str">
        <f>IF($B353="","",COUNTIF(Oct[Resident Name],$B353))</f>
        <v/>
      </c>
      <c r="M353" s="265" t="str">
        <f>IF($B353="","",COUNTIF(Nov[Resident Name],$B353))</f>
        <v/>
      </c>
      <c r="N353" s="265" t="str">
        <f>IF($B353="","",COUNTIF(Dec[Resident Name],$B353))</f>
        <v/>
      </c>
      <c r="O353" s="265" t="str">
        <f t="shared" si="11"/>
        <v/>
      </c>
      <c r="P353" s="11"/>
      <c r="R353" s="160" t="str">
        <f>IFERROR(INDEX($B$5:$B$172,MATCH(ROWS($R$5:R353),$X$5:$X$172,0)),"")</f>
        <v/>
      </c>
      <c r="S353" s="76" t="str">
        <f>IF($R353="","",INDEX($O$5:$O$172,MATCH(ROWS($R$5:R353),$X$5:$X$172,0)))</f>
        <v/>
      </c>
      <c r="U353" s="160" t="str">
        <f>IFERROR(INDEX($Z$5:$Z$448,MATCH(ROWS($U$5:U353),$AA$5:$AA$448,0)),"")</f>
        <v/>
      </c>
      <c r="V353" s="274" t="str">
        <f>IF(Oct!C19="","",Oct!C19)</f>
        <v/>
      </c>
      <c r="W353" s="274" t="str" cm="1">
        <f t="array" ref="W353">IF(V353="","",IF(COUNTIF($V$5:V353,V353)&gt;1,"",ROUND(1+SUMPRODUCT(($V$5:$V$448&lt;&gt;"")*($V$5:$V$448&lt;V353)/COUNTIF($V$5:$V$448,$V$5:$V$448&amp;"")),0)))</f>
        <v/>
      </c>
      <c r="X353" s="274"/>
      <c r="Z353" s="274" t="str">
        <f>IF(Oct!H19="Major Injury",Oct!C19,"")</f>
        <v/>
      </c>
      <c r="AA353" s="274" t="str" cm="1">
        <f t="array" ref="AA353">IF(Z353="","",IF(COUNTIF($Z$5:Z353,Z353)&gt;1,"",ROUND(1+SUMPRODUCT(($Z$5:$Z$448&lt;&gt;"")*($Z$5:$Z$448&lt;Z353)/COUNTIF($Z$5:$Z$448,$Z$5:$Z$448&amp;"")),0)))</f>
        <v/>
      </c>
    </row>
    <row r="354" spans="2:27" x14ac:dyDescent="0.25">
      <c r="B354" s="160" t="str">
        <f>IFERROR(INDEX($V$5:$V$448,MATCH(ROWS($B$5:B354),$W$5:$W$448,0)),"")</f>
        <v/>
      </c>
      <c r="C354" s="265" t="str">
        <f>IF($B354="","",COUNTIF(Jan[Resident Name],$B354))</f>
        <v/>
      </c>
      <c r="D354" s="265" t="str">
        <f>IF($B354="","",COUNTIF(Feb[Resident Name],$B354))</f>
        <v/>
      </c>
      <c r="E354" s="265" t="str">
        <f>IF($B354="","",COUNTIF(Mar[Resident Name],$B354))</f>
        <v/>
      </c>
      <c r="F354" s="265" t="str">
        <f>IF($B354="","",COUNTIF(Apr[Resident Name],$B354))</f>
        <v/>
      </c>
      <c r="G354" s="265" t="str">
        <f>IF($B354="","",COUNTIF(May[Resident Name],$B354))</f>
        <v/>
      </c>
      <c r="H354" s="265" t="str">
        <f>IF($B354="","",COUNTIF(June[Resident Name],$B354))</f>
        <v/>
      </c>
      <c r="I354" s="265" t="str">
        <f>IF($B354="","",COUNTIF(July[Resident Name],$B354))</f>
        <v/>
      </c>
      <c r="J354" s="265" t="str">
        <f>IF($B354="","",COUNTIF(Aug[Resident Name],$B354))</f>
        <v/>
      </c>
      <c r="K354" s="265" t="str">
        <f>IF($B354="","",COUNTIF(Sept[Resident Name],$B354))</f>
        <v/>
      </c>
      <c r="L354" s="265" t="str">
        <f>IF($B354="","",COUNTIF(Oct[Resident Name],$B354))</f>
        <v/>
      </c>
      <c r="M354" s="265" t="str">
        <f>IF($B354="","",COUNTIF(Nov[Resident Name],$B354))</f>
        <v/>
      </c>
      <c r="N354" s="265" t="str">
        <f>IF($B354="","",COUNTIF(Dec[Resident Name],$B354))</f>
        <v/>
      </c>
      <c r="O354" s="265" t="str">
        <f t="shared" si="11"/>
        <v/>
      </c>
      <c r="P354" s="11"/>
      <c r="R354" s="160" t="str">
        <f>IFERROR(INDEX($B$5:$B$172,MATCH(ROWS($R$5:R354),$X$5:$X$172,0)),"")</f>
        <v/>
      </c>
      <c r="S354" s="76" t="str">
        <f>IF($R354="","",INDEX($O$5:$O$172,MATCH(ROWS($R$5:R354),$X$5:$X$172,0)))</f>
        <v/>
      </c>
      <c r="U354" s="160" t="str">
        <f>IFERROR(INDEX($Z$5:$Z$448,MATCH(ROWS($U$5:U354),$AA$5:$AA$448,0)),"")</f>
        <v/>
      </c>
      <c r="V354" s="274" t="str">
        <f>IF(Oct!C20="","",Oct!C20)</f>
        <v/>
      </c>
      <c r="W354" s="274" t="str" cm="1">
        <f t="array" ref="W354">IF(V354="","",IF(COUNTIF($V$5:V354,V354)&gt;1,"",ROUND(1+SUMPRODUCT(($V$5:$V$448&lt;&gt;"")*($V$5:$V$448&lt;V354)/COUNTIF($V$5:$V$448,$V$5:$V$448&amp;"")),0)))</f>
        <v/>
      </c>
      <c r="X354" s="274"/>
      <c r="Z354" s="274" t="str">
        <f>IF(Oct!H20="Major Injury",Oct!C20,"")</f>
        <v/>
      </c>
      <c r="AA354" s="274" t="str" cm="1">
        <f t="array" ref="AA354">IF(Z354="","",IF(COUNTIF($Z$5:Z354,Z354)&gt;1,"",ROUND(1+SUMPRODUCT(($Z$5:$Z$448&lt;&gt;"")*($Z$5:$Z$448&lt;Z354)/COUNTIF($Z$5:$Z$448,$Z$5:$Z$448&amp;"")),0)))</f>
        <v/>
      </c>
    </row>
    <row r="355" spans="2:27" x14ac:dyDescent="0.25">
      <c r="B355" s="160" t="str">
        <f>IFERROR(INDEX($V$5:$V$448,MATCH(ROWS($B$5:B355),$W$5:$W$448,0)),"")</f>
        <v/>
      </c>
      <c r="C355" s="265" t="str">
        <f>IF($B355="","",COUNTIF(Jan[Resident Name],$B355))</f>
        <v/>
      </c>
      <c r="D355" s="265" t="str">
        <f>IF($B355="","",COUNTIF(Feb[Resident Name],$B355))</f>
        <v/>
      </c>
      <c r="E355" s="265" t="str">
        <f>IF($B355="","",COUNTIF(Mar[Resident Name],$B355))</f>
        <v/>
      </c>
      <c r="F355" s="265" t="str">
        <f>IF($B355="","",COUNTIF(Apr[Resident Name],$B355))</f>
        <v/>
      </c>
      <c r="G355" s="265" t="str">
        <f>IF($B355="","",COUNTIF(May[Resident Name],$B355))</f>
        <v/>
      </c>
      <c r="H355" s="265" t="str">
        <f>IF($B355="","",COUNTIF(June[Resident Name],$B355))</f>
        <v/>
      </c>
      <c r="I355" s="265" t="str">
        <f>IF($B355="","",COUNTIF(July[Resident Name],$B355))</f>
        <v/>
      </c>
      <c r="J355" s="265" t="str">
        <f>IF($B355="","",COUNTIF(Aug[Resident Name],$B355))</f>
        <v/>
      </c>
      <c r="K355" s="265" t="str">
        <f>IF($B355="","",COUNTIF(Sept[Resident Name],$B355))</f>
        <v/>
      </c>
      <c r="L355" s="265" t="str">
        <f>IF($B355="","",COUNTIF(Oct[Resident Name],$B355))</f>
        <v/>
      </c>
      <c r="M355" s="265" t="str">
        <f>IF($B355="","",COUNTIF(Nov[Resident Name],$B355))</f>
        <v/>
      </c>
      <c r="N355" s="265" t="str">
        <f>IF($B355="","",COUNTIF(Dec[Resident Name],$B355))</f>
        <v/>
      </c>
      <c r="O355" s="265" t="str">
        <f t="shared" si="11"/>
        <v/>
      </c>
      <c r="P355" s="11"/>
      <c r="R355" s="160" t="str">
        <f>IFERROR(INDEX($B$5:$B$172,MATCH(ROWS($R$5:R355),$X$5:$X$172,0)),"")</f>
        <v/>
      </c>
      <c r="S355" s="76" t="str">
        <f>IF($R355="","",INDEX($O$5:$O$172,MATCH(ROWS($R$5:R355),$X$5:$X$172,0)))</f>
        <v/>
      </c>
      <c r="U355" s="160" t="str">
        <f>IFERROR(INDEX($Z$5:$Z$448,MATCH(ROWS($U$5:U355),$AA$5:$AA$448,0)),"")</f>
        <v/>
      </c>
      <c r="V355" s="274" t="str">
        <f>IF(Oct!C21="","",Oct!C21)</f>
        <v/>
      </c>
      <c r="W355" s="274" t="str" cm="1">
        <f t="array" ref="W355">IF(V355="","",IF(COUNTIF($V$5:V355,V355)&gt;1,"",ROUND(1+SUMPRODUCT(($V$5:$V$448&lt;&gt;"")*($V$5:$V$448&lt;V355)/COUNTIF($V$5:$V$448,$V$5:$V$448&amp;"")),0)))</f>
        <v/>
      </c>
      <c r="X355" s="274"/>
      <c r="Z355" s="274" t="str">
        <f>IF(Oct!H21="Major Injury",Oct!C21,"")</f>
        <v/>
      </c>
      <c r="AA355" s="274" t="str" cm="1">
        <f t="array" ref="AA355">IF(Z355="","",IF(COUNTIF($Z$5:Z355,Z355)&gt;1,"",ROUND(1+SUMPRODUCT(($Z$5:$Z$448&lt;&gt;"")*($Z$5:$Z$448&lt;Z355)/COUNTIF($Z$5:$Z$448,$Z$5:$Z$448&amp;"")),0)))</f>
        <v/>
      </c>
    </row>
    <row r="356" spans="2:27" x14ac:dyDescent="0.25">
      <c r="B356" s="160" t="str">
        <f>IFERROR(INDEX($V$5:$V$448,MATCH(ROWS($B$5:B356),$W$5:$W$448,0)),"")</f>
        <v/>
      </c>
      <c r="C356" s="265" t="str">
        <f>IF($B356="","",COUNTIF(Jan[Resident Name],$B356))</f>
        <v/>
      </c>
      <c r="D356" s="265" t="str">
        <f>IF($B356="","",COUNTIF(Feb[Resident Name],$B356))</f>
        <v/>
      </c>
      <c r="E356" s="265" t="str">
        <f>IF($B356="","",COUNTIF(Mar[Resident Name],$B356))</f>
        <v/>
      </c>
      <c r="F356" s="265" t="str">
        <f>IF($B356="","",COUNTIF(Apr[Resident Name],$B356))</f>
        <v/>
      </c>
      <c r="G356" s="265" t="str">
        <f>IF($B356="","",COUNTIF(May[Resident Name],$B356))</f>
        <v/>
      </c>
      <c r="H356" s="265" t="str">
        <f>IF($B356="","",COUNTIF(June[Resident Name],$B356))</f>
        <v/>
      </c>
      <c r="I356" s="265" t="str">
        <f>IF($B356="","",COUNTIF(July[Resident Name],$B356))</f>
        <v/>
      </c>
      <c r="J356" s="265" t="str">
        <f>IF($B356="","",COUNTIF(Aug[Resident Name],$B356))</f>
        <v/>
      </c>
      <c r="K356" s="265" t="str">
        <f>IF($B356="","",COUNTIF(Sept[Resident Name],$B356))</f>
        <v/>
      </c>
      <c r="L356" s="265" t="str">
        <f>IF($B356="","",COUNTIF(Oct[Resident Name],$B356))</f>
        <v/>
      </c>
      <c r="M356" s="265" t="str">
        <f>IF($B356="","",COUNTIF(Nov[Resident Name],$B356))</f>
        <v/>
      </c>
      <c r="N356" s="265" t="str">
        <f>IF($B356="","",COUNTIF(Dec[Resident Name],$B356))</f>
        <v/>
      </c>
      <c r="O356" s="265" t="str">
        <f t="shared" si="11"/>
        <v/>
      </c>
      <c r="P356" s="11"/>
      <c r="R356" s="160" t="str">
        <f>IFERROR(INDEX($B$5:$B$172,MATCH(ROWS($R$5:R356),$X$5:$X$172,0)),"")</f>
        <v/>
      </c>
      <c r="S356" s="76" t="str">
        <f>IF($R356="","",INDEX($O$5:$O$172,MATCH(ROWS($R$5:R356),$X$5:$X$172,0)))</f>
        <v/>
      </c>
      <c r="U356" s="160" t="str">
        <f>IFERROR(INDEX($Z$5:$Z$448,MATCH(ROWS($U$5:U356),$AA$5:$AA$448,0)),"")</f>
        <v/>
      </c>
      <c r="V356" s="274" t="str">
        <f>IF(Oct!C22="","",Oct!C22)</f>
        <v/>
      </c>
      <c r="W356" s="274" t="str" cm="1">
        <f t="array" ref="W356">IF(V356="","",IF(COUNTIF($V$5:V356,V356)&gt;1,"",ROUND(1+SUMPRODUCT(($V$5:$V$448&lt;&gt;"")*($V$5:$V$448&lt;V356)/COUNTIF($V$5:$V$448,$V$5:$V$448&amp;"")),0)))</f>
        <v/>
      </c>
      <c r="X356" s="274"/>
      <c r="Z356" s="274" t="str">
        <f>IF(Oct!H22="Major Injury",Oct!C22,"")</f>
        <v/>
      </c>
      <c r="AA356" s="274" t="str" cm="1">
        <f t="array" ref="AA356">IF(Z356="","",IF(COUNTIF($Z$5:Z356,Z356)&gt;1,"",ROUND(1+SUMPRODUCT(($Z$5:$Z$448&lt;&gt;"")*($Z$5:$Z$448&lt;Z356)/COUNTIF($Z$5:$Z$448,$Z$5:$Z$448&amp;"")),0)))</f>
        <v/>
      </c>
    </row>
    <row r="357" spans="2:27" x14ac:dyDescent="0.25">
      <c r="B357" s="160" t="str">
        <f>IFERROR(INDEX($V$5:$V$448,MATCH(ROWS($B$5:B357),$W$5:$W$448,0)),"")</f>
        <v/>
      </c>
      <c r="C357" s="265" t="str">
        <f>IF($B357="","",COUNTIF(Jan[Resident Name],$B357))</f>
        <v/>
      </c>
      <c r="D357" s="265" t="str">
        <f>IF($B357="","",COUNTIF(Feb[Resident Name],$B357))</f>
        <v/>
      </c>
      <c r="E357" s="265" t="str">
        <f>IF($B357="","",COUNTIF(Mar[Resident Name],$B357))</f>
        <v/>
      </c>
      <c r="F357" s="265" t="str">
        <f>IF($B357="","",COUNTIF(Apr[Resident Name],$B357))</f>
        <v/>
      </c>
      <c r="G357" s="265" t="str">
        <f>IF($B357="","",COUNTIF(May[Resident Name],$B357))</f>
        <v/>
      </c>
      <c r="H357" s="265" t="str">
        <f>IF($B357="","",COUNTIF(June[Resident Name],$B357))</f>
        <v/>
      </c>
      <c r="I357" s="265" t="str">
        <f>IF($B357="","",COUNTIF(July[Resident Name],$B357))</f>
        <v/>
      </c>
      <c r="J357" s="265" t="str">
        <f>IF($B357="","",COUNTIF(Aug[Resident Name],$B357))</f>
        <v/>
      </c>
      <c r="K357" s="265" t="str">
        <f>IF($B357="","",COUNTIF(Sept[Resident Name],$B357))</f>
        <v/>
      </c>
      <c r="L357" s="265" t="str">
        <f>IF($B357="","",COUNTIF(Oct[Resident Name],$B357))</f>
        <v/>
      </c>
      <c r="M357" s="265" t="str">
        <f>IF($B357="","",COUNTIF(Nov[Resident Name],$B357))</f>
        <v/>
      </c>
      <c r="N357" s="265" t="str">
        <f>IF($B357="","",COUNTIF(Dec[Resident Name],$B357))</f>
        <v/>
      </c>
      <c r="O357" s="265" t="str">
        <f t="shared" si="11"/>
        <v/>
      </c>
      <c r="P357" s="11"/>
      <c r="R357" s="160" t="str">
        <f>IFERROR(INDEX($B$5:$B$172,MATCH(ROWS($R$5:R357),$X$5:$X$172,0)),"")</f>
        <v/>
      </c>
      <c r="S357" s="76" t="str">
        <f>IF($R357="","",INDEX($O$5:$O$172,MATCH(ROWS($R$5:R357),$X$5:$X$172,0)))</f>
        <v/>
      </c>
      <c r="U357" s="160" t="str">
        <f>IFERROR(INDEX($Z$5:$Z$448,MATCH(ROWS($U$5:U357),$AA$5:$AA$448,0)),"")</f>
        <v/>
      </c>
      <c r="V357" s="274" t="str">
        <f>IF(Oct!C23="","",Oct!C23)</f>
        <v/>
      </c>
      <c r="W357" s="274" t="str" cm="1">
        <f t="array" ref="W357">IF(V357="","",IF(COUNTIF($V$5:V357,V357)&gt;1,"",ROUND(1+SUMPRODUCT(($V$5:$V$448&lt;&gt;"")*($V$5:$V$448&lt;V357)/COUNTIF($V$5:$V$448,$V$5:$V$448&amp;"")),0)))</f>
        <v/>
      </c>
      <c r="X357" s="274"/>
      <c r="Z357" s="274" t="str">
        <f>IF(Oct!H23="Major Injury",Oct!C23,"")</f>
        <v/>
      </c>
      <c r="AA357" s="274" t="str" cm="1">
        <f t="array" ref="AA357">IF(Z357="","",IF(COUNTIF($Z$5:Z357,Z357)&gt;1,"",ROUND(1+SUMPRODUCT(($Z$5:$Z$448&lt;&gt;"")*($Z$5:$Z$448&lt;Z357)/COUNTIF($Z$5:$Z$448,$Z$5:$Z$448&amp;"")),0)))</f>
        <v/>
      </c>
    </row>
    <row r="358" spans="2:27" x14ac:dyDescent="0.25">
      <c r="B358" s="160" t="str">
        <f>IFERROR(INDEX($V$5:$V$448,MATCH(ROWS($B$5:B358),$W$5:$W$448,0)),"")</f>
        <v/>
      </c>
      <c r="C358" s="265" t="str">
        <f>IF($B358="","",COUNTIF(Jan[Resident Name],$B358))</f>
        <v/>
      </c>
      <c r="D358" s="265" t="str">
        <f>IF($B358="","",COUNTIF(Feb[Resident Name],$B358))</f>
        <v/>
      </c>
      <c r="E358" s="265" t="str">
        <f>IF($B358="","",COUNTIF(Mar[Resident Name],$B358))</f>
        <v/>
      </c>
      <c r="F358" s="265" t="str">
        <f>IF($B358="","",COUNTIF(Apr[Resident Name],$B358))</f>
        <v/>
      </c>
      <c r="G358" s="265" t="str">
        <f>IF($B358="","",COUNTIF(May[Resident Name],$B358))</f>
        <v/>
      </c>
      <c r="H358" s="265" t="str">
        <f>IF($B358="","",COUNTIF(June[Resident Name],$B358))</f>
        <v/>
      </c>
      <c r="I358" s="265" t="str">
        <f>IF($B358="","",COUNTIF(July[Resident Name],$B358))</f>
        <v/>
      </c>
      <c r="J358" s="265" t="str">
        <f>IF($B358="","",COUNTIF(Aug[Resident Name],$B358))</f>
        <v/>
      </c>
      <c r="K358" s="265" t="str">
        <f>IF($B358="","",COUNTIF(Sept[Resident Name],$B358))</f>
        <v/>
      </c>
      <c r="L358" s="265" t="str">
        <f>IF($B358="","",COUNTIF(Oct[Resident Name],$B358))</f>
        <v/>
      </c>
      <c r="M358" s="265" t="str">
        <f>IF($B358="","",COUNTIF(Nov[Resident Name],$B358))</f>
        <v/>
      </c>
      <c r="N358" s="265" t="str">
        <f>IF($B358="","",COUNTIF(Dec[Resident Name],$B358))</f>
        <v/>
      </c>
      <c r="O358" s="265" t="str">
        <f t="shared" si="11"/>
        <v/>
      </c>
      <c r="P358" s="11"/>
      <c r="R358" s="160" t="str">
        <f>IFERROR(INDEX($B$5:$B$172,MATCH(ROWS($R$5:R358),$X$5:$X$172,0)),"")</f>
        <v/>
      </c>
      <c r="S358" s="76" t="str">
        <f>IF($R358="","",INDEX($O$5:$O$172,MATCH(ROWS($R$5:R358),$X$5:$X$172,0)))</f>
        <v/>
      </c>
      <c r="U358" s="160" t="str">
        <f>IFERROR(INDEX($Z$5:$Z$448,MATCH(ROWS($U$5:U358),$AA$5:$AA$448,0)),"")</f>
        <v/>
      </c>
      <c r="V358" s="274" t="str">
        <f>IF(Oct!C24="","",Oct!C24)</f>
        <v/>
      </c>
      <c r="W358" s="274" t="str" cm="1">
        <f t="array" ref="W358">IF(V358="","",IF(COUNTIF($V$5:V358,V358)&gt;1,"",ROUND(1+SUMPRODUCT(($V$5:$V$448&lt;&gt;"")*($V$5:$V$448&lt;V358)/COUNTIF($V$5:$V$448,$V$5:$V$448&amp;"")),0)))</f>
        <v/>
      </c>
      <c r="X358" s="274"/>
      <c r="Z358" s="274" t="str">
        <f>IF(Oct!H24="Major Injury",Oct!C24,"")</f>
        <v/>
      </c>
      <c r="AA358" s="274" t="str" cm="1">
        <f t="array" ref="AA358">IF(Z358="","",IF(COUNTIF($Z$5:Z358,Z358)&gt;1,"",ROUND(1+SUMPRODUCT(($Z$5:$Z$448&lt;&gt;"")*($Z$5:$Z$448&lt;Z358)/COUNTIF($Z$5:$Z$448,$Z$5:$Z$448&amp;"")),0)))</f>
        <v/>
      </c>
    </row>
    <row r="359" spans="2:27" x14ac:dyDescent="0.25">
      <c r="B359" s="160" t="str">
        <f>IFERROR(INDEX($V$5:$V$448,MATCH(ROWS($B$5:B359),$W$5:$W$448,0)),"")</f>
        <v/>
      </c>
      <c r="C359" s="265" t="str">
        <f>IF($B359="","",COUNTIF(Jan[Resident Name],$B359))</f>
        <v/>
      </c>
      <c r="D359" s="265" t="str">
        <f>IF($B359="","",COUNTIF(Feb[Resident Name],$B359))</f>
        <v/>
      </c>
      <c r="E359" s="265" t="str">
        <f>IF($B359="","",COUNTIF(Mar[Resident Name],$B359))</f>
        <v/>
      </c>
      <c r="F359" s="265" t="str">
        <f>IF($B359="","",COUNTIF(Apr[Resident Name],$B359))</f>
        <v/>
      </c>
      <c r="G359" s="265" t="str">
        <f>IF($B359="","",COUNTIF(May[Resident Name],$B359))</f>
        <v/>
      </c>
      <c r="H359" s="265" t="str">
        <f>IF($B359="","",COUNTIF(June[Resident Name],$B359))</f>
        <v/>
      </c>
      <c r="I359" s="265" t="str">
        <f>IF($B359="","",COUNTIF(July[Resident Name],$B359))</f>
        <v/>
      </c>
      <c r="J359" s="265" t="str">
        <f>IF($B359="","",COUNTIF(Aug[Resident Name],$B359))</f>
        <v/>
      </c>
      <c r="K359" s="265" t="str">
        <f>IF($B359="","",COUNTIF(Sept[Resident Name],$B359))</f>
        <v/>
      </c>
      <c r="L359" s="265" t="str">
        <f>IF($B359="","",COUNTIF(Oct[Resident Name],$B359))</f>
        <v/>
      </c>
      <c r="M359" s="265" t="str">
        <f>IF($B359="","",COUNTIF(Nov[Resident Name],$B359))</f>
        <v/>
      </c>
      <c r="N359" s="265" t="str">
        <f>IF($B359="","",COUNTIF(Dec[Resident Name],$B359))</f>
        <v/>
      </c>
      <c r="O359" s="265" t="str">
        <f t="shared" si="11"/>
        <v/>
      </c>
      <c r="P359" s="11"/>
      <c r="R359" s="160" t="str">
        <f>IFERROR(INDEX($B$5:$B$172,MATCH(ROWS($R$5:R359),$X$5:$X$172,0)),"")</f>
        <v/>
      </c>
      <c r="S359" s="76" t="str">
        <f>IF($R359="","",INDEX($O$5:$O$172,MATCH(ROWS($R$5:R359),$X$5:$X$172,0)))</f>
        <v/>
      </c>
      <c r="U359" s="160" t="str">
        <f>IFERROR(INDEX($Z$5:$Z$448,MATCH(ROWS($U$5:U359),$AA$5:$AA$448,0)),"")</f>
        <v/>
      </c>
      <c r="V359" s="274" t="str">
        <f>IF(Oct!C25="","",Oct!C25)</f>
        <v/>
      </c>
      <c r="W359" s="274" t="str" cm="1">
        <f t="array" ref="W359">IF(V359="","",IF(COUNTIF($V$5:V359,V359)&gt;1,"",ROUND(1+SUMPRODUCT(($V$5:$V$448&lt;&gt;"")*($V$5:$V$448&lt;V359)/COUNTIF($V$5:$V$448,$V$5:$V$448&amp;"")),0)))</f>
        <v/>
      </c>
      <c r="X359" s="274"/>
      <c r="Z359" s="274" t="str">
        <f>IF(Oct!H25="Major Injury",Oct!C25,"")</f>
        <v/>
      </c>
      <c r="AA359" s="274" t="str" cm="1">
        <f t="array" ref="AA359">IF(Z359="","",IF(COUNTIF($Z$5:Z359,Z359)&gt;1,"",ROUND(1+SUMPRODUCT(($Z$5:$Z$448&lt;&gt;"")*($Z$5:$Z$448&lt;Z359)/COUNTIF($Z$5:$Z$448,$Z$5:$Z$448&amp;"")),0)))</f>
        <v/>
      </c>
    </row>
    <row r="360" spans="2:27" x14ac:dyDescent="0.25">
      <c r="B360" s="160" t="str">
        <f>IFERROR(INDEX($V$5:$V$448,MATCH(ROWS($B$5:B360),$W$5:$W$448,0)),"")</f>
        <v/>
      </c>
      <c r="C360" s="265" t="str">
        <f>IF($B360="","",COUNTIF(Jan[Resident Name],$B360))</f>
        <v/>
      </c>
      <c r="D360" s="265" t="str">
        <f>IF($B360="","",COUNTIF(Feb[Resident Name],$B360))</f>
        <v/>
      </c>
      <c r="E360" s="265" t="str">
        <f>IF($B360="","",COUNTIF(Mar[Resident Name],$B360))</f>
        <v/>
      </c>
      <c r="F360" s="265" t="str">
        <f>IF($B360="","",COUNTIF(Apr[Resident Name],$B360))</f>
        <v/>
      </c>
      <c r="G360" s="265" t="str">
        <f>IF($B360="","",COUNTIF(May[Resident Name],$B360))</f>
        <v/>
      </c>
      <c r="H360" s="265" t="str">
        <f>IF($B360="","",COUNTIF(June[Resident Name],$B360))</f>
        <v/>
      </c>
      <c r="I360" s="265" t="str">
        <f>IF($B360="","",COUNTIF(July[Resident Name],$B360))</f>
        <v/>
      </c>
      <c r="J360" s="265" t="str">
        <f>IF($B360="","",COUNTIF(Aug[Resident Name],$B360))</f>
        <v/>
      </c>
      <c r="K360" s="265" t="str">
        <f>IF($B360="","",COUNTIF(Sept[Resident Name],$B360))</f>
        <v/>
      </c>
      <c r="L360" s="265" t="str">
        <f>IF($B360="","",COUNTIF(Oct[Resident Name],$B360))</f>
        <v/>
      </c>
      <c r="M360" s="265" t="str">
        <f>IF($B360="","",COUNTIF(Nov[Resident Name],$B360))</f>
        <v/>
      </c>
      <c r="N360" s="265" t="str">
        <f>IF($B360="","",COUNTIF(Dec[Resident Name],$B360))</f>
        <v/>
      </c>
      <c r="O360" s="265" t="str">
        <f t="shared" si="11"/>
        <v/>
      </c>
      <c r="P360" s="11"/>
      <c r="R360" s="160" t="str">
        <f>IFERROR(INDEX($B$5:$B$172,MATCH(ROWS($R$5:R360),$X$5:$X$172,0)),"")</f>
        <v/>
      </c>
      <c r="S360" s="76" t="str">
        <f>IF($R360="","",INDEX($O$5:$O$172,MATCH(ROWS($R$5:R360),$X$5:$X$172,0)))</f>
        <v/>
      </c>
      <c r="U360" s="160" t="str">
        <f>IFERROR(INDEX($Z$5:$Z$448,MATCH(ROWS($U$5:U360),$AA$5:$AA$448,0)),"")</f>
        <v/>
      </c>
      <c r="V360" s="274" t="str">
        <f>IF(Oct!C26="","",Oct!C26)</f>
        <v/>
      </c>
      <c r="W360" s="274" t="str" cm="1">
        <f t="array" ref="W360">IF(V360="","",IF(COUNTIF($V$5:V360,V360)&gt;1,"",ROUND(1+SUMPRODUCT(($V$5:$V$448&lt;&gt;"")*($V$5:$V$448&lt;V360)/COUNTIF($V$5:$V$448,$V$5:$V$448&amp;"")),0)))</f>
        <v/>
      </c>
      <c r="X360" s="274"/>
      <c r="Z360" s="274" t="str">
        <f>IF(Oct!H26="Major Injury",Oct!C26,"")</f>
        <v/>
      </c>
      <c r="AA360" s="274" t="str" cm="1">
        <f t="array" ref="AA360">IF(Z360="","",IF(COUNTIF($Z$5:Z360,Z360)&gt;1,"",ROUND(1+SUMPRODUCT(($Z$5:$Z$448&lt;&gt;"")*($Z$5:$Z$448&lt;Z360)/COUNTIF($Z$5:$Z$448,$Z$5:$Z$448&amp;"")),0)))</f>
        <v/>
      </c>
    </row>
    <row r="361" spans="2:27" x14ac:dyDescent="0.25">
      <c r="B361" s="160" t="str">
        <f>IFERROR(INDEX($V$5:$V$448,MATCH(ROWS($B$5:B361),$W$5:$W$448,0)),"")</f>
        <v/>
      </c>
      <c r="C361" s="265" t="str">
        <f>IF($B361="","",COUNTIF(Jan[Resident Name],$B361))</f>
        <v/>
      </c>
      <c r="D361" s="265" t="str">
        <f>IF($B361="","",COUNTIF(Feb[Resident Name],$B361))</f>
        <v/>
      </c>
      <c r="E361" s="265" t="str">
        <f>IF($B361="","",COUNTIF(Mar[Resident Name],$B361))</f>
        <v/>
      </c>
      <c r="F361" s="265" t="str">
        <f>IF($B361="","",COUNTIF(Apr[Resident Name],$B361))</f>
        <v/>
      </c>
      <c r="G361" s="265" t="str">
        <f>IF($B361="","",COUNTIF(May[Resident Name],$B361))</f>
        <v/>
      </c>
      <c r="H361" s="265" t="str">
        <f>IF($B361="","",COUNTIF(June[Resident Name],$B361))</f>
        <v/>
      </c>
      <c r="I361" s="265" t="str">
        <f>IF($B361="","",COUNTIF(July[Resident Name],$B361))</f>
        <v/>
      </c>
      <c r="J361" s="265" t="str">
        <f>IF($B361="","",COUNTIF(Aug[Resident Name],$B361))</f>
        <v/>
      </c>
      <c r="K361" s="265" t="str">
        <f>IF($B361="","",COUNTIF(Sept[Resident Name],$B361))</f>
        <v/>
      </c>
      <c r="L361" s="265" t="str">
        <f>IF($B361="","",COUNTIF(Oct[Resident Name],$B361))</f>
        <v/>
      </c>
      <c r="M361" s="265" t="str">
        <f>IF($B361="","",COUNTIF(Nov[Resident Name],$B361))</f>
        <v/>
      </c>
      <c r="N361" s="265" t="str">
        <f>IF($B361="","",COUNTIF(Dec[Resident Name],$B361))</f>
        <v/>
      </c>
      <c r="O361" s="265" t="str">
        <f t="shared" si="11"/>
        <v/>
      </c>
      <c r="P361" s="11"/>
      <c r="R361" s="160" t="str">
        <f>IFERROR(INDEX($B$5:$B$172,MATCH(ROWS($R$5:R361),$X$5:$X$172,0)),"")</f>
        <v/>
      </c>
      <c r="S361" s="76" t="str">
        <f>IF($R361="","",INDEX($O$5:$O$172,MATCH(ROWS($R$5:R361),$X$5:$X$172,0)))</f>
        <v/>
      </c>
      <c r="U361" s="160" t="str">
        <f>IFERROR(INDEX($Z$5:$Z$448,MATCH(ROWS($U$5:U361),$AA$5:$AA$448,0)),"")</f>
        <v/>
      </c>
      <c r="V361" s="274" t="str">
        <f>IF(Oct!C27="","",Oct!C27)</f>
        <v/>
      </c>
      <c r="W361" s="274" t="str" cm="1">
        <f t="array" ref="W361">IF(V361="","",IF(COUNTIF($V$5:V361,V361)&gt;1,"",ROUND(1+SUMPRODUCT(($V$5:$V$448&lt;&gt;"")*($V$5:$V$448&lt;V361)/COUNTIF($V$5:$V$448,$V$5:$V$448&amp;"")),0)))</f>
        <v/>
      </c>
      <c r="X361" s="274"/>
      <c r="Z361" s="274" t="str">
        <f>IF(Oct!H27="Major Injury",Oct!C27,"")</f>
        <v/>
      </c>
      <c r="AA361" s="274" t="str" cm="1">
        <f t="array" ref="AA361">IF(Z361="","",IF(COUNTIF($Z$5:Z361,Z361)&gt;1,"",ROUND(1+SUMPRODUCT(($Z$5:$Z$448&lt;&gt;"")*($Z$5:$Z$448&lt;Z361)/COUNTIF($Z$5:$Z$448,$Z$5:$Z$448&amp;"")),0)))</f>
        <v/>
      </c>
    </row>
    <row r="362" spans="2:27" x14ac:dyDescent="0.25">
      <c r="B362" s="160" t="str">
        <f>IFERROR(INDEX($V$5:$V$448,MATCH(ROWS($B$5:B362),$W$5:$W$448,0)),"")</f>
        <v/>
      </c>
      <c r="C362" s="265" t="str">
        <f>IF($B362="","",COUNTIF(Jan[Resident Name],$B362))</f>
        <v/>
      </c>
      <c r="D362" s="265" t="str">
        <f>IF($B362="","",COUNTIF(Feb[Resident Name],$B362))</f>
        <v/>
      </c>
      <c r="E362" s="265" t="str">
        <f>IF($B362="","",COUNTIF(Mar[Resident Name],$B362))</f>
        <v/>
      </c>
      <c r="F362" s="265" t="str">
        <f>IF($B362="","",COUNTIF(Apr[Resident Name],$B362))</f>
        <v/>
      </c>
      <c r="G362" s="265" t="str">
        <f>IF($B362="","",COUNTIF(May[Resident Name],$B362))</f>
        <v/>
      </c>
      <c r="H362" s="265" t="str">
        <f>IF($B362="","",COUNTIF(June[Resident Name],$B362))</f>
        <v/>
      </c>
      <c r="I362" s="265" t="str">
        <f>IF($B362="","",COUNTIF(July[Resident Name],$B362))</f>
        <v/>
      </c>
      <c r="J362" s="265" t="str">
        <f>IF($B362="","",COUNTIF(Aug[Resident Name],$B362))</f>
        <v/>
      </c>
      <c r="K362" s="265" t="str">
        <f>IF($B362="","",COUNTIF(Sept[Resident Name],$B362))</f>
        <v/>
      </c>
      <c r="L362" s="265" t="str">
        <f>IF($B362="","",COUNTIF(Oct[Resident Name],$B362))</f>
        <v/>
      </c>
      <c r="M362" s="265" t="str">
        <f>IF($B362="","",COUNTIF(Nov[Resident Name],$B362))</f>
        <v/>
      </c>
      <c r="N362" s="265" t="str">
        <f>IF($B362="","",COUNTIF(Dec[Resident Name],$B362))</f>
        <v/>
      </c>
      <c r="O362" s="265" t="str">
        <f t="shared" si="11"/>
        <v/>
      </c>
      <c r="P362" s="11"/>
      <c r="R362" s="160" t="str">
        <f>IFERROR(INDEX($B$5:$B$172,MATCH(ROWS($R$5:R362),$X$5:$X$172,0)),"")</f>
        <v/>
      </c>
      <c r="S362" s="76" t="str">
        <f>IF($R362="","",INDEX($O$5:$O$172,MATCH(ROWS($R$5:R362),$X$5:$X$172,0)))</f>
        <v/>
      </c>
      <c r="U362" s="160" t="str">
        <f>IFERROR(INDEX($Z$5:$Z$448,MATCH(ROWS($U$5:U362),$AA$5:$AA$448,0)),"")</f>
        <v/>
      </c>
      <c r="V362" s="274" t="str">
        <f>IF(Oct!C28="","",Oct!C28)</f>
        <v/>
      </c>
      <c r="W362" s="274" t="str" cm="1">
        <f t="array" ref="W362">IF(V362="","",IF(COUNTIF($V$5:V362,V362)&gt;1,"",ROUND(1+SUMPRODUCT(($V$5:$V$448&lt;&gt;"")*($V$5:$V$448&lt;V362)/COUNTIF($V$5:$V$448,$V$5:$V$448&amp;"")),0)))</f>
        <v/>
      </c>
      <c r="X362" s="274"/>
      <c r="Z362" s="274" t="str">
        <f>IF(Oct!H28="Major Injury",Oct!C28,"")</f>
        <v/>
      </c>
      <c r="AA362" s="274" t="str" cm="1">
        <f t="array" ref="AA362">IF(Z362="","",IF(COUNTIF($Z$5:Z362,Z362)&gt;1,"",ROUND(1+SUMPRODUCT(($Z$5:$Z$448&lt;&gt;"")*($Z$5:$Z$448&lt;Z362)/COUNTIF($Z$5:$Z$448,$Z$5:$Z$448&amp;"")),0)))</f>
        <v/>
      </c>
    </row>
    <row r="363" spans="2:27" x14ac:dyDescent="0.25">
      <c r="B363" s="160" t="str">
        <f>IFERROR(INDEX($V$5:$V$448,MATCH(ROWS($B$5:B363),$W$5:$W$448,0)),"")</f>
        <v/>
      </c>
      <c r="C363" s="265" t="str">
        <f>IF($B363="","",COUNTIF(Jan[Resident Name],$B363))</f>
        <v/>
      </c>
      <c r="D363" s="265" t="str">
        <f>IF($B363="","",COUNTIF(Feb[Resident Name],$B363))</f>
        <v/>
      </c>
      <c r="E363" s="265" t="str">
        <f>IF($B363="","",COUNTIF(Mar[Resident Name],$B363))</f>
        <v/>
      </c>
      <c r="F363" s="265" t="str">
        <f>IF($B363="","",COUNTIF(Apr[Resident Name],$B363))</f>
        <v/>
      </c>
      <c r="G363" s="265" t="str">
        <f>IF($B363="","",COUNTIF(May[Resident Name],$B363))</f>
        <v/>
      </c>
      <c r="H363" s="265" t="str">
        <f>IF($B363="","",COUNTIF(June[Resident Name],$B363))</f>
        <v/>
      </c>
      <c r="I363" s="265" t="str">
        <f>IF($B363="","",COUNTIF(July[Resident Name],$B363))</f>
        <v/>
      </c>
      <c r="J363" s="265" t="str">
        <f>IF($B363="","",COUNTIF(Aug[Resident Name],$B363))</f>
        <v/>
      </c>
      <c r="K363" s="265" t="str">
        <f>IF($B363="","",COUNTIF(Sept[Resident Name],$B363))</f>
        <v/>
      </c>
      <c r="L363" s="265" t="str">
        <f>IF($B363="","",COUNTIF(Oct[Resident Name],$B363))</f>
        <v/>
      </c>
      <c r="M363" s="265" t="str">
        <f>IF($B363="","",COUNTIF(Nov[Resident Name],$B363))</f>
        <v/>
      </c>
      <c r="N363" s="265" t="str">
        <f>IF($B363="","",COUNTIF(Dec[Resident Name],$B363))</f>
        <v/>
      </c>
      <c r="O363" s="265" t="str">
        <f t="shared" si="11"/>
        <v/>
      </c>
      <c r="P363" s="11"/>
      <c r="R363" s="160" t="str">
        <f>IFERROR(INDEX($B$5:$B$172,MATCH(ROWS($R$5:R363),$X$5:$X$172,0)),"")</f>
        <v/>
      </c>
      <c r="S363" s="76" t="str">
        <f>IF($R363="","",INDEX($O$5:$O$172,MATCH(ROWS($R$5:R363),$X$5:$X$172,0)))</f>
        <v/>
      </c>
      <c r="U363" s="160" t="str">
        <f>IFERROR(INDEX($Z$5:$Z$448,MATCH(ROWS($U$5:U363),$AA$5:$AA$448,0)),"")</f>
        <v/>
      </c>
      <c r="V363" s="274" t="str">
        <f>IF(Oct!C29="","",Oct!C29)</f>
        <v/>
      </c>
      <c r="W363" s="274" t="str" cm="1">
        <f t="array" ref="W363">IF(V363="","",IF(COUNTIF($V$5:V363,V363)&gt;1,"",ROUND(1+SUMPRODUCT(($V$5:$V$448&lt;&gt;"")*($V$5:$V$448&lt;V363)/COUNTIF($V$5:$V$448,$V$5:$V$448&amp;"")),0)))</f>
        <v/>
      </c>
      <c r="X363" s="274"/>
      <c r="Z363" s="274" t="str">
        <f>IF(Oct!H29="Major Injury",Oct!C29,"")</f>
        <v/>
      </c>
      <c r="AA363" s="274" t="str" cm="1">
        <f t="array" ref="AA363">IF(Z363="","",IF(COUNTIF($Z$5:Z363,Z363)&gt;1,"",ROUND(1+SUMPRODUCT(($Z$5:$Z$448&lt;&gt;"")*($Z$5:$Z$448&lt;Z363)/COUNTIF($Z$5:$Z$448,$Z$5:$Z$448&amp;"")),0)))</f>
        <v/>
      </c>
    </row>
    <row r="364" spans="2:27" x14ac:dyDescent="0.25">
      <c r="B364" s="160" t="str">
        <f>IFERROR(INDEX($V$5:$V$448,MATCH(ROWS($B$5:B364),$W$5:$W$448,0)),"")</f>
        <v/>
      </c>
      <c r="C364" s="265" t="str">
        <f>IF($B364="","",COUNTIF(Jan[Resident Name],$B364))</f>
        <v/>
      </c>
      <c r="D364" s="265" t="str">
        <f>IF($B364="","",COUNTIF(Feb[Resident Name],$B364))</f>
        <v/>
      </c>
      <c r="E364" s="265" t="str">
        <f>IF($B364="","",COUNTIF(Mar[Resident Name],$B364))</f>
        <v/>
      </c>
      <c r="F364" s="265" t="str">
        <f>IF($B364="","",COUNTIF(Apr[Resident Name],$B364))</f>
        <v/>
      </c>
      <c r="G364" s="265" t="str">
        <f>IF($B364="","",COUNTIF(May[Resident Name],$B364))</f>
        <v/>
      </c>
      <c r="H364" s="265" t="str">
        <f>IF($B364="","",COUNTIF(June[Resident Name],$B364))</f>
        <v/>
      </c>
      <c r="I364" s="265" t="str">
        <f>IF($B364="","",COUNTIF(July[Resident Name],$B364))</f>
        <v/>
      </c>
      <c r="J364" s="265" t="str">
        <f>IF($B364="","",COUNTIF(Aug[Resident Name],$B364))</f>
        <v/>
      </c>
      <c r="K364" s="265" t="str">
        <f>IF($B364="","",COUNTIF(Sept[Resident Name],$B364))</f>
        <v/>
      </c>
      <c r="L364" s="265" t="str">
        <f>IF($B364="","",COUNTIF(Oct[Resident Name],$B364))</f>
        <v/>
      </c>
      <c r="M364" s="265" t="str">
        <f>IF($B364="","",COUNTIF(Nov[Resident Name],$B364))</f>
        <v/>
      </c>
      <c r="N364" s="265" t="str">
        <f>IF($B364="","",COUNTIF(Dec[Resident Name],$B364))</f>
        <v/>
      </c>
      <c r="O364" s="265" t="str">
        <f t="shared" si="11"/>
        <v/>
      </c>
      <c r="P364" s="11"/>
      <c r="R364" s="160" t="str">
        <f>IFERROR(INDEX($B$5:$B$172,MATCH(ROWS($R$5:R364),$X$5:$X$172,0)),"")</f>
        <v/>
      </c>
      <c r="S364" s="76" t="str">
        <f>IF($R364="","",INDEX($O$5:$O$172,MATCH(ROWS($R$5:R364),$X$5:$X$172,0)))</f>
        <v/>
      </c>
      <c r="U364" s="160" t="str">
        <f>IFERROR(INDEX($Z$5:$Z$448,MATCH(ROWS($U$5:U364),$AA$5:$AA$448,0)),"")</f>
        <v/>
      </c>
      <c r="V364" s="274" t="str">
        <f>IF(Oct!C30="","",Oct!C30)</f>
        <v/>
      </c>
      <c r="W364" s="274" t="str" cm="1">
        <f t="array" ref="W364">IF(V364="","",IF(COUNTIF($V$5:V364,V364)&gt;1,"",ROUND(1+SUMPRODUCT(($V$5:$V$448&lt;&gt;"")*($V$5:$V$448&lt;V364)/COUNTIF($V$5:$V$448,$V$5:$V$448&amp;"")),0)))</f>
        <v/>
      </c>
      <c r="X364" s="274"/>
      <c r="Z364" s="274" t="str">
        <f>IF(Oct!H30="Major Injury",Oct!C30,"")</f>
        <v/>
      </c>
      <c r="AA364" s="274" t="str" cm="1">
        <f t="array" ref="AA364">IF(Z364="","",IF(COUNTIF($Z$5:Z364,Z364)&gt;1,"",ROUND(1+SUMPRODUCT(($Z$5:$Z$448&lt;&gt;"")*($Z$5:$Z$448&lt;Z364)/COUNTIF($Z$5:$Z$448,$Z$5:$Z$448&amp;"")),0)))</f>
        <v/>
      </c>
    </row>
    <row r="365" spans="2:27" x14ac:dyDescent="0.25">
      <c r="B365" s="160" t="str">
        <f>IFERROR(INDEX($V$5:$V$448,MATCH(ROWS($B$5:B365),$W$5:$W$448,0)),"")</f>
        <v/>
      </c>
      <c r="C365" s="265" t="str">
        <f>IF($B365="","",COUNTIF(Jan[Resident Name],$B365))</f>
        <v/>
      </c>
      <c r="D365" s="265" t="str">
        <f>IF($B365="","",COUNTIF(Feb[Resident Name],$B365))</f>
        <v/>
      </c>
      <c r="E365" s="265" t="str">
        <f>IF($B365="","",COUNTIF(Mar[Resident Name],$B365))</f>
        <v/>
      </c>
      <c r="F365" s="265" t="str">
        <f>IF($B365="","",COUNTIF(Apr[Resident Name],$B365))</f>
        <v/>
      </c>
      <c r="G365" s="265" t="str">
        <f>IF($B365="","",COUNTIF(May[Resident Name],$B365))</f>
        <v/>
      </c>
      <c r="H365" s="265" t="str">
        <f>IF($B365="","",COUNTIF(June[Resident Name],$B365))</f>
        <v/>
      </c>
      <c r="I365" s="265" t="str">
        <f>IF($B365="","",COUNTIF(July[Resident Name],$B365))</f>
        <v/>
      </c>
      <c r="J365" s="265" t="str">
        <f>IF($B365="","",COUNTIF(Aug[Resident Name],$B365))</f>
        <v/>
      </c>
      <c r="K365" s="265" t="str">
        <f>IF($B365="","",COUNTIF(Sept[Resident Name],$B365))</f>
        <v/>
      </c>
      <c r="L365" s="265" t="str">
        <f>IF($B365="","",COUNTIF(Oct[Resident Name],$B365))</f>
        <v/>
      </c>
      <c r="M365" s="265" t="str">
        <f>IF($B365="","",COUNTIF(Nov[Resident Name],$B365))</f>
        <v/>
      </c>
      <c r="N365" s="265" t="str">
        <f>IF($B365="","",COUNTIF(Dec[Resident Name],$B365))</f>
        <v/>
      </c>
      <c r="O365" s="265" t="str">
        <f t="shared" si="11"/>
        <v/>
      </c>
      <c r="P365" s="11"/>
      <c r="R365" s="160" t="str">
        <f>IFERROR(INDEX($B$5:$B$172,MATCH(ROWS($R$5:R365),$X$5:$X$172,0)),"")</f>
        <v/>
      </c>
      <c r="S365" s="76" t="str">
        <f>IF($R365="","",INDEX($O$5:$O$172,MATCH(ROWS($R$5:R365),$X$5:$X$172,0)))</f>
        <v/>
      </c>
      <c r="U365" s="160" t="str">
        <f>IFERROR(INDEX($Z$5:$Z$448,MATCH(ROWS($U$5:U365),$AA$5:$AA$448,0)),"")</f>
        <v/>
      </c>
      <c r="V365" s="274" t="str">
        <f>IF(Oct!C31="","",Oct!C31)</f>
        <v/>
      </c>
      <c r="W365" s="274" t="str" cm="1">
        <f t="array" ref="W365">IF(V365="","",IF(COUNTIF($V$5:V365,V365)&gt;1,"",ROUND(1+SUMPRODUCT(($V$5:$V$448&lt;&gt;"")*($V$5:$V$448&lt;V365)/COUNTIF($V$5:$V$448,$V$5:$V$448&amp;"")),0)))</f>
        <v/>
      </c>
      <c r="X365" s="274"/>
      <c r="Z365" s="274" t="str">
        <f>IF(Oct!H31="Major Injury",Oct!C31,"")</f>
        <v/>
      </c>
      <c r="AA365" s="274" t="str" cm="1">
        <f t="array" ref="AA365">IF(Z365="","",IF(COUNTIF($Z$5:Z365,Z365)&gt;1,"",ROUND(1+SUMPRODUCT(($Z$5:$Z$448&lt;&gt;"")*($Z$5:$Z$448&lt;Z365)/COUNTIF($Z$5:$Z$448,$Z$5:$Z$448&amp;"")),0)))</f>
        <v/>
      </c>
    </row>
    <row r="366" spans="2:27" x14ac:dyDescent="0.25">
      <c r="B366" s="160" t="str">
        <f>IFERROR(INDEX($V$5:$V$448,MATCH(ROWS($B$5:B366),$W$5:$W$448,0)),"")</f>
        <v/>
      </c>
      <c r="C366" s="265" t="str">
        <f>IF($B366="","",COUNTIF(Jan[Resident Name],$B366))</f>
        <v/>
      </c>
      <c r="D366" s="265" t="str">
        <f>IF($B366="","",COUNTIF(Feb[Resident Name],$B366))</f>
        <v/>
      </c>
      <c r="E366" s="265" t="str">
        <f>IF($B366="","",COUNTIF(Mar[Resident Name],$B366))</f>
        <v/>
      </c>
      <c r="F366" s="265" t="str">
        <f>IF($B366="","",COUNTIF(Apr[Resident Name],$B366))</f>
        <v/>
      </c>
      <c r="G366" s="265" t="str">
        <f>IF($B366="","",COUNTIF(May[Resident Name],$B366))</f>
        <v/>
      </c>
      <c r="H366" s="265" t="str">
        <f>IF($B366="","",COUNTIF(June[Resident Name],$B366))</f>
        <v/>
      </c>
      <c r="I366" s="265" t="str">
        <f>IF($B366="","",COUNTIF(July[Resident Name],$B366))</f>
        <v/>
      </c>
      <c r="J366" s="265" t="str">
        <f>IF($B366="","",COUNTIF(Aug[Resident Name],$B366))</f>
        <v/>
      </c>
      <c r="K366" s="265" t="str">
        <f>IF($B366="","",COUNTIF(Sept[Resident Name],$B366))</f>
        <v/>
      </c>
      <c r="L366" s="265" t="str">
        <f>IF($B366="","",COUNTIF(Oct[Resident Name],$B366))</f>
        <v/>
      </c>
      <c r="M366" s="265" t="str">
        <f>IF($B366="","",COUNTIF(Nov[Resident Name],$B366))</f>
        <v/>
      </c>
      <c r="N366" s="265" t="str">
        <f>IF($B366="","",COUNTIF(Dec[Resident Name],$B366))</f>
        <v/>
      </c>
      <c r="O366" s="265" t="str">
        <f t="shared" si="11"/>
        <v/>
      </c>
      <c r="P366" s="11"/>
      <c r="R366" s="160" t="str">
        <f>IFERROR(INDEX($B$5:$B$172,MATCH(ROWS($R$5:R366),$X$5:$X$172,0)),"")</f>
        <v/>
      </c>
      <c r="S366" s="76" t="str">
        <f>IF($R366="","",INDEX($O$5:$O$172,MATCH(ROWS($R$5:R366),$X$5:$X$172,0)))</f>
        <v/>
      </c>
      <c r="U366" s="160" t="str">
        <f>IFERROR(INDEX($Z$5:$Z$448,MATCH(ROWS($U$5:U366),$AA$5:$AA$448,0)),"")</f>
        <v/>
      </c>
      <c r="V366" s="274" t="str">
        <f>IF(Oct!C32="","",Oct!C32)</f>
        <v/>
      </c>
      <c r="W366" s="274" t="str" cm="1">
        <f t="array" ref="W366">IF(V366="","",IF(COUNTIF($V$5:V366,V366)&gt;1,"",ROUND(1+SUMPRODUCT(($V$5:$V$448&lt;&gt;"")*($V$5:$V$448&lt;V366)/COUNTIF($V$5:$V$448,$V$5:$V$448&amp;"")),0)))</f>
        <v/>
      </c>
      <c r="X366" s="274"/>
      <c r="Z366" s="274" t="str">
        <f>IF(Oct!H32="Major Injury",Oct!C32,"")</f>
        <v/>
      </c>
      <c r="AA366" s="274" t="str" cm="1">
        <f t="array" ref="AA366">IF(Z366="","",IF(COUNTIF($Z$5:Z366,Z366)&gt;1,"",ROUND(1+SUMPRODUCT(($Z$5:$Z$448&lt;&gt;"")*($Z$5:$Z$448&lt;Z366)/COUNTIF($Z$5:$Z$448,$Z$5:$Z$448&amp;"")),0)))</f>
        <v/>
      </c>
    </row>
    <row r="367" spans="2:27" x14ac:dyDescent="0.25">
      <c r="B367" s="160" t="str">
        <f>IFERROR(INDEX($V$5:$V$448,MATCH(ROWS($B$5:B367),$W$5:$W$448,0)),"")</f>
        <v/>
      </c>
      <c r="C367" s="265" t="str">
        <f>IF($B367="","",COUNTIF(Jan[Resident Name],$B367))</f>
        <v/>
      </c>
      <c r="D367" s="265" t="str">
        <f>IF($B367="","",COUNTIF(Feb[Resident Name],$B367))</f>
        <v/>
      </c>
      <c r="E367" s="265" t="str">
        <f>IF($B367="","",COUNTIF(Mar[Resident Name],$B367))</f>
        <v/>
      </c>
      <c r="F367" s="265" t="str">
        <f>IF($B367="","",COUNTIF(Apr[Resident Name],$B367))</f>
        <v/>
      </c>
      <c r="G367" s="265" t="str">
        <f>IF($B367="","",COUNTIF(May[Resident Name],$B367))</f>
        <v/>
      </c>
      <c r="H367" s="265" t="str">
        <f>IF($B367="","",COUNTIF(June[Resident Name],$B367))</f>
        <v/>
      </c>
      <c r="I367" s="265" t="str">
        <f>IF($B367="","",COUNTIF(July[Resident Name],$B367))</f>
        <v/>
      </c>
      <c r="J367" s="265" t="str">
        <f>IF($B367="","",COUNTIF(Aug[Resident Name],$B367))</f>
        <v/>
      </c>
      <c r="K367" s="265" t="str">
        <f>IF($B367="","",COUNTIF(Sept[Resident Name],$B367))</f>
        <v/>
      </c>
      <c r="L367" s="265" t="str">
        <f>IF($B367="","",COUNTIF(Oct[Resident Name],$B367))</f>
        <v/>
      </c>
      <c r="M367" s="265" t="str">
        <f>IF($B367="","",COUNTIF(Nov[Resident Name],$B367))</f>
        <v/>
      </c>
      <c r="N367" s="265" t="str">
        <f>IF($B367="","",COUNTIF(Dec[Resident Name],$B367))</f>
        <v/>
      </c>
      <c r="O367" s="265" t="str">
        <f t="shared" si="11"/>
        <v/>
      </c>
      <c r="P367" s="11"/>
      <c r="R367" s="160" t="str">
        <f>IFERROR(INDEX($B$5:$B$172,MATCH(ROWS($R$5:R367),$X$5:$X$172,0)),"")</f>
        <v/>
      </c>
      <c r="S367" s="76" t="str">
        <f>IF($R367="","",INDEX($O$5:$O$172,MATCH(ROWS($R$5:R367),$X$5:$X$172,0)))</f>
        <v/>
      </c>
      <c r="U367" s="160" t="str">
        <f>IFERROR(INDEX($Z$5:$Z$448,MATCH(ROWS($U$5:U367),$AA$5:$AA$448,0)),"")</f>
        <v/>
      </c>
      <c r="V367" s="274" t="str">
        <f>IF(Oct!C33="","",Oct!C33)</f>
        <v/>
      </c>
      <c r="W367" s="274" t="str" cm="1">
        <f t="array" ref="W367">IF(V367="","",IF(COUNTIF($V$5:V367,V367)&gt;1,"",ROUND(1+SUMPRODUCT(($V$5:$V$448&lt;&gt;"")*($V$5:$V$448&lt;V367)/COUNTIF($V$5:$V$448,$V$5:$V$448&amp;"")),0)))</f>
        <v/>
      </c>
      <c r="X367" s="274"/>
      <c r="Z367" s="274" t="str">
        <f>IF(Oct!H33="Major Injury",Oct!C33,"")</f>
        <v/>
      </c>
      <c r="AA367" s="274" t="str" cm="1">
        <f t="array" ref="AA367">IF(Z367="","",IF(COUNTIF($Z$5:Z367,Z367)&gt;1,"",ROUND(1+SUMPRODUCT(($Z$5:$Z$448&lt;&gt;"")*($Z$5:$Z$448&lt;Z367)/COUNTIF($Z$5:$Z$448,$Z$5:$Z$448&amp;"")),0)))</f>
        <v/>
      </c>
    </row>
    <row r="368" spans="2:27" x14ac:dyDescent="0.25">
      <c r="B368" s="160" t="str">
        <f>IFERROR(INDEX($V$5:$V$448,MATCH(ROWS($B$5:B368),$W$5:$W$448,0)),"")</f>
        <v/>
      </c>
      <c r="C368" s="265" t="str">
        <f>IF($B368="","",COUNTIF(Jan[Resident Name],$B368))</f>
        <v/>
      </c>
      <c r="D368" s="265" t="str">
        <f>IF($B368="","",COUNTIF(Feb[Resident Name],$B368))</f>
        <v/>
      </c>
      <c r="E368" s="265" t="str">
        <f>IF($B368="","",COUNTIF(Mar[Resident Name],$B368))</f>
        <v/>
      </c>
      <c r="F368" s="265" t="str">
        <f>IF($B368="","",COUNTIF(Apr[Resident Name],$B368))</f>
        <v/>
      </c>
      <c r="G368" s="265" t="str">
        <f>IF($B368="","",COUNTIF(May[Resident Name],$B368))</f>
        <v/>
      </c>
      <c r="H368" s="265" t="str">
        <f>IF($B368="","",COUNTIF(June[Resident Name],$B368))</f>
        <v/>
      </c>
      <c r="I368" s="265" t="str">
        <f>IF($B368="","",COUNTIF(July[Resident Name],$B368))</f>
        <v/>
      </c>
      <c r="J368" s="265" t="str">
        <f>IF($B368="","",COUNTIF(Aug[Resident Name],$B368))</f>
        <v/>
      </c>
      <c r="K368" s="265" t="str">
        <f>IF($B368="","",COUNTIF(Sept[Resident Name],$B368))</f>
        <v/>
      </c>
      <c r="L368" s="265" t="str">
        <f>IF($B368="","",COUNTIF(Oct[Resident Name],$B368))</f>
        <v/>
      </c>
      <c r="M368" s="265" t="str">
        <f>IF($B368="","",COUNTIF(Nov[Resident Name],$B368))</f>
        <v/>
      </c>
      <c r="N368" s="265" t="str">
        <f>IF($B368="","",COUNTIF(Dec[Resident Name],$B368))</f>
        <v/>
      </c>
      <c r="O368" s="265" t="str">
        <f t="shared" si="11"/>
        <v/>
      </c>
      <c r="P368" s="11"/>
      <c r="R368" s="160" t="str">
        <f>IFERROR(INDEX($B$5:$B$172,MATCH(ROWS($R$5:R368),$X$5:$X$172,0)),"")</f>
        <v/>
      </c>
      <c r="S368" s="76" t="str">
        <f>IF($R368="","",INDEX($O$5:$O$172,MATCH(ROWS($R$5:R368),$X$5:$X$172,0)))</f>
        <v/>
      </c>
      <c r="U368" s="160" t="str">
        <f>IFERROR(INDEX($Z$5:$Z$448,MATCH(ROWS($U$5:U368),$AA$5:$AA$448,0)),"")</f>
        <v/>
      </c>
      <c r="V368" s="274" t="str">
        <f>IF(Oct!C34="","",Oct!C34)</f>
        <v/>
      </c>
      <c r="W368" s="274" t="str" cm="1">
        <f t="array" ref="W368">IF(V368="","",IF(COUNTIF($V$5:V368,V368)&gt;1,"",ROUND(1+SUMPRODUCT(($V$5:$V$448&lt;&gt;"")*($V$5:$V$448&lt;V368)/COUNTIF($V$5:$V$448,$V$5:$V$448&amp;"")),0)))</f>
        <v/>
      </c>
      <c r="X368" s="274"/>
      <c r="Z368" s="274" t="str">
        <f>IF(Oct!H34="Major Injury",Oct!C34,"")</f>
        <v/>
      </c>
      <c r="AA368" s="274" t="str" cm="1">
        <f t="array" ref="AA368">IF(Z368="","",IF(COUNTIF($Z$5:Z368,Z368)&gt;1,"",ROUND(1+SUMPRODUCT(($Z$5:$Z$448&lt;&gt;"")*($Z$5:$Z$448&lt;Z368)/COUNTIF($Z$5:$Z$448,$Z$5:$Z$448&amp;"")),0)))</f>
        <v/>
      </c>
    </row>
    <row r="369" spans="2:27" x14ac:dyDescent="0.25">
      <c r="B369" s="160" t="str">
        <f>IFERROR(INDEX($V$5:$V$448,MATCH(ROWS($B$5:B369),$W$5:$W$448,0)),"")</f>
        <v/>
      </c>
      <c r="C369" s="265" t="str">
        <f>IF($B369="","",COUNTIF(Jan[Resident Name],$B369))</f>
        <v/>
      </c>
      <c r="D369" s="265" t="str">
        <f>IF($B369="","",COUNTIF(Feb[Resident Name],$B369))</f>
        <v/>
      </c>
      <c r="E369" s="265" t="str">
        <f>IF($B369="","",COUNTIF(Mar[Resident Name],$B369))</f>
        <v/>
      </c>
      <c r="F369" s="265" t="str">
        <f>IF($B369="","",COUNTIF(Apr[Resident Name],$B369))</f>
        <v/>
      </c>
      <c r="G369" s="265" t="str">
        <f>IF($B369="","",COUNTIF(May[Resident Name],$B369))</f>
        <v/>
      </c>
      <c r="H369" s="265" t="str">
        <f>IF($B369="","",COUNTIF(June[Resident Name],$B369))</f>
        <v/>
      </c>
      <c r="I369" s="265" t="str">
        <f>IF($B369="","",COUNTIF(July[Resident Name],$B369))</f>
        <v/>
      </c>
      <c r="J369" s="265" t="str">
        <f>IF($B369="","",COUNTIF(Aug[Resident Name],$B369))</f>
        <v/>
      </c>
      <c r="K369" s="265" t="str">
        <f>IF($B369="","",COUNTIF(Sept[Resident Name],$B369))</f>
        <v/>
      </c>
      <c r="L369" s="265" t="str">
        <f>IF($B369="","",COUNTIF(Oct[Resident Name],$B369))</f>
        <v/>
      </c>
      <c r="M369" s="265" t="str">
        <f>IF($B369="","",COUNTIF(Nov[Resident Name],$B369))</f>
        <v/>
      </c>
      <c r="N369" s="265" t="str">
        <f>IF($B369="","",COUNTIF(Dec[Resident Name],$B369))</f>
        <v/>
      </c>
      <c r="O369" s="265" t="str">
        <f t="shared" si="11"/>
        <v/>
      </c>
      <c r="P369" s="11"/>
      <c r="R369" s="160" t="str">
        <f>IFERROR(INDEX($B$5:$B$172,MATCH(ROWS($R$5:R369),$X$5:$X$172,0)),"")</f>
        <v/>
      </c>
      <c r="S369" s="76" t="str">
        <f>IF($R369="","",INDEX($O$5:$O$172,MATCH(ROWS($R$5:R369),$X$5:$X$172,0)))</f>
        <v/>
      </c>
      <c r="U369" s="160" t="str">
        <f>IFERROR(INDEX($Z$5:$Z$448,MATCH(ROWS($U$5:U369),$AA$5:$AA$448,0)),"")</f>
        <v/>
      </c>
      <c r="V369" s="274" t="str">
        <f>IF(Oct!C35="","",Oct!C35)</f>
        <v/>
      </c>
      <c r="W369" s="274" t="str" cm="1">
        <f t="array" ref="W369">IF(V369="","",IF(COUNTIF($V$5:V369,V369)&gt;1,"",ROUND(1+SUMPRODUCT(($V$5:$V$448&lt;&gt;"")*($V$5:$V$448&lt;V369)/COUNTIF($V$5:$V$448,$V$5:$V$448&amp;"")),0)))</f>
        <v/>
      </c>
      <c r="X369" s="274"/>
      <c r="Z369" s="274" t="str">
        <f>IF(Oct!H35="Major Injury",Oct!C35,"")</f>
        <v/>
      </c>
      <c r="AA369" s="274" t="str" cm="1">
        <f t="array" ref="AA369">IF(Z369="","",IF(COUNTIF($Z$5:Z369,Z369)&gt;1,"",ROUND(1+SUMPRODUCT(($Z$5:$Z$448&lt;&gt;"")*($Z$5:$Z$448&lt;Z369)/COUNTIF($Z$5:$Z$448,$Z$5:$Z$448&amp;"")),0)))</f>
        <v/>
      </c>
    </row>
    <row r="370" spans="2:27" x14ac:dyDescent="0.25">
      <c r="B370" s="160" t="str">
        <f>IFERROR(INDEX($V$5:$V$448,MATCH(ROWS($B$5:B370),$W$5:$W$448,0)),"")</f>
        <v/>
      </c>
      <c r="C370" s="265" t="str">
        <f>IF($B370="","",COUNTIF(Jan[Resident Name],$B370))</f>
        <v/>
      </c>
      <c r="D370" s="265" t="str">
        <f>IF($B370="","",COUNTIF(Feb[Resident Name],$B370))</f>
        <v/>
      </c>
      <c r="E370" s="265" t="str">
        <f>IF($B370="","",COUNTIF(Mar[Resident Name],$B370))</f>
        <v/>
      </c>
      <c r="F370" s="265" t="str">
        <f>IF($B370="","",COUNTIF(Apr[Resident Name],$B370))</f>
        <v/>
      </c>
      <c r="G370" s="265" t="str">
        <f>IF($B370="","",COUNTIF(May[Resident Name],$B370))</f>
        <v/>
      </c>
      <c r="H370" s="265" t="str">
        <f>IF($B370="","",COUNTIF(June[Resident Name],$B370))</f>
        <v/>
      </c>
      <c r="I370" s="265" t="str">
        <f>IF($B370="","",COUNTIF(July[Resident Name],$B370))</f>
        <v/>
      </c>
      <c r="J370" s="265" t="str">
        <f>IF($B370="","",COUNTIF(Aug[Resident Name],$B370))</f>
        <v/>
      </c>
      <c r="K370" s="265" t="str">
        <f>IF($B370="","",COUNTIF(Sept[Resident Name],$B370))</f>
        <v/>
      </c>
      <c r="L370" s="265" t="str">
        <f>IF($B370="","",COUNTIF(Oct[Resident Name],$B370))</f>
        <v/>
      </c>
      <c r="M370" s="265" t="str">
        <f>IF($B370="","",COUNTIF(Nov[Resident Name],$B370))</f>
        <v/>
      </c>
      <c r="N370" s="265" t="str">
        <f>IF($B370="","",COUNTIF(Dec[Resident Name],$B370))</f>
        <v/>
      </c>
      <c r="O370" s="265" t="str">
        <f t="shared" si="11"/>
        <v/>
      </c>
      <c r="P370" s="11"/>
      <c r="R370" s="160" t="str">
        <f>IFERROR(INDEX($B$5:$B$172,MATCH(ROWS($R$5:R370),$X$5:$X$172,0)),"")</f>
        <v/>
      </c>
      <c r="S370" s="76" t="str">
        <f>IF($R370="","",INDEX($O$5:$O$172,MATCH(ROWS($R$5:R370),$X$5:$X$172,0)))</f>
        <v/>
      </c>
      <c r="U370" s="160" t="str">
        <f>IFERROR(INDEX($Z$5:$Z$448,MATCH(ROWS($U$5:U370),$AA$5:$AA$448,0)),"")</f>
        <v/>
      </c>
      <c r="V370" s="274" t="str">
        <f>IF(Oct!C36="","",Oct!C36)</f>
        <v/>
      </c>
      <c r="W370" s="274" t="str" cm="1">
        <f t="array" ref="W370">IF(V370="","",IF(COUNTIF($V$5:V370,V370)&gt;1,"",ROUND(1+SUMPRODUCT(($V$5:$V$448&lt;&gt;"")*($V$5:$V$448&lt;V370)/COUNTIF($V$5:$V$448,$V$5:$V$448&amp;"")),0)))</f>
        <v/>
      </c>
      <c r="X370" s="274"/>
      <c r="Z370" s="274" t="str">
        <f>IF(Oct!H36="Major Injury",Oct!C36,"")</f>
        <v/>
      </c>
      <c r="AA370" s="274" t="str" cm="1">
        <f t="array" ref="AA370">IF(Z370="","",IF(COUNTIF($Z$5:Z370,Z370)&gt;1,"",ROUND(1+SUMPRODUCT(($Z$5:$Z$448&lt;&gt;"")*($Z$5:$Z$448&lt;Z370)/COUNTIF($Z$5:$Z$448,$Z$5:$Z$448&amp;"")),0)))</f>
        <v/>
      </c>
    </row>
    <row r="371" spans="2:27" x14ac:dyDescent="0.25">
      <c r="B371" s="160" t="str">
        <f>IFERROR(INDEX($V$5:$V$448,MATCH(ROWS($B$5:B371),$W$5:$W$448,0)),"")</f>
        <v/>
      </c>
      <c r="C371" s="265" t="str">
        <f>IF($B371="","",COUNTIF(Jan[Resident Name],$B371))</f>
        <v/>
      </c>
      <c r="D371" s="265" t="str">
        <f>IF($B371="","",COUNTIF(Feb[Resident Name],$B371))</f>
        <v/>
      </c>
      <c r="E371" s="265" t="str">
        <f>IF($B371="","",COUNTIF(Mar[Resident Name],$B371))</f>
        <v/>
      </c>
      <c r="F371" s="265" t="str">
        <f>IF($B371="","",COUNTIF(Apr[Resident Name],$B371))</f>
        <v/>
      </c>
      <c r="G371" s="265" t="str">
        <f>IF($B371="","",COUNTIF(May[Resident Name],$B371))</f>
        <v/>
      </c>
      <c r="H371" s="265" t="str">
        <f>IF($B371="","",COUNTIF(June[Resident Name],$B371))</f>
        <v/>
      </c>
      <c r="I371" s="265" t="str">
        <f>IF($B371="","",COUNTIF(July[Resident Name],$B371))</f>
        <v/>
      </c>
      <c r="J371" s="265" t="str">
        <f>IF($B371="","",COUNTIF(Aug[Resident Name],$B371))</f>
        <v/>
      </c>
      <c r="K371" s="265" t="str">
        <f>IF($B371="","",COUNTIF(Sept[Resident Name],$B371))</f>
        <v/>
      </c>
      <c r="L371" s="265" t="str">
        <f>IF($B371="","",COUNTIF(Oct[Resident Name],$B371))</f>
        <v/>
      </c>
      <c r="M371" s="265" t="str">
        <f>IF($B371="","",COUNTIF(Nov[Resident Name],$B371))</f>
        <v/>
      </c>
      <c r="N371" s="265" t="str">
        <f>IF($B371="","",COUNTIF(Dec[Resident Name],$B371))</f>
        <v/>
      </c>
      <c r="O371" s="265" t="str">
        <f t="shared" si="11"/>
        <v/>
      </c>
      <c r="P371" s="11"/>
      <c r="R371" s="160" t="str">
        <f>IFERROR(INDEX($B$5:$B$172,MATCH(ROWS($R$5:R371),$X$5:$X$172,0)),"")</f>
        <v/>
      </c>
      <c r="S371" s="76" t="str">
        <f>IF($R371="","",INDEX($O$5:$O$172,MATCH(ROWS($R$5:R371),$X$5:$X$172,0)))</f>
        <v/>
      </c>
      <c r="U371" s="160" t="str">
        <f>IFERROR(INDEX($Z$5:$Z$448,MATCH(ROWS($U$5:U371),$AA$5:$AA$448,0)),"")</f>
        <v/>
      </c>
      <c r="V371" s="274" t="str">
        <f>IF(Oct!C37="","",Oct!C37)</f>
        <v/>
      </c>
      <c r="W371" s="274" t="str" cm="1">
        <f t="array" ref="W371">IF(V371="","",IF(COUNTIF($V$5:V371,V371)&gt;1,"",ROUND(1+SUMPRODUCT(($V$5:$V$448&lt;&gt;"")*($V$5:$V$448&lt;V371)/COUNTIF($V$5:$V$448,$V$5:$V$448&amp;"")),0)))</f>
        <v/>
      </c>
      <c r="X371" s="274"/>
      <c r="Z371" s="274" t="str">
        <f>IF(Oct!H37="Major Injury",Oct!C37,"")</f>
        <v/>
      </c>
      <c r="AA371" s="274" t="str" cm="1">
        <f t="array" ref="AA371">IF(Z371="","",IF(COUNTIF($Z$5:Z371,Z371)&gt;1,"",ROUND(1+SUMPRODUCT(($Z$5:$Z$448&lt;&gt;"")*($Z$5:$Z$448&lt;Z371)/COUNTIF($Z$5:$Z$448,$Z$5:$Z$448&amp;"")),0)))</f>
        <v/>
      </c>
    </row>
    <row r="372" spans="2:27" x14ac:dyDescent="0.25">
      <c r="B372" s="160" t="str">
        <f>IFERROR(INDEX($V$5:$V$448,MATCH(ROWS($B$5:B372),$W$5:$W$448,0)),"")</f>
        <v/>
      </c>
      <c r="C372" s="265" t="str">
        <f>IF($B372="","",COUNTIF(Jan[Resident Name],$B372))</f>
        <v/>
      </c>
      <c r="D372" s="265" t="str">
        <f>IF($B372="","",COUNTIF(Feb[Resident Name],$B372))</f>
        <v/>
      </c>
      <c r="E372" s="265" t="str">
        <f>IF($B372="","",COUNTIF(Mar[Resident Name],$B372))</f>
        <v/>
      </c>
      <c r="F372" s="265" t="str">
        <f>IF($B372="","",COUNTIF(Apr[Resident Name],$B372))</f>
        <v/>
      </c>
      <c r="G372" s="265" t="str">
        <f>IF($B372="","",COUNTIF(May[Resident Name],$B372))</f>
        <v/>
      </c>
      <c r="H372" s="265" t="str">
        <f>IF($B372="","",COUNTIF(June[Resident Name],$B372))</f>
        <v/>
      </c>
      <c r="I372" s="265" t="str">
        <f>IF($B372="","",COUNTIF(July[Resident Name],$B372))</f>
        <v/>
      </c>
      <c r="J372" s="265" t="str">
        <f>IF($B372="","",COUNTIF(Aug[Resident Name],$B372))</f>
        <v/>
      </c>
      <c r="K372" s="265" t="str">
        <f>IF($B372="","",COUNTIF(Sept[Resident Name],$B372))</f>
        <v/>
      </c>
      <c r="L372" s="265" t="str">
        <f>IF($B372="","",COUNTIF(Oct[Resident Name],$B372))</f>
        <v/>
      </c>
      <c r="M372" s="265" t="str">
        <f>IF($B372="","",COUNTIF(Nov[Resident Name],$B372))</f>
        <v/>
      </c>
      <c r="N372" s="265" t="str">
        <f>IF($B372="","",COUNTIF(Dec[Resident Name],$B372))</f>
        <v/>
      </c>
      <c r="O372" s="265" t="str">
        <f t="shared" si="11"/>
        <v/>
      </c>
      <c r="P372" s="11"/>
      <c r="R372" s="160" t="str">
        <f>IFERROR(INDEX($B$5:$B$172,MATCH(ROWS($R$5:R372),$X$5:$X$172,0)),"")</f>
        <v/>
      </c>
      <c r="S372" s="76" t="str">
        <f>IF($R372="","",INDEX($O$5:$O$172,MATCH(ROWS($R$5:R372),$X$5:$X$172,0)))</f>
        <v/>
      </c>
      <c r="U372" s="160" t="str">
        <f>IFERROR(INDEX($Z$5:$Z$448,MATCH(ROWS($U$5:U372),$AA$5:$AA$448,0)),"")</f>
        <v/>
      </c>
      <c r="V372" s="274" t="str">
        <f>IF(Oct!C38="","",Oct!C38)</f>
        <v/>
      </c>
      <c r="W372" s="274" t="str" cm="1">
        <f t="array" ref="W372">IF(V372="","",IF(COUNTIF($V$5:V372,V372)&gt;1,"",ROUND(1+SUMPRODUCT(($V$5:$V$448&lt;&gt;"")*($V$5:$V$448&lt;V372)/COUNTIF($V$5:$V$448,$V$5:$V$448&amp;"")),0)))</f>
        <v/>
      </c>
      <c r="X372" s="274"/>
      <c r="Z372" s="274" t="str">
        <f>IF(Oct!H38="Major Injury",Oct!C38,"")</f>
        <v/>
      </c>
      <c r="AA372" s="274" t="str" cm="1">
        <f t="array" ref="AA372">IF(Z372="","",IF(COUNTIF($Z$5:Z372,Z372)&gt;1,"",ROUND(1+SUMPRODUCT(($Z$5:$Z$448&lt;&gt;"")*($Z$5:$Z$448&lt;Z372)/COUNTIF($Z$5:$Z$448,$Z$5:$Z$448&amp;"")),0)))</f>
        <v/>
      </c>
    </row>
    <row r="373" spans="2:27" x14ac:dyDescent="0.25">
      <c r="B373" s="160" t="str">
        <f>IFERROR(INDEX($V$5:$V$448,MATCH(ROWS($B$5:B373),$W$5:$W$448,0)),"")</f>
        <v/>
      </c>
      <c r="C373" s="265" t="str">
        <f>IF($B373="","",COUNTIF(Jan[Resident Name],$B373))</f>
        <v/>
      </c>
      <c r="D373" s="265" t="str">
        <f>IF($B373="","",COUNTIF(Feb[Resident Name],$B373))</f>
        <v/>
      </c>
      <c r="E373" s="265" t="str">
        <f>IF($B373="","",COUNTIF(Mar[Resident Name],$B373))</f>
        <v/>
      </c>
      <c r="F373" s="265" t="str">
        <f>IF($B373="","",COUNTIF(Apr[Resident Name],$B373))</f>
        <v/>
      </c>
      <c r="G373" s="265" t="str">
        <f>IF($B373="","",COUNTIF(May[Resident Name],$B373))</f>
        <v/>
      </c>
      <c r="H373" s="265" t="str">
        <f>IF($B373="","",COUNTIF(June[Resident Name],$B373))</f>
        <v/>
      </c>
      <c r="I373" s="265" t="str">
        <f>IF($B373="","",COUNTIF(July[Resident Name],$B373))</f>
        <v/>
      </c>
      <c r="J373" s="265" t="str">
        <f>IF($B373="","",COUNTIF(Aug[Resident Name],$B373))</f>
        <v/>
      </c>
      <c r="K373" s="265" t="str">
        <f>IF($B373="","",COUNTIF(Sept[Resident Name],$B373))</f>
        <v/>
      </c>
      <c r="L373" s="265" t="str">
        <f>IF($B373="","",COUNTIF(Oct[Resident Name],$B373))</f>
        <v/>
      </c>
      <c r="M373" s="265" t="str">
        <f>IF($B373="","",COUNTIF(Nov[Resident Name],$B373))</f>
        <v/>
      </c>
      <c r="N373" s="265" t="str">
        <f>IF($B373="","",COUNTIF(Dec[Resident Name],$B373))</f>
        <v/>
      </c>
      <c r="O373" s="265" t="str">
        <f t="shared" si="11"/>
        <v/>
      </c>
      <c r="P373" s="11"/>
      <c r="R373" s="160" t="str">
        <f>IFERROR(INDEX($B$5:$B$172,MATCH(ROWS($R$5:R373),$X$5:$X$172,0)),"")</f>
        <v/>
      </c>
      <c r="S373" s="76" t="str">
        <f>IF($R373="","",INDEX($O$5:$O$172,MATCH(ROWS($R$5:R373),$X$5:$X$172,0)))</f>
        <v/>
      </c>
      <c r="U373" s="160" t="str">
        <f>IFERROR(INDEX($Z$5:$Z$448,MATCH(ROWS($U$5:U373),$AA$5:$AA$448,0)),"")</f>
        <v/>
      </c>
      <c r="V373" s="274" t="str">
        <f>IF(Oct!C39="","",Oct!C39)</f>
        <v/>
      </c>
      <c r="W373" s="274" t="str" cm="1">
        <f t="array" ref="W373">IF(V373="","",IF(COUNTIF($V$5:V373,V373)&gt;1,"",ROUND(1+SUMPRODUCT(($V$5:$V$448&lt;&gt;"")*($V$5:$V$448&lt;V373)/COUNTIF($V$5:$V$448,$V$5:$V$448&amp;"")),0)))</f>
        <v/>
      </c>
      <c r="X373" s="274"/>
      <c r="Z373" s="274" t="str">
        <f>IF(Oct!H39="Major Injury",Oct!C39,"")</f>
        <v/>
      </c>
      <c r="AA373" s="274" t="str" cm="1">
        <f t="array" ref="AA373">IF(Z373="","",IF(COUNTIF($Z$5:Z373,Z373)&gt;1,"",ROUND(1+SUMPRODUCT(($Z$5:$Z$448&lt;&gt;"")*($Z$5:$Z$448&lt;Z373)/COUNTIF($Z$5:$Z$448,$Z$5:$Z$448&amp;"")),0)))</f>
        <v/>
      </c>
    </row>
    <row r="374" spans="2:27" x14ac:dyDescent="0.25">
      <c r="B374" s="160" t="str">
        <f>IFERROR(INDEX($V$5:$V$448,MATCH(ROWS($B$5:B374),$W$5:$W$448,0)),"")</f>
        <v/>
      </c>
      <c r="C374" s="265" t="str">
        <f>IF($B374="","",COUNTIF(Jan[Resident Name],$B374))</f>
        <v/>
      </c>
      <c r="D374" s="265" t="str">
        <f>IF($B374="","",COUNTIF(Feb[Resident Name],$B374))</f>
        <v/>
      </c>
      <c r="E374" s="265" t="str">
        <f>IF($B374="","",COUNTIF(Mar[Resident Name],$B374))</f>
        <v/>
      </c>
      <c r="F374" s="265" t="str">
        <f>IF($B374="","",COUNTIF(Apr[Resident Name],$B374))</f>
        <v/>
      </c>
      <c r="G374" s="265" t="str">
        <f>IF($B374="","",COUNTIF(May[Resident Name],$B374))</f>
        <v/>
      </c>
      <c r="H374" s="265" t="str">
        <f>IF($B374="","",COUNTIF(June[Resident Name],$B374))</f>
        <v/>
      </c>
      <c r="I374" s="265" t="str">
        <f>IF($B374="","",COUNTIF(July[Resident Name],$B374))</f>
        <v/>
      </c>
      <c r="J374" s="265" t="str">
        <f>IF($B374="","",COUNTIF(Aug[Resident Name],$B374))</f>
        <v/>
      </c>
      <c r="K374" s="265" t="str">
        <f>IF($B374="","",COUNTIF(Sept[Resident Name],$B374))</f>
        <v/>
      </c>
      <c r="L374" s="265" t="str">
        <f>IF($B374="","",COUNTIF(Oct[Resident Name],$B374))</f>
        <v/>
      </c>
      <c r="M374" s="265" t="str">
        <f>IF($B374="","",COUNTIF(Nov[Resident Name],$B374))</f>
        <v/>
      </c>
      <c r="N374" s="265" t="str">
        <f>IF($B374="","",COUNTIF(Dec[Resident Name],$B374))</f>
        <v/>
      </c>
      <c r="O374" s="265" t="str">
        <f t="shared" si="11"/>
        <v/>
      </c>
      <c r="P374" s="11"/>
      <c r="R374" s="160" t="str">
        <f>IFERROR(INDEX($B$5:$B$172,MATCH(ROWS($R$5:R374),$X$5:$X$172,0)),"")</f>
        <v/>
      </c>
      <c r="S374" s="76" t="str">
        <f>IF($R374="","",INDEX($O$5:$O$172,MATCH(ROWS($R$5:R374),$X$5:$X$172,0)))</f>
        <v/>
      </c>
      <c r="U374" s="160" t="str">
        <f>IFERROR(INDEX($Z$5:$Z$448,MATCH(ROWS($U$5:U374),$AA$5:$AA$448,0)),"")</f>
        <v/>
      </c>
      <c r="V374" s="274" t="str">
        <f>IF(Oct!C40="","",Oct!C40)</f>
        <v/>
      </c>
      <c r="W374" s="274" t="str" cm="1">
        <f t="array" ref="W374">IF(V374="","",IF(COUNTIF($V$5:V374,V374)&gt;1,"",ROUND(1+SUMPRODUCT(($V$5:$V$448&lt;&gt;"")*($V$5:$V$448&lt;V374)/COUNTIF($V$5:$V$448,$V$5:$V$448&amp;"")),0)))</f>
        <v/>
      </c>
      <c r="X374" s="274"/>
      <c r="Z374" s="274" t="str">
        <f>IF(Oct!H40="Major Injury",Oct!C40,"")</f>
        <v/>
      </c>
      <c r="AA374" s="274" t="str" cm="1">
        <f t="array" ref="AA374">IF(Z374="","",IF(COUNTIF($Z$5:Z374,Z374)&gt;1,"",ROUND(1+SUMPRODUCT(($Z$5:$Z$448&lt;&gt;"")*($Z$5:$Z$448&lt;Z374)/COUNTIF($Z$5:$Z$448,$Z$5:$Z$448&amp;"")),0)))</f>
        <v/>
      </c>
    </row>
    <row r="375" spans="2:27" x14ac:dyDescent="0.25">
      <c r="B375" s="160" t="str">
        <f>IFERROR(INDEX($V$5:$V$448,MATCH(ROWS($B$5:B375),$W$5:$W$448,0)),"")</f>
        <v/>
      </c>
      <c r="C375" s="265" t="str">
        <f>IF($B375="","",COUNTIF(Jan[Resident Name],$B375))</f>
        <v/>
      </c>
      <c r="D375" s="265" t="str">
        <f>IF($B375="","",COUNTIF(Feb[Resident Name],$B375))</f>
        <v/>
      </c>
      <c r="E375" s="265" t="str">
        <f>IF($B375="","",COUNTIF(Mar[Resident Name],$B375))</f>
        <v/>
      </c>
      <c r="F375" s="265" t="str">
        <f>IF($B375="","",COUNTIF(Apr[Resident Name],$B375))</f>
        <v/>
      </c>
      <c r="G375" s="265" t="str">
        <f>IF($B375="","",COUNTIF(May[Resident Name],$B375))</f>
        <v/>
      </c>
      <c r="H375" s="265" t="str">
        <f>IF($B375="","",COUNTIF(June[Resident Name],$B375))</f>
        <v/>
      </c>
      <c r="I375" s="265" t="str">
        <f>IF($B375="","",COUNTIF(July[Resident Name],$B375))</f>
        <v/>
      </c>
      <c r="J375" s="265" t="str">
        <f>IF($B375="","",COUNTIF(Aug[Resident Name],$B375))</f>
        <v/>
      </c>
      <c r="K375" s="265" t="str">
        <f>IF($B375="","",COUNTIF(Sept[Resident Name],$B375))</f>
        <v/>
      </c>
      <c r="L375" s="265" t="str">
        <f>IF($B375="","",COUNTIF(Oct[Resident Name],$B375))</f>
        <v/>
      </c>
      <c r="M375" s="265" t="str">
        <f>IF($B375="","",COUNTIF(Nov[Resident Name],$B375))</f>
        <v/>
      </c>
      <c r="N375" s="265" t="str">
        <f>IF($B375="","",COUNTIF(Dec[Resident Name],$B375))</f>
        <v/>
      </c>
      <c r="O375" s="265" t="str">
        <f t="shared" si="11"/>
        <v/>
      </c>
      <c r="P375" s="11"/>
      <c r="R375" s="160" t="str">
        <f>IFERROR(INDEX($B$5:$B$172,MATCH(ROWS($R$5:R375),$X$5:$X$172,0)),"")</f>
        <v/>
      </c>
      <c r="S375" s="76" t="str">
        <f>IF($R375="","",INDEX($O$5:$O$172,MATCH(ROWS($R$5:R375),$X$5:$X$172,0)))</f>
        <v/>
      </c>
      <c r="U375" s="160" t="str">
        <f>IFERROR(INDEX($Z$5:$Z$448,MATCH(ROWS($U$5:U375),$AA$5:$AA$448,0)),"")</f>
        <v/>
      </c>
      <c r="V375" s="274" t="str">
        <f>IF(Nov!C4="","",Nov!C4)</f>
        <v/>
      </c>
      <c r="W375" s="274" t="str" cm="1">
        <f t="array" ref="W375">IF(V375="","",IF(COUNTIF($V$5:V375,V375)&gt;1,"",ROUND(1+SUMPRODUCT(($V$5:$V$448&lt;&gt;"")*($V$5:$V$448&lt;V375)/COUNTIF($V$5:$V$448,$V$5:$V$448&amp;"")),0)))</f>
        <v/>
      </c>
      <c r="X375" s="274"/>
      <c r="Z375" s="274" t="str">
        <f>IF(Nov!H4="Major Injury",Nov!C4,"")</f>
        <v/>
      </c>
      <c r="AA375" s="274" t="str" cm="1">
        <f t="array" ref="AA375">IF(Z375="","",IF(COUNTIF($Z$5:Z375,Z375)&gt;1,"",ROUND(1+SUMPRODUCT(($Z$5:$Z$448&lt;&gt;"")*($Z$5:$Z$448&lt;Z375)/COUNTIF($Z$5:$Z$448,$Z$5:$Z$448&amp;"")),0)))</f>
        <v/>
      </c>
    </row>
    <row r="376" spans="2:27" x14ac:dyDescent="0.25">
      <c r="B376" s="160" t="str">
        <f>IFERROR(INDEX($V$5:$V$448,MATCH(ROWS($B$5:B376),$W$5:$W$448,0)),"")</f>
        <v/>
      </c>
      <c r="C376" s="265" t="str">
        <f>IF($B376="","",COUNTIF(Jan[Resident Name],$B376))</f>
        <v/>
      </c>
      <c r="D376" s="265" t="str">
        <f>IF($B376="","",COUNTIF(Feb[Resident Name],$B376))</f>
        <v/>
      </c>
      <c r="E376" s="265" t="str">
        <f>IF($B376="","",COUNTIF(Mar[Resident Name],$B376))</f>
        <v/>
      </c>
      <c r="F376" s="265" t="str">
        <f>IF($B376="","",COUNTIF(Apr[Resident Name],$B376))</f>
        <v/>
      </c>
      <c r="G376" s="265" t="str">
        <f>IF($B376="","",COUNTIF(May[Resident Name],$B376))</f>
        <v/>
      </c>
      <c r="H376" s="265" t="str">
        <f>IF($B376="","",COUNTIF(June[Resident Name],$B376))</f>
        <v/>
      </c>
      <c r="I376" s="265" t="str">
        <f>IF($B376="","",COUNTIF(July[Resident Name],$B376))</f>
        <v/>
      </c>
      <c r="J376" s="265" t="str">
        <f>IF($B376="","",COUNTIF(Aug[Resident Name],$B376))</f>
        <v/>
      </c>
      <c r="K376" s="265" t="str">
        <f>IF($B376="","",COUNTIF(Sept[Resident Name],$B376))</f>
        <v/>
      </c>
      <c r="L376" s="265" t="str">
        <f>IF($B376="","",COUNTIF(Oct[Resident Name],$B376))</f>
        <v/>
      </c>
      <c r="M376" s="265" t="str">
        <f>IF($B376="","",COUNTIF(Nov[Resident Name],$B376))</f>
        <v/>
      </c>
      <c r="N376" s="265" t="str">
        <f>IF($B376="","",COUNTIF(Dec[Resident Name],$B376))</f>
        <v/>
      </c>
      <c r="O376" s="265" t="str">
        <f t="shared" si="11"/>
        <v/>
      </c>
      <c r="P376" s="11"/>
      <c r="R376" s="160" t="str">
        <f>IFERROR(INDEX($B$5:$B$172,MATCH(ROWS($R$5:R376),$X$5:$X$172,0)),"")</f>
        <v/>
      </c>
      <c r="S376" s="76" t="str">
        <f>IF($R376="","",INDEX($O$5:$O$172,MATCH(ROWS($R$5:R376),$X$5:$X$172,0)))</f>
        <v/>
      </c>
      <c r="U376" s="160" t="str">
        <f>IFERROR(INDEX($Z$5:$Z$448,MATCH(ROWS($U$5:U376),$AA$5:$AA$448,0)),"")</f>
        <v/>
      </c>
      <c r="V376" s="274" t="str">
        <f>IF(Nov!C5="","",Nov!C5)</f>
        <v/>
      </c>
      <c r="W376" s="274" t="str" cm="1">
        <f t="array" ref="W376">IF(V376="","",IF(COUNTIF($V$5:V376,V376)&gt;1,"",ROUND(1+SUMPRODUCT(($V$5:$V$448&lt;&gt;"")*($V$5:$V$448&lt;V376)/COUNTIF($V$5:$V$448,$V$5:$V$448&amp;"")),0)))</f>
        <v/>
      </c>
      <c r="X376" s="274"/>
      <c r="Z376" s="274" t="str">
        <f>IF(Nov!H5="Major Injury",Nov!C5,"")</f>
        <v/>
      </c>
      <c r="AA376" s="274" t="str" cm="1">
        <f t="array" ref="AA376">IF(Z376="","",IF(COUNTIF($Z$5:Z376,Z376)&gt;1,"",ROUND(1+SUMPRODUCT(($Z$5:$Z$448&lt;&gt;"")*($Z$5:$Z$448&lt;Z376)/COUNTIF($Z$5:$Z$448,$Z$5:$Z$448&amp;"")),0)))</f>
        <v/>
      </c>
    </row>
    <row r="377" spans="2:27" x14ac:dyDescent="0.25">
      <c r="B377" s="160" t="str">
        <f>IFERROR(INDEX($V$5:$V$448,MATCH(ROWS($B$5:B377),$W$5:$W$448,0)),"")</f>
        <v/>
      </c>
      <c r="C377" s="265" t="str">
        <f>IF($B377="","",COUNTIF(Jan[Resident Name],$B377))</f>
        <v/>
      </c>
      <c r="D377" s="265" t="str">
        <f>IF($B377="","",COUNTIF(Feb[Resident Name],$B377))</f>
        <v/>
      </c>
      <c r="E377" s="265" t="str">
        <f>IF($B377="","",COUNTIF(Mar[Resident Name],$B377))</f>
        <v/>
      </c>
      <c r="F377" s="265" t="str">
        <f>IF($B377="","",COUNTIF(Apr[Resident Name],$B377))</f>
        <v/>
      </c>
      <c r="G377" s="265" t="str">
        <f>IF($B377="","",COUNTIF(May[Resident Name],$B377))</f>
        <v/>
      </c>
      <c r="H377" s="265" t="str">
        <f>IF($B377="","",COUNTIF(June[Resident Name],$B377))</f>
        <v/>
      </c>
      <c r="I377" s="265" t="str">
        <f>IF($B377="","",COUNTIF(July[Resident Name],$B377))</f>
        <v/>
      </c>
      <c r="J377" s="265" t="str">
        <f>IF($B377="","",COUNTIF(Aug[Resident Name],$B377))</f>
        <v/>
      </c>
      <c r="K377" s="265" t="str">
        <f>IF($B377="","",COUNTIF(Sept[Resident Name],$B377))</f>
        <v/>
      </c>
      <c r="L377" s="265" t="str">
        <f>IF($B377="","",COUNTIF(Oct[Resident Name],$B377))</f>
        <v/>
      </c>
      <c r="M377" s="265" t="str">
        <f>IF($B377="","",COUNTIF(Nov[Resident Name],$B377))</f>
        <v/>
      </c>
      <c r="N377" s="265" t="str">
        <f>IF($B377="","",COUNTIF(Dec[Resident Name],$B377))</f>
        <v/>
      </c>
      <c r="O377" s="265" t="str">
        <f t="shared" si="11"/>
        <v/>
      </c>
      <c r="P377" s="11"/>
      <c r="R377" s="160" t="str">
        <f>IFERROR(INDEX($B$5:$B$172,MATCH(ROWS($R$5:R377),$X$5:$X$172,0)),"")</f>
        <v/>
      </c>
      <c r="S377" s="76" t="str">
        <f>IF($R377="","",INDEX($O$5:$O$172,MATCH(ROWS($R$5:R377),$X$5:$X$172,0)))</f>
        <v/>
      </c>
      <c r="U377" s="160" t="str">
        <f>IFERROR(INDEX($Z$5:$Z$448,MATCH(ROWS($U$5:U377),$AA$5:$AA$448,0)),"")</f>
        <v/>
      </c>
      <c r="V377" s="274" t="str">
        <f>IF(Nov!C6="","",Nov!C6)</f>
        <v/>
      </c>
      <c r="W377" s="274" t="str" cm="1">
        <f t="array" ref="W377">IF(V377="","",IF(COUNTIF($V$5:V377,V377)&gt;1,"",ROUND(1+SUMPRODUCT(($V$5:$V$448&lt;&gt;"")*($V$5:$V$448&lt;V377)/COUNTIF($V$5:$V$448,$V$5:$V$448&amp;"")),0)))</f>
        <v/>
      </c>
      <c r="X377" s="274"/>
      <c r="Z377" s="274" t="str">
        <f>IF(Nov!H6="Major Injury",Nov!C6,"")</f>
        <v/>
      </c>
      <c r="AA377" s="274" t="str" cm="1">
        <f t="array" ref="AA377">IF(Z377="","",IF(COUNTIF($Z$5:Z377,Z377)&gt;1,"",ROUND(1+SUMPRODUCT(($Z$5:$Z$448&lt;&gt;"")*($Z$5:$Z$448&lt;Z377)/COUNTIF($Z$5:$Z$448,$Z$5:$Z$448&amp;"")),0)))</f>
        <v/>
      </c>
    </row>
    <row r="378" spans="2:27" x14ac:dyDescent="0.25">
      <c r="B378" s="160" t="str">
        <f>IFERROR(INDEX($V$5:$V$448,MATCH(ROWS($B$5:B378),$W$5:$W$448,0)),"")</f>
        <v/>
      </c>
      <c r="C378" s="265" t="str">
        <f>IF($B378="","",COUNTIF(Jan[Resident Name],$B378))</f>
        <v/>
      </c>
      <c r="D378" s="265" t="str">
        <f>IF($B378="","",COUNTIF(Feb[Resident Name],$B378))</f>
        <v/>
      </c>
      <c r="E378" s="265" t="str">
        <f>IF($B378="","",COUNTIF(Mar[Resident Name],$B378))</f>
        <v/>
      </c>
      <c r="F378" s="265" t="str">
        <f>IF($B378="","",COUNTIF(Apr[Resident Name],$B378))</f>
        <v/>
      </c>
      <c r="G378" s="265" t="str">
        <f>IF($B378="","",COUNTIF(May[Resident Name],$B378))</f>
        <v/>
      </c>
      <c r="H378" s="265" t="str">
        <f>IF($B378="","",COUNTIF(June[Resident Name],$B378))</f>
        <v/>
      </c>
      <c r="I378" s="265" t="str">
        <f>IF($B378="","",COUNTIF(July[Resident Name],$B378))</f>
        <v/>
      </c>
      <c r="J378" s="265" t="str">
        <f>IF($B378="","",COUNTIF(Aug[Resident Name],$B378))</f>
        <v/>
      </c>
      <c r="K378" s="265" t="str">
        <f>IF($B378="","",COUNTIF(Sept[Resident Name],$B378))</f>
        <v/>
      </c>
      <c r="L378" s="265" t="str">
        <f>IF($B378="","",COUNTIF(Oct[Resident Name],$B378))</f>
        <v/>
      </c>
      <c r="M378" s="265" t="str">
        <f>IF($B378="","",COUNTIF(Nov[Resident Name],$B378))</f>
        <v/>
      </c>
      <c r="N378" s="265" t="str">
        <f>IF($B378="","",COUNTIF(Dec[Resident Name],$B378))</f>
        <v/>
      </c>
      <c r="O378" s="265" t="str">
        <f t="shared" si="11"/>
        <v/>
      </c>
      <c r="P378" s="11"/>
      <c r="R378" s="160" t="str">
        <f>IFERROR(INDEX($B$5:$B$172,MATCH(ROWS($R$5:R378),$X$5:$X$172,0)),"")</f>
        <v/>
      </c>
      <c r="S378" s="76" t="str">
        <f>IF($R378="","",INDEX($O$5:$O$172,MATCH(ROWS($R$5:R378),$X$5:$X$172,0)))</f>
        <v/>
      </c>
      <c r="U378" s="160" t="str">
        <f>IFERROR(INDEX($Z$5:$Z$448,MATCH(ROWS($U$5:U378),$AA$5:$AA$448,0)),"")</f>
        <v/>
      </c>
      <c r="V378" s="274" t="str">
        <f>IF(Nov!C7="","",Nov!C7)</f>
        <v/>
      </c>
      <c r="W378" s="274" t="str" cm="1">
        <f t="array" ref="W378">IF(V378="","",IF(COUNTIF($V$5:V378,V378)&gt;1,"",ROUND(1+SUMPRODUCT(($V$5:$V$448&lt;&gt;"")*($V$5:$V$448&lt;V378)/COUNTIF($V$5:$V$448,$V$5:$V$448&amp;"")),0)))</f>
        <v/>
      </c>
      <c r="X378" s="274"/>
      <c r="Z378" s="274" t="str">
        <f>IF(Nov!H7="Major Injury",Nov!C7,"")</f>
        <v/>
      </c>
      <c r="AA378" s="274" t="str" cm="1">
        <f t="array" ref="AA378">IF(Z378="","",IF(COUNTIF($Z$5:Z378,Z378)&gt;1,"",ROUND(1+SUMPRODUCT(($Z$5:$Z$448&lt;&gt;"")*($Z$5:$Z$448&lt;Z378)/COUNTIF($Z$5:$Z$448,$Z$5:$Z$448&amp;"")),0)))</f>
        <v/>
      </c>
    </row>
    <row r="379" spans="2:27" x14ac:dyDescent="0.25">
      <c r="B379" s="160" t="str">
        <f>IFERROR(INDEX($V$5:$V$448,MATCH(ROWS($B$5:B379),$W$5:$W$448,0)),"")</f>
        <v/>
      </c>
      <c r="C379" s="265" t="str">
        <f>IF($B379="","",COUNTIF(Jan[Resident Name],$B379))</f>
        <v/>
      </c>
      <c r="D379" s="265" t="str">
        <f>IF($B379="","",COUNTIF(Feb[Resident Name],$B379))</f>
        <v/>
      </c>
      <c r="E379" s="265" t="str">
        <f>IF($B379="","",COUNTIF(Mar[Resident Name],$B379))</f>
        <v/>
      </c>
      <c r="F379" s="265" t="str">
        <f>IF($B379="","",COUNTIF(Apr[Resident Name],$B379))</f>
        <v/>
      </c>
      <c r="G379" s="265" t="str">
        <f>IF($B379="","",COUNTIF(May[Resident Name],$B379))</f>
        <v/>
      </c>
      <c r="H379" s="265" t="str">
        <f>IF($B379="","",COUNTIF(June[Resident Name],$B379))</f>
        <v/>
      </c>
      <c r="I379" s="265" t="str">
        <f>IF($B379="","",COUNTIF(July[Resident Name],$B379))</f>
        <v/>
      </c>
      <c r="J379" s="265" t="str">
        <f>IF($B379="","",COUNTIF(Aug[Resident Name],$B379))</f>
        <v/>
      </c>
      <c r="K379" s="265" t="str">
        <f>IF($B379="","",COUNTIF(Sept[Resident Name],$B379))</f>
        <v/>
      </c>
      <c r="L379" s="265" t="str">
        <f>IF($B379="","",COUNTIF(Oct[Resident Name],$B379))</f>
        <v/>
      </c>
      <c r="M379" s="265" t="str">
        <f>IF($B379="","",COUNTIF(Nov[Resident Name],$B379))</f>
        <v/>
      </c>
      <c r="N379" s="265" t="str">
        <f>IF($B379="","",COUNTIF(Dec[Resident Name],$B379))</f>
        <v/>
      </c>
      <c r="O379" s="265" t="str">
        <f t="shared" si="11"/>
        <v/>
      </c>
      <c r="P379" s="11"/>
      <c r="R379" s="160" t="str">
        <f>IFERROR(INDEX($B$5:$B$172,MATCH(ROWS($R$5:R379),$X$5:$X$172,0)),"")</f>
        <v/>
      </c>
      <c r="S379" s="76" t="str">
        <f>IF($R379="","",INDEX($O$5:$O$172,MATCH(ROWS($R$5:R379),$X$5:$X$172,0)))</f>
        <v/>
      </c>
      <c r="U379" s="160" t="str">
        <f>IFERROR(INDEX($Z$5:$Z$448,MATCH(ROWS($U$5:U379),$AA$5:$AA$448,0)),"")</f>
        <v/>
      </c>
      <c r="V379" s="274" t="str">
        <f>IF(Nov!C8="","",Nov!C8)</f>
        <v/>
      </c>
      <c r="W379" s="274" t="str" cm="1">
        <f t="array" ref="W379">IF(V379="","",IF(COUNTIF($V$5:V379,V379)&gt;1,"",ROUND(1+SUMPRODUCT(($V$5:$V$448&lt;&gt;"")*($V$5:$V$448&lt;V379)/COUNTIF($V$5:$V$448,$V$5:$V$448&amp;"")),0)))</f>
        <v/>
      </c>
      <c r="X379" s="274"/>
      <c r="Z379" s="274" t="str">
        <f>IF(Nov!H8="Major Injury",Nov!C8,"")</f>
        <v/>
      </c>
      <c r="AA379" s="274" t="str" cm="1">
        <f t="array" ref="AA379">IF(Z379="","",IF(COUNTIF($Z$5:Z379,Z379)&gt;1,"",ROUND(1+SUMPRODUCT(($Z$5:$Z$448&lt;&gt;"")*($Z$5:$Z$448&lt;Z379)/COUNTIF($Z$5:$Z$448,$Z$5:$Z$448&amp;"")),0)))</f>
        <v/>
      </c>
    </row>
    <row r="380" spans="2:27" x14ac:dyDescent="0.25">
      <c r="B380" s="160" t="str">
        <f>IFERROR(INDEX($V$5:$V$448,MATCH(ROWS($B$5:B380),$W$5:$W$448,0)),"")</f>
        <v/>
      </c>
      <c r="C380" s="265" t="str">
        <f>IF($B380="","",COUNTIF(Jan[Resident Name],$B380))</f>
        <v/>
      </c>
      <c r="D380" s="265" t="str">
        <f>IF($B380="","",COUNTIF(Feb[Resident Name],$B380))</f>
        <v/>
      </c>
      <c r="E380" s="265" t="str">
        <f>IF($B380="","",COUNTIF(Mar[Resident Name],$B380))</f>
        <v/>
      </c>
      <c r="F380" s="265" t="str">
        <f>IF($B380="","",COUNTIF(Apr[Resident Name],$B380))</f>
        <v/>
      </c>
      <c r="G380" s="265" t="str">
        <f>IF($B380="","",COUNTIF(May[Resident Name],$B380))</f>
        <v/>
      </c>
      <c r="H380" s="265" t="str">
        <f>IF($B380="","",COUNTIF(June[Resident Name],$B380))</f>
        <v/>
      </c>
      <c r="I380" s="265" t="str">
        <f>IF($B380="","",COUNTIF(July[Resident Name],$B380))</f>
        <v/>
      </c>
      <c r="J380" s="265" t="str">
        <f>IF($B380="","",COUNTIF(Aug[Resident Name],$B380))</f>
        <v/>
      </c>
      <c r="K380" s="265" t="str">
        <f>IF($B380="","",COUNTIF(Sept[Resident Name],$B380))</f>
        <v/>
      </c>
      <c r="L380" s="265" t="str">
        <f>IF($B380="","",COUNTIF(Oct[Resident Name],$B380))</f>
        <v/>
      </c>
      <c r="M380" s="265" t="str">
        <f>IF($B380="","",COUNTIF(Nov[Resident Name],$B380))</f>
        <v/>
      </c>
      <c r="N380" s="265" t="str">
        <f>IF($B380="","",COUNTIF(Dec[Resident Name],$B380))</f>
        <v/>
      </c>
      <c r="O380" s="265" t="str">
        <f t="shared" si="11"/>
        <v/>
      </c>
      <c r="P380" s="11"/>
      <c r="R380" s="160" t="str">
        <f>IFERROR(INDEX($B$5:$B$172,MATCH(ROWS($R$5:R380),$X$5:$X$172,0)),"")</f>
        <v/>
      </c>
      <c r="S380" s="76" t="str">
        <f>IF($R380="","",INDEX($O$5:$O$172,MATCH(ROWS($R$5:R380),$X$5:$X$172,0)))</f>
        <v/>
      </c>
      <c r="U380" s="160" t="str">
        <f>IFERROR(INDEX($Z$5:$Z$448,MATCH(ROWS($U$5:U380),$AA$5:$AA$448,0)),"")</f>
        <v/>
      </c>
      <c r="V380" s="274" t="str">
        <f>IF(Nov!C9="","",Nov!C9)</f>
        <v/>
      </c>
      <c r="W380" s="274" t="str" cm="1">
        <f t="array" ref="W380">IF(V380="","",IF(COUNTIF($V$5:V380,V380)&gt;1,"",ROUND(1+SUMPRODUCT(($V$5:$V$448&lt;&gt;"")*($V$5:$V$448&lt;V380)/COUNTIF($V$5:$V$448,$V$5:$V$448&amp;"")),0)))</f>
        <v/>
      </c>
      <c r="X380" s="274"/>
      <c r="Z380" s="274" t="str">
        <f>IF(Nov!H9="Major Injury",Nov!C9,"")</f>
        <v/>
      </c>
      <c r="AA380" s="274" t="str" cm="1">
        <f t="array" ref="AA380">IF(Z380="","",IF(COUNTIF($Z$5:Z380,Z380)&gt;1,"",ROUND(1+SUMPRODUCT(($Z$5:$Z$448&lt;&gt;"")*($Z$5:$Z$448&lt;Z380)/COUNTIF($Z$5:$Z$448,$Z$5:$Z$448&amp;"")),0)))</f>
        <v/>
      </c>
    </row>
    <row r="381" spans="2:27" x14ac:dyDescent="0.25">
      <c r="B381" s="160" t="str">
        <f>IFERROR(INDEX($V$5:$V$448,MATCH(ROWS($B$5:B381),$W$5:$W$448,0)),"")</f>
        <v/>
      </c>
      <c r="C381" s="265" t="str">
        <f>IF($B381="","",COUNTIF(Jan[Resident Name],$B381))</f>
        <v/>
      </c>
      <c r="D381" s="265" t="str">
        <f>IF($B381="","",COUNTIF(Feb[Resident Name],$B381))</f>
        <v/>
      </c>
      <c r="E381" s="265" t="str">
        <f>IF($B381="","",COUNTIF(Mar[Resident Name],$B381))</f>
        <v/>
      </c>
      <c r="F381" s="265" t="str">
        <f>IF($B381="","",COUNTIF(Apr[Resident Name],$B381))</f>
        <v/>
      </c>
      <c r="G381" s="265" t="str">
        <f>IF($B381="","",COUNTIF(May[Resident Name],$B381))</f>
        <v/>
      </c>
      <c r="H381" s="265" t="str">
        <f>IF($B381="","",COUNTIF(June[Resident Name],$B381))</f>
        <v/>
      </c>
      <c r="I381" s="265" t="str">
        <f>IF($B381="","",COUNTIF(July[Resident Name],$B381))</f>
        <v/>
      </c>
      <c r="J381" s="265" t="str">
        <f>IF($B381="","",COUNTIF(Aug[Resident Name],$B381))</f>
        <v/>
      </c>
      <c r="K381" s="265" t="str">
        <f>IF($B381="","",COUNTIF(Sept[Resident Name],$B381))</f>
        <v/>
      </c>
      <c r="L381" s="265" t="str">
        <f>IF($B381="","",COUNTIF(Oct[Resident Name],$B381))</f>
        <v/>
      </c>
      <c r="M381" s="265" t="str">
        <f>IF($B381="","",COUNTIF(Nov[Resident Name],$B381))</f>
        <v/>
      </c>
      <c r="N381" s="265" t="str">
        <f>IF($B381="","",COUNTIF(Dec[Resident Name],$B381))</f>
        <v/>
      </c>
      <c r="O381" s="265" t="str">
        <f t="shared" si="11"/>
        <v/>
      </c>
      <c r="P381" s="11"/>
      <c r="R381" s="160" t="str">
        <f>IFERROR(INDEX($B$5:$B$172,MATCH(ROWS($R$5:R381),$X$5:$X$172,0)),"")</f>
        <v/>
      </c>
      <c r="S381" s="76" t="str">
        <f>IF($R381="","",INDEX($O$5:$O$172,MATCH(ROWS($R$5:R381),$X$5:$X$172,0)))</f>
        <v/>
      </c>
      <c r="U381" s="160" t="str">
        <f>IFERROR(INDEX($Z$5:$Z$448,MATCH(ROWS($U$5:U381),$AA$5:$AA$448,0)),"")</f>
        <v/>
      </c>
      <c r="V381" s="274" t="str">
        <f>IF(Nov!C10="","",Nov!C10)</f>
        <v/>
      </c>
      <c r="W381" s="274" t="str" cm="1">
        <f t="array" ref="W381">IF(V381="","",IF(COUNTIF($V$5:V381,V381)&gt;1,"",ROUND(1+SUMPRODUCT(($V$5:$V$448&lt;&gt;"")*($V$5:$V$448&lt;V381)/COUNTIF($V$5:$V$448,$V$5:$V$448&amp;"")),0)))</f>
        <v/>
      </c>
      <c r="X381" s="274"/>
      <c r="Z381" s="274" t="str">
        <f>IF(Nov!H10="Major Injury",Nov!C10,"")</f>
        <v/>
      </c>
      <c r="AA381" s="274" t="str" cm="1">
        <f t="array" ref="AA381">IF(Z381="","",IF(COUNTIF($Z$5:Z381,Z381)&gt;1,"",ROUND(1+SUMPRODUCT(($Z$5:$Z$448&lt;&gt;"")*($Z$5:$Z$448&lt;Z381)/COUNTIF($Z$5:$Z$448,$Z$5:$Z$448&amp;"")),0)))</f>
        <v/>
      </c>
    </row>
    <row r="382" spans="2:27" x14ac:dyDescent="0.25">
      <c r="B382" s="160" t="str">
        <f>IFERROR(INDEX($V$5:$V$448,MATCH(ROWS($B$5:B382),$W$5:$W$448,0)),"")</f>
        <v/>
      </c>
      <c r="C382" s="265" t="str">
        <f>IF($B382="","",COUNTIF(Jan[Resident Name],$B382))</f>
        <v/>
      </c>
      <c r="D382" s="265" t="str">
        <f>IF($B382="","",COUNTIF(Feb[Resident Name],$B382))</f>
        <v/>
      </c>
      <c r="E382" s="265" t="str">
        <f>IF($B382="","",COUNTIF(Mar[Resident Name],$B382))</f>
        <v/>
      </c>
      <c r="F382" s="265" t="str">
        <f>IF($B382="","",COUNTIF(Apr[Resident Name],$B382))</f>
        <v/>
      </c>
      <c r="G382" s="265" t="str">
        <f>IF($B382="","",COUNTIF(May[Resident Name],$B382))</f>
        <v/>
      </c>
      <c r="H382" s="265" t="str">
        <f>IF($B382="","",COUNTIF(June[Resident Name],$B382))</f>
        <v/>
      </c>
      <c r="I382" s="265" t="str">
        <f>IF($B382="","",COUNTIF(July[Resident Name],$B382))</f>
        <v/>
      </c>
      <c r="J382" s="265" t="str">
        <f>IF($B382="","",COUNTIF(Aug[Resident Name],$B382))</f>
        <v/>
      </c>
      <c r="K382" s="265" t="str">
        <f>IF($B382="","",COUNTIF(Sept[Resident Name],$B382))</f>
        <v/>
      </c>
      <c r="L382" s="265" t="str">
        <f>IF($B382="","",COUNTIF(Oct[Resident Name],$B382))</f>
        <v/>
      </c>
      <c r="M382" s="265" t="str">
        <f>IF($B382="","",COUNTIF(Nov[Resident Name],$B382))</f>
        <v/>
      </c>
      <c r="N382" s="265" t="str">
        <f>IF($B382="","",COUNTIF(Dec[Resident Name],$B382))</f>
        <v/>
      </c>
      <c r="O382" s="265" t="str">
        <f t="shared" si="11"/>
        <v/>
      </c>
      <c r="P382" s="11"/>
      <c r="R382" s="160" t="str">
        <f>IFERROR(INDEX($B$5:$B$172,MATCH(ROWS($R$5:R382),$X$5:$X$172,0)),"")</f>
        <v/>
      </c>
      <c r="S382" s="76" t="str">
        <f>IF($R382="","",INDEX($O$5:$O$172,MATCH(ROWS($R$5:R382),$X$5:$X$172,0)))</f>
        <v/>
      </c>
      <c r="U382" s="160" t="str">
        <f>IFERROR(INDEX($Z$5:$Z$448,MATCH(ROWS($U$5:U382),$AA$5:$AA$448,0)),"")</f>
        <v/>
      </c>
      <c r="V382" s="274" t="str">
        <f>IF(Nov!C11="","",Nov!C11)</f>
        <v/>
      </c>
      <c r="W382" s="274" t="str" cm="1">
        <f t="array" ref="W382">IF(V382="","",IF(COUNTIF($V$5:V382,V382)&gt;1,"",ROUND(1+SUMPRODUCT(($V$5:$V$448&lt;&gt;"")*($V$5:$V$448&lt;V382)/COUNTIF($V$5:$V$448,$V$5:$V$448&amp;"")),0)))</f>
        <v/>
      </c>
      <c r="X382" s="274"/>
      <c r="Z382" s="274" t="str">
        <f>IF(Nov!H11="Major Injury",Nov!C11,"")</f>
        <v/>
      </c>
      <c r="AA382" s="274" t="str" cm="1">
        <f t="array" ref="AA382">IF(Z382="","",IF(COUNTIF($Z$5:Z382,Z382)&gt;1,"",ROUND(1+SUMPRODUCT(($Z$5:$Z$448&lt;&gt;"")*($Z$5:$Z$448&lt;Z382)/COUNTIF($Z$5:$Z$448,$Z$5:$Z$448&amp;"")),0)))</f>
        <v/>
      </c>
    </row>
    <row r="383" spans="2:27" x14ac:dyDescent="0.25">
      <c r="B383" s="160" t="str">
        <f>IFERROR(INDEX($V$5:$V$448,MATCH(ROWS($B$5:B383),$W$5:$W$448,0)),"")</f>
        <v/>
      </c>
      <c r="C383" s="265" t="str">
        <f>IF($B383="","",COUNTIF(Jan[Resident Name],$B383))</f>
        <v/>
      </c>
      <c r="D383" s="265" t="str">
        <f>IF($B383="","",COUNTIF(Feb[Resident Name],$B383))</f>
        <v/>
      </c>
      <c r="E383" s="265" t="str">
        <f>IF($B383="","",COUNTIF(Mar[Resident Name],$B383))</f>
        <v/>
      </c>
      <c r="F383" s="265" t="str">
        <f>IF($B383="","",COUNTIF(Apr[Resident Name],$B383))</f>
        <v/>
      </c>
      <c r="G383" s="265" t="str">
        <f>IF($B383="","",COUNTIF(May[Resident Name],$B383))</f>
        <v/>
      </c>
      <c r="H383" s="265" t="str">
        <f>IF($B383="","",COUNTIF(June[Resident Name],$B383))</f>
        <v/>
      </c>
      <c r="I383" s="265" t="str">
        <f>IF($B383="","",COUNTIF(July[Resident Name],$B383))</f>
        <v/>
      </c>
      <c r="J383" s="265" t="str">
        <f>IF($B383="","",COUNTIF(Aug[Resident Name],$B383))</f>
        <v/>
      </c>
      <c r="K383" s="265" t="str">
        <f>IF($B383="","",COUNTIF(Sept[Resident Name],$B383))</f>
        <v/>
      </c>
      <c r="L383" s="265" t="str">
        <f>IF($B383="","",COUNTIF(Oct[Resident Name],$B383))</f>
        <v/>
      </c>
      <c r="M383" s="265" t="str">
        <f>IF($B383="","",COUNTIF(Nov[Resident Name],$B383))</f>
        <v/>
      </c>
      <c r="N383" s="265" t="str">
        <f>IF($B383="","",COUNTIF(Dec[Resident Name],$B383))</f>
        <v/>
      </c>
      <c r="O383" s="265" t="str">
        <f t="shared" si="11"/>
        <v/>
      </c>
      <c r="P383" s="11"/>
      <c r="R383" s="160" t="str">
        <f>IFERROR(INDEX($B$5:$B$172,MATCH(ROWS($R$5:R383),$X$5:$X$172,0)),"")</f>
        <v/>
      </c>
      <c r="S383" s="76" t="str">
        <f>IF($R383="","",INDEX($O$5:$O$172,MATCH(ROWS($R$5:R383),$X$5:$X$172,0)))</f>
        <v/>
      </c>
      <c r="U383" s="160" t="str">
        <f>IFERROR(INDEX($Z$5:$Z$448,MATCH(ROWS($U$5:U383),$AA$5:$AA$448,0)),"")</f>
        <v/>
      </c>
      <c r="V383" s="274" t="str">
        <f>IF(Nov!C12="","",Nov!C12)</f>
        <v/>
      </c>
      <c r="W383" s="274" t="str" cm="1">
        <f t="array" ref="W383">IF(V383="","",IF(COUNTIF($V$5:V383,V383)&gt;1,"",ROUND(1+SUMPRODUCT(($V$5:$V$448&lt;&gt;"")*($V$5:$V$448&lt;V383)/COUNTIF($V$5:$V$448,$V$5:$V$448&amp;"")),0)))</f>
        <v/>
      </c>
      <c r="X383" s="274"/>
      <c r="Z383" s="274" t="str">
        <f>IF(Nov!H12="Major Injury",Nov!C12,"")</f>
        <v/>
      </c>
      <c r="AA383" s="274" t="str" cm="1">
        <f t="array" ref="AA383">IF(Z383="","",IF(COUNTIF($Z$5:Z383,Z383)&gt;1,"",ROUND(1+SUMPRODUCT(($Z$5:$Z$448&lt;&gt;"")*($Z$5:$Z$448&lt;Z383)/COUNTIF($Z$5:$Z$448,$Z$5:$Z$448&amp;"")),0)))</f>
        <v/>
      </c>
    </row>
    <row r="384" spans="2:27" x14ac:dyDescent="0.25">
      <c r="B384" s="160" t="str">
        <f>IFERROR(INDEX($V$5:$V$448,MATCH(ROWS($B$5:B384),$W$5:$W$448,0)),"")</f>
        <v/>
      </c>
      <c r="C384" s="265" t="str">
        <f>IF($B384="","",COUNTIF(Jan[Resident Name],$B384))</f>
        <v/>
      </c>
      <c r="D384" s="265" t="str">
        <f>IF($B384="","",COUNTIF(Feb[Resident Name],$B384))</f>
        <v/>
      </c>
      <c r="E384" s="265" t="str">
        <f>IF($B384="","",COUNTIF(Mar[Resident Name],$B384))</f>
        <v/>
      </c>
      <c r="F384" s="265" t="str">
        <f>IF($B384="","",COUNTIF(Apr[Resident Name],$B384))</f>
        <v/>
      </c>
      <c r="G384" s="265" t="str">
        <f>IF($B384="","",COUNTIF(May[Resident Name],$B384))</f>
        <v/>
      </c>
      <c r="H384" s="265" t="str">
        <f>IF($B384="","",COUNTIF(June[Resident Name],$B384))</f>
        <v/>
      </c>
      <c r="I384" s="265" t="str">
        <f>IF($B384="","",COUNTIF(July[Resident Name],$B384))</f>
        <v/>
      </c>
      <c r="J384" s="265" t="str">
        <f>IF($B384="","",COUNTIF(Aug[Resident Name],$B384))</f>
        <v/>
      </c>
      <c r="K384" s="265" t="str">
        <f>IF($B384="","",COUNTIF(Sept[Resident Name],$B384))</f>
        <v/>
      </c>
      <c r="L384" s="265" t="str">
        <f>IF($B384="","",COUNTIF(Oct[Resident Name],$B384))</f>
        <v/>
      </c>
      <c r="M384" s="265" t="str">
        <f>IF($B384="","",COUNTIF(Nov[Resident Name],$B384))</f>
        <v/>
      </c>
      <c r="N384" s="265" t="str">
        <f>IF($B384="","",COUNTIF(Dec[Resident Name],$B384))</f>
        <v/>
      </c>
      <c r="O384" s="265" t="str">
        <f t="shared" si="11"/>
        <v/>
      </c>
      <c r="P384" s="11"/>
      <c r="R384" s="160" t="str">
        <f>IFERROR(INDEX($B$5:$B$172,MATCH(ROWS($R$5:R384),$X$5:$X$172,0)),"")</f>
        <v/>
      </c>
      <c r="S384" s="76" t="str">
        <f>IF($R384="","",INDEX($O$5:$O$172,MATCH(ROWS($R$5:R384),$X$5:$X$172,0)))</f>
        <v/>
      </c>
      <c r="U384" s="160" t="str">
        <f>IFERROR(INDEX($Z$5:$Z$448,MATCH(ROWS($U$5:U384),$AA$5:$AA$448,0)),"")</f>
        <v/>
      </c>
      <c r="V384" s="274" t="str">
        <f>IF(Nov!C13="","",Nov!C13)</f>
        <v/>
      </c>
      <c r="W384" s="274" t="str" cm="1">
        <f t="array" ref="W384">IF(V384="","",IF(COUNTIF($V$5:V384,V384)&gt;1,"",ROUND(1+SUMPRODUCT(($V$5:$V$448&lt;&gt;"")*($V$5:$V$448&lt;V384)/COUNTIF($V$5:$V$448,$V$5:$V$448&amp;"")),0)))</f>
        <v/>
      </c>
      <c r="X384" s="274"/>
      <c r="Z384" s="274" t="str">
        <f>IF(Nov!H13="Major Injury",Nov!C13,"")</f>
        <v/>
      </c>
      <c r="AA384" s="274" t="str" cm="1">
        <f t="array" ref="AA384">IF(Z384="","",IF(COUNTIF($Z$5:Z384,Z384)&gt;1,"",ROUND(1+SUMPRODUCT(($Z$5:$Z$448&lt;&gt;"")*($Z$5:$Z$448&lt;Z384)/COUNTIF($Z$5:$Z$448,$Z$5:$Z$448&amp;"")),0)))</f>
        <v/>
      </c>
    </row>
    <row r="385" spans="2:27" x14ac:dyDescent="0.25">
      <c r="B385" s="160" t="str">
        <f>IFERROR(INDEX($V$5:$V$448,MATCH(ROWS($B$5:B385),$W$5:$W$448,0)),"")</f>
        <v/>
      </c>
      <c r="C385" s="265" t="str">
        <f>IF($B385="","",COUNTIF(Jan[Resident Name],$B385))</f>
        <v/>
      </c>
      <c r="D385" s="265" t="str">
        <f>IF($B385="","",COUNTIF(Feb[Resident Name],$B385))</f>
        <v/>
      </c>
      <c r="E385" s="265" t="str">
        <f>IF($B385="","",COUNTIF(Mar[Resident Name],$B385))</f>
        <v/>
      </c>
      <c r="F385" s="265" t="str">
        <f>IF($B385="","",COUNTIF(Apr[Resident Name],$B385))</f>
        <v/>
      </c>
      <c r="G385" s="265" t="str">
        <f>IF($B385="","",COUNTIF(May[Resident Name],$B385))</f>
        <v/>
      </c>
      <c r="H385" s="265" t="str">
        <f>IF($B385="","",COUNTIF(June[Resident Name],$B385))</f>
        <v/>
      </c>
      <c r="I385" s="265" t="str">
        <f>IF($B385="","",COUNTIF(July[Resident Name],$B385))</f>
        <v/>
      </c>
      <c r="J385" s="265" t="str">
        <f>IF($B385="","",COUNTIF(Aug[Resident Name],$B385))</f>
        <v/>
      </c>
      <c r="K385" s="265" t="str">
        <f>IF($B385="","",COUNTIF(Sept[Resident Name],$B385))</f>
        <v/>
      </c>
      <c r="L385" s="265" t="str">
        <f>IF($B385="","",COUNTIF(Oct[Resident Name],$B385))</f>
        <v/>
      </c>
      <c r="M385" s="265" t="str">
        <f>IF($B385="","",COUNTIF(Nov[Resident Name],$B385))</f>
        <v/>
      </c>
      <c r="N385" s="265" t="str">
        <f>IF($B385="","",COUNTIF(Dec[Resident Name],$B385))</f>
        <v/>
      </c>
      <c r="O385" s="265" t="str">
        <f t="shared" si="11"/>
        <v/>
      </c>
      <c r="P385" s="11"/>
      <c r="R385" s="160" t="str">
        <f>IFERROR(INDEX($B$5:$B$172,MATCH(ROWS($R$5:R385),$X$5:$X$172,0)),"")</f>
        <v/>
      </c>
      <c r="S385" s="76" t="str">
        <f>IF($R385="","",INDEX($O$5:$O$172,MATCH(ROWS($R$5:R385),$X$5:$X$172,0)))</f>
        <v/>
      </c>
      <c r="U385" s="160" t="str">
        <f>IFERROR(INDEX($Z$5:$Z$448,MATCH(ROWS($U$5:U385),$AA$5:$AA$448,0)),"")</f>
        <v/>
      </c>
      <c r="V385" s="274" t="str">
        <f>IF(Nov!C14="","",Nov!C14)</f>
        <v/>
      </c>
      <c r="W385" s="274" t="str" cm="1">
        <f t="array" ref="W385">IF(V385="","",IF(COUNTIF($V$5:V385,V385)&gt;1,"",ROUND(1+SUMPRODUCT(($V$5:$V$448&lt;&gt;"")*($V$5:$V$448&lt;V385)/COUNTIF($V$5:$V$448,$V$5:$V$448&amp;"")),0)))</f>
        <v/>
      </c>
      <c r="X385" s="274"/>
      <c r="Z385" s="274" t="str">
        <f>IF(Nov!H14="Major Injury",Nov!C14,"")</f>
        <v/>
      </c>
      <c r="AA385" s="274" t="str" cm="1">
        <f t="array" ref="AA385">IF(Z385="","",IF(COUNTIF($Z$5:Z385,Z385)&gt;1,"",ROUND(1+SUMPRODUCT(($Z$5:$Z$448&lt;&gt;"")*($Z$5:$Z$448&lt;Z385)/COUNTIF($Z$5:$Z$448,$Z$5:$Z$448&amp;"")),0)))</f>
        <v/>
      </c>
    </row>
    <row r="386" spans="2:27" x14ac:dyDescent="0.25">
      <c r="B386" s="160" t="str">
        <f>IFERROR(INDEX($V$5:$V$448,MATCH(ROWS($B$5:B386),$W$5:$W$448,0)),"")</f>
        <v/>
      </c>
      <c r="C386" s="265" t="str">
        <f>IF($B386="","",COUNTIF(Jan[Resident Name],$B386))</f>
        <v/>
      </c>
      <c r="D386" s="265" t="str">
        <f>IF($B386="","",COUNTIF(Feb[Resident Name],$B386))</f>
        <v/>
      </c>
      <c r="E386" s="265" t="str">
        <f>IF($B386="","",COUNTIF(Mar[Resident Name],$B386))</f>
        <v/>
      </c>
      <c r="F386" s="265" t="str">
        <f>IF($B386="","",COUNTIF(Apr[Resident Name],$B386))</f>
        <v/>
      </c>
      <c r="G386" s="265" t="str">
        <f>IF($B386="","",COUNTIF(May[Resident Name],$B386))</f>
        <v/>
      </c>
      <c r="H386" s="265" t="str">
        <f>IF($B386="","",COUNTIF(June[Resident Name],$B386))</f>
        <v/>
      </c>
      <c r="I386" s="265" t="str">
        <f>IF($B386="","",COUNTIF(July[Resident Name],$B386))</f>
        <v/>
      </c>
      <c r="J386" s="265" t="str">
        <f>IF($B386="","",COUNTIF(Aug[Resident Name],$B386))</f>
        <v/>
      </c>
      <c r="K386" s="265" t="str">
        <f>IF($B386="","",COUNTIF(Sept[Resident Name],$B386))</f>
        <v/>
      </c>
      <c r="L386" s="265" t="str">
        <f>IF($B386="","",COUNTIF(Oct[Resident Name],$B386))</f>
        <v/>
      </c>
      <c r="M386" s="265" t="str">
        <f>IF($B386="","",COUNTIF(Nov[Resident Name],$B386))</f>
        <v/>
      </c>
      <c r="N386" s="265" t="str">
        <f>IF($B386="","",COUNTIF(Dec[Resident Name],$B386))</f>
        <v/>
      </c>
      <c r="O386" s="265" t="str">
        <f t="shared" si="11"/>
        <v/>
      </c>
      <c r="P386" s="11"/>
      <c r="R386" s="160" t="str">
        <f>IFERROR(INDEX($B$5:$B$172,MATCH(ROWS($R$5:R386),$X$5:$X$172,0)),"")</f>
        <v/>
      </c>
      <c r="S386" s="76" t="str">
        <f>IF($R386="","",INDEX($O$5:$O$172,MATCH(ROWS($R$5:R386),$X$5:$X$172,0)))</f>
        <v/>
      </c>
      <c r="U386" s="160" t="str">
        <f>IFERROR(INDEX($Z$5:$Z$448,MATCH(ROWS($U$5:U386),$AA$5:$AA$448,0)),"")</f>
        <v/>
      </c>
      <c r="V386" s="274" t="str">
        <f>IF(Nov!C15="","",Nov!C15)</f>
        <v/>
      </c>
      <c r="W386" s="274" t="str" cm="1">
        <f t="array" ref="W386">IF(V386="","",IF(COUNTIF($V$5:V386,V386)&gt;1,"",ROUND(1+SUMPRODUCT(($V$5:$V$448&lt;&gt;"")*($V$5:$V$448&lt;V386)/COUNTIF($V$5:$V$448,$V$5:$V$448&amp;"")),0)))</f>
        <v/>
      </c>
      <c r="X386" s="274"/>
      <c r="Z386" s="274" t="str">
        <f>IF(Nov!H15="Major Injury",Nov!C15,"")</f>
        <v/>
      </c>
      <c r="AA386" s="274" t="str" cm="1">
        <f t="array" ref="AA386">IF(Z386="","",IF(COUNTIF($Z$5:Z386,Z386)&gt;1,"",ROUND(1+SUMPRODUCT(($Z$5:$Z$448&lt;&gt;"")*($Z$5:$Z$448&lt;Z386)/COUNTIF($Z$5:$Z$448,$Z$5:$Z$448&amp;"")),0)))</f>
        <v/>
      </c>
    </row>
    <row r="387" spans="2:27" x14ac:dyDescent="0.25">
      <c r="B387" s="160" t="str">
        <f>IFERROR(INDEX($V$5:$V$448,MATCH(ROWS($B$5:B387),$W$5:$W$448,0)),"")</f>
        <v/>
      </c>
      <c r="C387" s="265" t="str">
        <f>IF($B387="","",COUNTIF(Jan[Resident Name],$B387))</f>
        <v/>
      </c>
      <c r="D387" s="265" t="str">
        <f>IF($B387="","",COUNTIF(Feb[Resident Name],$B387))</f>
        <v/>
      </c>
      <c r="E387" s="265" t="str">
        <f>IF($B387="","",COUNTIF(Mar[Resident Name],$B387))</f>
        <v/>
      </c>
      <c r="F387" s="265" t="str">
        <f>IF($B387="","",COUNTIF(Apr[Resident Name],$B387))</f>
        <v/>
      </c>
      <c r="G387" s="265" t="str">
        <f>IF($B387="","",COUNTIF(May[Resident Name],$B387))</f>
        <v/>
      </c>
      <c r="H387" s="265" t="str">
        <f>IF($B387="","",COUNTIF(June[Resident Name],$B387))</f>
        <v/>
      </c>
      <c r="I387" s="265" t="str">
        <f>IF($B387="","",COUNTIF(July[Resident Name],$B387))</f>
        <v/>
      </c>
      <c r="J387" s="265" t="str">
        <f>IF($B387="","",COUNTIF(Aug[Resident Name],$B387))</f>
        <v/>
      </c>
      <c r="K387" s="265" t="str">
        <f>IF($B387="","",COUNTIF(Sept[Resident Name],$B387))</f>
        <v/>
      </c>
      <c r="L387" s="265" t="str">
        <f>IF($B387="","",COUNTIF(Oct[Resident Name],$B387))</f>
        <v/>
      </c>
      <c r="M387" s="265" t="str">
        <f>IF($B387="","",COUNTIF(Nov[Resident Name],$B387))</f>
        <v/>
      </c>
      <c r="N387" s="265" t="str">
        <f>IF($B387="","",COUNTIF(Dec[Resident Name],$B387))</f>
        <v/>
      </c>
      <c r="O387" s="265" t="str">
        <f t="shared" si="11"/>
        <v/>
      </c>
      <c r="P387" s="11"/>
      <c r="R387" s="160" t="str">
        <f>IFERROR(INDEX($B$5:$B$172,MATCH(ROWS($R$5:R387),$X$5:$X$172,0)),"")</f>
        <v/>
      </c>
      <c r="S387" s="76" t="str">
        <f>IF($R387="","",INDEX($O$5:$O$172,MATCH(ROWS($R$5:R387),$X$5:$X$172,0)))</f>
        <v/>
      </c>
      <c r="U387" s="160" t="str">
        <f>IFERROR(INDEX($Z$5:$Z$448,MATCH(ROWS($U$5:U387),$AA$5:$AA$448,0)),"")</f>
        <v/>
      </c>
      <c r="V387" s="274" t="str">
        <f>IF(Nov!C16="","",Nov!C16)</f>
        <v/>
      </c>
      <c r="W387" s="274" t="str" cm="1">
        <f t="array" ref="W387">IF(V387="","",IF(COUNTIF($V$5:V387,V387)&gt;1,"",ROUND(1+SUMPRODUCT(($V$5:$V$448&lt;&gt;"")*($V$5:$V$448&lt;V387)/COUNTIF($V$5:$V$448,$V$5:$V$448&amp;"")),0)))</f>
        <v/>
      </c>
      <c r="X387" s="274"/>
      <c r="Z387" s="274" t="str">
        <f>IF(Nov!H16="Major Injury",Nov!C16,"")</f>
        <v/>
      </c>
      <c r="AA387" s="274" t="str" cm="1">
        <f t="array" ref="AA387">IF(Z387="","",IF(COUNTIF($Z$5:Z387,Z387)&gt;1,"",ROUND(1+SUMPRODUCT(($Z$5:$Z$448&lt;&gt;"")*($Z$5:$Z$448&lt;Z387)/COUNTIF($Z$5:$Z$448,$Z$5:$Z$448&amp;"")),0)))</f>
        <v/>
      </c>
    </row>
    <row r="388" spans="2:27" x14ac:dyDescent="0.25">
      <c r="B388" s="160" t="str">
        <f>IFERROR(INDEX($V$5:$V$448,MATCH(ROWS($B$5:B388),$W$5:$W$448,0)),"")</f>
        <v/>
      </c>
      <c r="C388" s="265" t="str">
        <f>IF($B388="","",COUNTIF(Jan[Resident Name],$B388))</f>
        <v/>
      </c>
      <c r="D388" s="265" t="str">
        <f>IF($B388="","",COUNTIF(Feb[Resident Name],$B388))</f>
        <v/>
      </c>
      <c r="E388" s="265" t="str">
        <f>IF($B388="","",COUNTIF(Mar[Resident Name],$B388))</f>
        <v/>
      </c>
      <c r="F388" s="265" t="str">
        <f>IF($B388="","",COUNTIF(Apr[Resident Name],$B388))</f>
        <v/>
      </c>
      <c r="G388" s="265" t="str">
        <f>IF($B388="","",COUNTIF(May[Resident Name],$B388))</f>
        <v/>
      </c>
      <c r="H388" s="265" t="str">
        <f>IF($B388="","",COUNTIF(June[Resident Name],$B388))</f>
        <v/>
      </c>
      <c r="I388" s="265" t="str">
        <f>IF($B388="","",COUNTIF(July[Resident Name],$B388))</f>
        <v/>
      </c>
      <c r="J388" s="265" t="str">
        <f>IF($B388="","",COUNTIF(Aug[Resident Name],$B388))</f>
        <v/>
      </c>
      <c r="K388" s="265" t="str">
        <f>IF($B388="","",COUNTIF(Sept[Resident Name],$B388))</f>
        <v/>
      </c>
      <c r="L388" s="265" t="str">
        <f>IF($B388="","",COUNTIF(Oct[Resident Name],$B388))</f>
        <v/>
      </c>
      <c r="M388" s="265" t="str">
        <f>IF($B388="","",COUNTIF(Nov[Resident Name],$B388))</f>
        <v/>
      </c>
      <c r="N388" s="265" t="str">
        <f>IF($B388="","",COUNTIF(Dec[Resident Name],$B388))</f>
        <v/>
      </c>
      <c r="O388" s="265" t="str">
        <f t="shared" si="11"/>
        <v/>
      </c>
      <c r="P388" s="11"/>
      <c r="R388" s="160" t="str">
        <f>IFERROR(INDEX($B$5:$B$172,MATCH(ROWS($R$5:R388),$X$5:$X$172,0)),"")</f>
        <v/>
      </c>
      <c r="S388" s="76" t="str">
        <f>IF($R388="","",INDEX($O$5:$O$172,MATCH(ROWS($R$5:R388),$X$5:$X$172,0)))</f>
        <v/>
      </c>
      <c r="U388" s="160" t="str">
        <f>IFERROR(INDEX($Z$5:$Z$448,MATCH(ROWS($U$5:U388),$AA$5:$AA$448,0)),"")</f>
        <v/>
      </c>
      <c r="V388" s="274" t="str">
        <f>IF(Nov!C17="","",Nov!C17)</f>
        <v/>
      </c>
      <c r="W388" s="274" t="str" cm="1">
        <f t="array" ref="W388">IF(V388="","",IF(COUNTIF($V$5:V388,V388)&gt;1,"",ROUND(1+SUMPRODUCT(($V$5:$V$448&lt;&gt;"")*($V$5:$V$448&lt;V388)/COUNTIF($V$5:$V$448,$V$5:$V$448&amp;"")),0)))</f>
        <v/>
      </c>
      <c r="X388" s="274"/>
      <c r="Z388" s="274" t="str">
        <f>IF(Nov!H17="Major Injury",Nov!C17,"")</f>
        <v/>
      </c>
      <c r="AA388" s="274" t="str" cm="1">
        <f t="array" ref="AA388">IF(Z388="","",IF(COUNTIF($Z$5:Z388,Z388)&gt;1,"",ROUND(1+SUMPRODUCT(($Z$5:$Z$448&lt;&gt;"")*($Z$5:$Z$448&lt;Z388)/COUNTIF($Z$5:$Z$448,$Z$5:$Z$448&amp;"")),0)))</f>
        <v/>
      </c>
    </row>
    <row r="389" spans="2:27" x14ac:dyDescent="0.25">
      <c r="B389" s="160" t="str">
        <f>IFERROR(INDEX($V$5:$V$448,MATCH(ROWS($B$5:B389),$W$5:$W$448,0)),"")</f>
        <v/>
      </c>
      <c r="C389" s="265" t="str">
        <f>IF($B389="","",COUNTIF(Jan[Resident Name],$B389))</f>
        <v/>
      </c>
      <c r="D389" s="265" t="str">
        <f>IF($B389="","",COUNTIF(Feb[Resident Name],$B389))</f>
        <v/>
      </c>
      <c r="E389" s="265" t="str">
        <f>IF($B389="","",COUNTIF(Mar[Resident Name],$B389))</f>
        <v/>
      </c>
      <c r="F389" s="265" t="str">
        <f>IF($B389="","",COUNTIF(Apr[Resident Name],$B389))</f>
        <v/>
      </c>
      <c r="G389" s="265" t="str">
        <f>IF($B389="","",COUNTIF(May[Resident Name],$B389))</f>
        <v/>
      </c>
      <c r="H389" s="265" t="str">
        <f>IF($B389="","",COUNTIF(June[Resident Name],$B389))</f>
        <v/>
      </c>
      <c r="I389" s="265" t="str">
        <f>IF($B389="","",COUNTIF(July[Resident Name],$B389))</f>
        <v/>
      </c>
      <c r="J389" s="265" t="str">
        <f>IF($B389="","",COUNTIF(Aug[Resident Name],$B389))</f>
        <v/>
      </c>
      <c r="K389" s="265" t="str">
        <f>IF($B389="","",COUNTIF(Sept[Resident Name],$B389))</f>
        <v/>
      </c>
      <c r="L389" s="265" t="str">
        <f>IF($B389="","",COUNTIF(Oct[Resident Name],$B389))</f>
        <v/>
      </c>
      <c r="M389" s="265" t="str">
        <f>IF($B389="","",COUNTIF(Nov[Resident Name],$B389))</f>
        <v/>
      </c>
      <c r="N389" s="265" t="str">
        <f>IF($B389="","",COUNTIF(Dec[Resident Name],$B389))</f>
        <v/>
      </c>
      <c r="O389" s="265" t="str">
        <f t="shared" si="11"/>
        <v/>
      </c>
      <c r="P389" s="11"/>
      <c r="R389" s="160" t="str">
        <f>IFERROR(INDEX($B$5:$B$172,MATCH(ROWS($R$5:R389),$X$5:$X$172,0)),"")</f>
        <v/>
      </c>
      <c r="S389" s="76" t="str">
        <f>IF($R389="","",INDEX($O$5:$O$172,MATCH(ROWS($R$5:R389),$X$5:$X$172,0)))</f>
        <v/>
      </c>
      <c r="U389" s="160" t="str">
        <f>IFERROR(INDEX($Z$5:$Z$448,MATCH(ROWS($U$5:U389),$AA$5:$AA$448,0)),"")</f>
        <v/>
      </c>
      <c r="V389" s="274" t="str">
        <f>IF(Nov!C18="","",Nov!C18)</f>
        <v/>
      </c>
      <c r="W389" s="274" t="str" cm="1">
        <f t="array" ref="W389">IF(V389="","",IF(COUNTIF($V$5:V389,V389)&gt;1,"",ROUND(1+SUMPRODUCT(($V$5:$V$448&lt;&gt;"")*($V$5:$V$448&lt;V389)/COUNTIF($V$5:$V$448,$V$5:$V$448&amp;"")),0)))</f>
        <v/>
      </c>
      <c r="X389" s="274"/>
      <c r="Z389" s="274" t="str">
        <f>IF(Nov!H18="Major Injury",Nov!C18,"")</f>
        <v/>
      </c>
      <c r="AA389" s="274" t="str" cm="1">
        <f t="array" ref="AA389">IF(Z389="","",IF(COUNTIF($Z$5:Z389,Z389)&gt;1,"",ROUND(1+SUMPRODUCT(($Z$5:$Z$448&lt;&gt;"")*($Z$5:$Z$448&lt;Z389)/COUNTIF($Z$5:$Z$448,$Z$5:$Z$448&amp;"")),0)))</f>
        <v/>
      </c>
    </row>
    <row r="390" spans="2:27" x14ac:dyDescent="0.25">
      <c r="B390" s="160" t="str">
        <f>IFERROR(INDEX($V$5:$V$448,MATCH(ROWS($B$5:B390),$W$5:$W$448,0)),"")</f>
        <v/>
      </c>
      <c r="C390" s="265" t="str">
        <f>IF($B390="","",COUNTIF(Jan[Resident Name],$B390))</f>
        <v/>
      </c>
      <c r="D390" s="265" t="str">
        <f>IF($B390="","",COUNTIF(Feb[Resident Name],$B390))</f>
        <v/>
      </c>
      <c r="E390" s="265" t="str">
        <f>IF($B390="","",COUNTIF(Mar[Resident Name],$B390))</f>
        <v/>
      </c>
      <c r="F390" s="265" t="str">
        <f>IF($B390="","",COUNTIF(Apr[Resident Name],$B390))</f>
        <v/>
      </c>
      <c r="G390" s="265" t="str">
        <f>IF($B390="","",COUNTIF(May[Resident Name],$B390))</f>
        <v/>
      </c>
      <c r="H390" s="265" t="str">
        <f>IF($B390="","",COUNTIF(June[Resident Name],$B390))</f>
        <v/>
      </c>
      <c r="I390" s="265" t="str">
        <f>IF($B390="","",COUNTIF(July[Resident Name],$B390))</f>
        <v/>
      </c>
      <c r="J390" s="265" t="str">
        <f>IF($B390="","",COUNTIF(Aug[Resident Name],$B390))</f>
        <v/>
      </c>
      <c r="K390" s="265" t="str">
        <f>IF($B390="","",COUNTIF(Sept[Resident Name],$B390))</f>
        <v/>
      </c>
      <c r="L390" s="265" t="str">
        <f>IF($B390="","",COUNTIF(Oct[Resident Name],$B390))</f>
        <v/>
      </c>
      <c r="M390" s="265" t="str">
        <f>IF($B390="","",COUNTIF(Nov[Resident Name],$B390))</f>
        <v/>
      </c>
      <c r="N390" s="265" t="str">
        <f>IF($B390="","",COUNTIF(Dec[Resident Name],$B390))</f>
        <v/>
      </c>
      <c r="O390" s="265" t="str">
        <f t="shared" si="11"/>
        <v/>
      </c>
      <c r="P390" s="11"/>
      <c r="R390" s="160" t="str">
        <f>IFERROR(INDEX($B$5:$B$172,MATCH(ROWS($R$5:R390),$X$5:$X$172,0)),"")</f>
        <v/>
      </c>
      <c r="S390" s="76" t="str">
        <f>IF($R390="","",INDEX($O$5:$O$172,MATCH(ROWS($R$5:R390),$X$5:$X$172,0)))</f>
        <v/>
      </c>
      <c r="U390" s="160" t="str">
        <f>IFERROR(INDEX($Z$5:$Z$448,MATCH(ROWS($U$5:U390),$AA$5:$AA$448,0)),"")</f>
        <v/>
      </c>
      <c r="V390" s="274" t="str">
        <f>IF(Nov!C19="","",Nov!C19)</f>
        <v/>
      </c>
      <c r="W390" s="274" t="str" cm="1">
        <f t="array" ref="W390">IF(V390="","",IF(COUNTIF($V$5:V390,V390)&gt;1,"",ROUND(1+SUMPRODUCT(($V$5:$V$448&lt;&gt;"")*($V$5:$V$448&lt;V390)/COUNTIF($V$5:$V$448,$V$5:$V$448&amp;"")),0)))</f>
        <v/>
      </c>
      <c r="X390" s="274"/>
      <c r="Z390" s="274" t="str">
        <f>IF(Nov!H19="Major Injury",Nov!C19,"")</f>
        <v/>
      </c>
      <c r="AA390" s="274" t="str" cm="1">
        <f t="array" ref="AA390">IF(Z390="","",IF(COUNTIF($Z$5:Z390,Z390)&gt;1,"",ROUND(1+SUMPRODUCT(($Z$5:$Z$448&lt;&gt;"")*($Z$5:$Z$448&lt;Z390)/COUNTIF($Z$5:$Z$448,$Z$5:$Z$448&amp;"")),0)))</f>
        <v/>
      </c>
    </row>
    <row r="391" spans="2:27" x14ac:dyDescent="0.25">
      <c r="B391" s="160" t="str">
        <f>IFERROR(INDEX($V$5:$V$448,MATCH(ROWS($B$5:B391),$W$5:$W$448,0)),"")</f>
        <v/>
      </c>
      <c r="C391" s="265" t="str">
        <f>IF($B391="","",COUNTIF(Jan[Resident Name],$B391))</f>
        <v/>
      </c>
      <c r="D391" s="265" t="str">
        <f>IF($B391="","",COUNTIF(Feb[Resident Name],$B391))</f>
        <v/>
      </c>
      <c r="E391" s="265" t="str">
        <f>IF($B391="","",COUNTIF(Mar[Resident Name],$B391))</f>
        <v/>
      </c>
      <c r="F391" s="265" t="str">
        <f>IF($B391="","",COUNTIF(Apr[Resident Name],$B391))</f>
        <v/>
      </c>
      <c r="G391" s="265" t="str">
        <f>IF($B391="","",COUNTIF(May[Resident Name],$B391))</f>
        <v/>
      </c>
      <c r="H391" s="265" t="str">
        <f>IF($B391="","",COUNTIF(June[Resident Name],$B391))</f>
        <v/>
      </c>
      <c r="I391" s="265" t="str">
        <f>IF($B391="","",COUNTIF(July[Resident Name],$B391))</f>
        <v/>
      </c>
      <c r="J391" s="265" t="str">
        <f>IF($B391="","",COUNTIF(Aug[Resident Name],$B391))</f>
        <v/>
      </c>
      <c r="K391" s="265" t="str">
        <f>IF($B391="","",COUNTIF(Sept[Resident Name],$B391))</f>
        <v/>
      </c>
      <c r="L391" s="265" t="str">
        <f>IF($B391="","",COUNTIF(Oct[Resident Name],$B391))</f>
        <v/>
      </c>
      <c r="M391" s="265" t="str">
        <f>IF($B391="","",COUNTIF(Nov[Resident Name],$B391))</f>
        <v/>
      </c>
      <c r="N391" s="265" t="str">
        <f>IF($B391="","",COUNTIF(Dec[Resident Name],$B391))</f>
        <v/>
      </c>
      <c r="O391" s="265" t="str">
        <f t="shared" si="11"/>
        <v/>
      </c>
      <c r="P391" s="11"/>
      <c r="R391" s="160" t="str">
        <f>IFERROR(INDEX($B$5:$B$172,MATCH(ROWS($R$5:R391),$X$5:$X$172,0)),"")</f>
        <v/>
      </c>
      <c r="S391" s="76" t="str">
        <f>IF($R391="","",INDEX($O$5:$O$172,MATCH(ROWS($R$5:R391),$X$5:$X$172,0)))</f>
        <v/>
      </c>
      <c r="U391" s="160" t="str">
        <f>IFERROR(INDEX($Z$5:$Z$448,MATCH(ROWS($U$5:U391),$AA$5:$AA$448,0)),"")</f>
        <v/>
      </c>
      <c r="V391" s="274" t="str">
        <f>IF(Nov!C20="","",Nov!C20)</f>
        <v/>
      </c>
      <c r="W391" s="274" t="str" cm="1">
        <f t="array" ref="W391">IF(V391="","",IF(COUNTIF($V$5:V391,V391)&gt;1,"",ROUND(1+SUMPRODUCT(($V$5:$V$448&lt;&gt;"")*($V$5:$V$448&lt;V391)/COUNTIF($V$5:$V$448,$V$5:$V$448&amp;"")),0)))</f>
        <v/>
      </c>
      <c r="X391" s="274"/>
      <c r="Z391" s="274" t="str">
        <f>IF(Nov!H20="Major Injury",Nov!C20,"")</f>
        <v/>
      </c>
      <c r="AA391" s="274" t="str" cm="1">
        <f t="array" ref="AA391">IF(Z391="","",IF(COUNTIF($Z$5:Z391,Z391)&gt;1,"",ROUND(1+SUMPRODUCT(($Z$5:$Z$448&lt;&gt;"")*($Z$5:$Z$448&lt;Z391)/COUNTIF($Z$5:$Z$448,$Z$5:$Z$448&amp;"")),0)))</f>
        <v/>
      </c>
    </row>
    <row r="392" spans="2:27" x14ac:dyDescent="0.25">
      <c r="B392" s="160" t="str">
        <f>IFERROR(INDEX($V$5:$V$448,MATCH(ROWS($B$5:B392),$W$5:$W$448,0)),"")</f>
        <v/>
      </c>
      <c r="C392" s="265" t="str">
        <f>IF($B392="","",COUNTIF(Jan[Resident Name],$B392))</f>
        <v/>
      </c>
      <c r="D392" s="265" t="str">
        <f>IF($B392="","",COUNTIF(Feb[Resident Name],$B392))</f>
        <v/>
      </c>
      <c r="E392" s="265" t="str">
        <f>IF($B392="","",COUNTIF(Mar[Resident Name],$B392))</f>
        <v/>
      </c>
      <c r="F392" s="265" t="str">
        <f>IF($B392="","",COUNTIF(Apr[Resident Name],$B392))</f>
        <v/>
      </c>
      <c r="G392" s="265" t="str">
        <f>IF($B392="","",COUNTIF(May[Resident Name],$B392))</f>
        <v/>
      </c>
      <c r="H392" s="265" t="str">
        <f>IF($B392="","",COUNTIF(June[Resident Name],$B392))</f>
        <v/>
      </c>
      <c r="I392" s="265" t="str">
        <f>IF($B392="","",COUNTIF(July[Resident Name],$B392))</f>
        <v/>
      </c>
      <c r="J392" s="265" t="str">
        <f>IF($B392="","",COUNTIF(Aug[Resident Name],$B392))</f>
        <v/>
      </c>
      <c r="K392" s="265" t="str">
        <f>IF($B392="","",COUNTIF(Sept[Resident Name],$B392))</f>
        <v/>
      </c>
      <c r="L392" s="265" t="str">
        <f>IF($B392="","",COUNTIF(Oct[Resident Name],$B392))</f>
        <v/>
      </c>
      <c r="M392" s="265" t="str">
        <f>IF($B392="","",COUNTIF(Nov[Resident Name],$B392))</f>
        <v/>
      </c>
      <c r="N392" s="265" t="str">
        <f>IF($B392="","",COUNTIF(Dec[Resident Name],$B392))</f>
        <v/>
      </c>
      <c r="O392" s="265" t="str">
        <f t="shared" si="11"/>
        <v/>
      </c>
      <c r="P392" s="11"/>
      <c r="R392" s="160" t="str">
        <f>IFERROR(INDEX($B$5:$B$172,MATCH(ROWS($R$5:R392),$X$5:$X$172,0)),"")</f>
        <v/>
      </c>
      <c r="S392" s="76" t="str">
        <f>IF($R392="","",INDEX($O$5:$O$172,MATCH(ROWS($R$5:R392),$X$5:$X$172,0)))</f>
        <v/>
      </c>
      <c r="U392" s="160" t="str">
        <f>IFERROR(INDEX($Z$5:$Z$448,MATCH(ROWS($U$5:U392),$AA$5:$AA$448,0)),"")</f>
        <v/>
      </c>
      <c r="V392" s="274" t="str">
        <f>IF(Nov!C21="","",Nov!C21)</f>
        <v/>
      </c>
      <c r="W392" s="274" t="str" cm="1">
        <f t="array" ref="W392">IF(V392="","",IF(COUNTIF($V$5:V392,V392)&gt;1,"",ROUND(1+SUMPRODUCT(($V$5:$V$448&lt;&gt;"")*($V$5:$V$448&lt;V392)/COUNTIF($V$5:$V$448,$V$5:$V$448&amp;"")),0)))</f>
        <v/>
      </c>
      <c r="X392" s="274"/>
      <c r="Z392" s="274" t="str">
        <f>IF(Nov!H21="Major Injury",Nov!C21,"")</f>
        <v/>
      </c>
      <c r="AA392" s="274" t="str" cm="1">
        <f t="array" ref="AA392">IF(Z392="","",IF(COUNTIF($Z$5:Z392,Z392)&gt;1,"",ROUND(1+SUMPRODUCT(($Z$5:$Z$448&lt;&gt;"")*($Z$5:$Z$448&lt;Z392)/COUNTIF($Z$5:$Z$448,$Z$5:$Z$448&amp;"")),0)))</f>
        <v/>
      </c>
    </row>
    <row r="393" spans="2:27" x14ac:dyDescent="0.25">
      <c r="B393" s="160" t="str">
        <f>IFERROR(INDEX($V$5:$V$448,MATCH(ROWS($B$5:B393),$W$5:$W$448,0)),"")</f>
        <v/>
      </c>
      <c r="C393" s="265" t="str">
        <f>IF($B393="","",COUNTIF(Jan[Resident Name],$B393))</f>
        <v/>
      </c>
      <c r="D393" s="265" t="str">
        <f>IF($B393="","",COUNTIF(Feb[Resident Name],$B393))</f>
        <v/>
      </c>
      <c r="E393" s="265" t="str">
        <f>IF($B393="","",COUNTIF(Mar[Resident Name],$B393))</f>
        <v/>
      </c>
      <c r="F393" s="265" t="str">
        <f>IF($B393="","",COUNTIF(Apr[Resident Name],$B393))</f>
        <v/>
      </c>
      <c r="G393" s="265" t="str">
        <f>IF($B393="","",COUNTIF(May[Resident Name],$B393))</f>
        <v/>
      </c>
      <c r="H393" s="265" t="str">
        <f>IF($B393="","",COUNTIF(June[Resident Name],$B393))</f>
        <v/>
      </c>
      <c r="I393" s="265" t="str">
        <f>IF($B393="","",COUNTIF(July[Resident Name],$B393))</f>
        <v/>
      </c>
      <c r="J393" s="265" t="str">
        <f>IF($B393="","",COUNTIF(Aug[Resident Name],$B393))</f>
        <v/>
      </c>
      <c r="K393" s="265" t="str">
        <f>IF($B393="","",COUNTIF(Sept[Resident Name],$B393))</f>
        <v/>
      </c>
      <c r="L393" s="265" t="str">
        <f>IF($B393="","",COUNTIF(Oct[Resident Name],$B393))</f>
        <v/>
      </c>
      <c r="M393" s="265" t="str">
        <f>IF($B393="","",COUNTIF(Nov[Resident Name],$B393))</f>
        <v/>
      </c>
      <c r="N393" s="265" t="str">
        <f>IF($B393="","",COUNTIF(Dec[Resident Name],$B393))</f>
        <v/>
      </c>
      <c r="O393" s="265" t="str">
        <f t="shared" ref="O393:O448" si="12">IF($B393="","",SUM(C393:N393))</f>
        <v/>
      </c>
      <c r="P393" s="11"/>
      <c r="R393" s="160" t="str">
        <f>IFERROR(INDEX($B$5:$B$172,MATCH(ROWS($R$5:R393),$X$5:$X$172,0)),"")</f>
        <v/>
      </c>
      <c r="S393" s="76" t="str">
        <f>IF($R393="","",INDEX($O$5:$O$172,MATCH(ROWS($R$5:R393),$X$5:$X$172,0)))</f>
        <v/>
      </c>
      <c r="U393" s="160" t="str">
        <f>IFERROR(INDEX($Z$5:$Z$448,MATCH(ROWS($U$5:U393),$AA$5:$AA$448,0)),"")</f>
        <v/>
      </c>
      <c r="V393" s="274" t="str">
        <f>IF(Nov!C22="","",Nov!C22)</f>
        <v/>
      </c>
      <c r="W393" s="274" t="str" cm="1">
        <f t="array" ref="W393">IF(V393="","",IF(COUNTIF($V$5:V393,V393)&gt;1,"",ROUND(1+SUMPRODUCT(($V$5:$V$448&lt;&gt;"")*($V$5:$V$448&lt;V393)/COUNTIF($V$5:$V$448,$V$5:$V$448&amp;"")),0)))</f>
        <v/>
      </c>
      <c r="X393" s="274"/>
      <c r="Z393" s="274" t="str">
        <f>IF(Nov!H22="Major Injury",Nov!C22,"")</f>
        <v/>
      </c>
      <c r="AA393" s="274" t="str" cm="1">
        <f t="array" ref="AA393">IF(Z393="","",IF(COUNTIF($Z$5:Z393,Z393)&gt;1,"",ROUND(1+SUMPRODUCT(($Z$5:$Z$448&lt;&gt;"")*($Z$5:$Z$448&lt;Z393)/COUNTIF($Z$5:$Z$448,$Z$5:$Z$448&amp;"")),0)))</f>
        <v/>
      </c>
    </row>
    <row r="394" spans="2:27" x14ac:dyDescent="0.25">
      <c r="B394" s="160" t="str">
        <f>IFERROR(INDEX($V$5:$V$448,MATCH(ROWS($B$5:B394),$W$5:$W$448,0)),"")</f>
        <v/>
      </c>
      <c r="C394" s="265" t="str">
        <f>IF($B394="","",COUNTIF(Jan[Resident Name],$B394))</f>
        <v/>
      </c>
      <c r="D394" s="265" t="str">
        <f>IF($B394="","",COUNTIF(Feb[Resident Name],$B394))</f>
        <v/>
      </c>
      <c r="E394" s="265" t="str">
        <f>IF($B394="","",COUNTIF(Mar[Resident Name],$B394))</f>
        <v/>
      </c>
      <c r="F394" s="265" t="str">
        <f>IF($B394="","",COUNTIF(Apr[Resident Name],$B394))</f>
        <v/>
      </c>
      <c r="G394" s="265" t="str">
        <f>IF($B394="","",COUNTIF(May[Resident Name],$B394))</f>
        <v/>
      </c>
      <c r="H394" s="265" t="str">
        <f>IF($B394="","",COUNTIF(June[Resident Name],$B394))</f>
        <v/>
      </c>
      <c r="I394" s="265" t="str">
        <f>IF($B394="","",COUNTIF(July[Resident Name],$B394))</f>
        <v/>
      </c>
      <c r="J394" s="265" t="str">
        <f>IF($B394="","",COUNTIF(Aug[Resident Name],$B394))</f>
        <v/>
      </c>
      <c r="K394" s="265" t="str">
        <f>IF($B394="","",COUNTIF(Sept[Resident Name],$B394))</f>
        <v/>
      </c>
      <c r="L394" s="265" t="str">
        <f>IF($B394="","",COUNTIF(Oct[Resident Name],$B394))</f>
        <v/>
      </c>
      <c r="M394" s="265" t="str">
        <f>IF($B394="","",COUNTIF(Nov[Resident Name],$B394))</f>
        <v/>
      </c>
      <c r="N394" s="265" t="str">
        <f>IF($B394="","",COUNTIF(Dec[Resident Name],$B394))</f>
        <v/>
      </c>
      <c r="O394" s="265" t="str">
        <f t="shared" si="12"/>
        <v/>
      </c>
      <c r="P394" s="11"/>
      <c r="R394" s="160" t="str">
        <f>IFERROR(INDEX($B$5:$B$172,MATCH(ROWS($R$5:R394),$X$5:$X$172,0)),"")</f>
        <v/>
      </c>
      <c r="S394" s="76" t="str">
        <f>IF($R394="","",INDEX($O$5:$O$172,MATCH(ROWS($R$5:R394),$X$5:$X$172,0)))</f>
        <v/>
      </c>
      <c r="U394" s="160" t="str">
        <f>IFERROR(INDEX($Z$5:$Z$448,MATCH(ROWS($U$5:U394),$AA$5:$AA$448,0)),"")</f>
        <v/>
      </c>
      <c r="V394" s="274" t="str">
        <f>IF(Nov!C23="","",Nov!C23)</f>
        <v/>
      </c>
      <c r="W394" s="274" t="str" cm="1">
        <f t="array" ref="W394">IF(V394="","",IF(COUNTIF($V$5:V394,V394)&gt;1,"",ROUND(1+SUMPRODUCT(($V$5:$V$448&lt;&gt;"")*($V$5:$V$448&lt;V394)/COUNTIF($V$5:$V$448,$V$5:$V$448&amp;"")),0)))</f>
        <v/>
      </c>
      <c r="X394" s="274"/>
      <c r="Z394" s="274" t="str">
        <f>IF(Nov!H23="Major Injury",Nov!C23,"")</f>
        <v/>
      </c>
      <c r="AA394" s="274" t="str" cm="1">
        <f t="array" ref="AA394">IF(Z394="","",IF(COUNTIF($Z$5:Z394,Z394)&gt;1,"",ROUND(1+SUMPRODUCT(($Z$5:$Z$448&lt;&gt;"")*($Z$5:$Z$448&lt;Z394)/COUNTIF($Z$5:$Z$448,$Z$5:$Z$448&amp;"")),0)))</f>
        <v/>
      </c>
    </row>
    <row r="395" spans="2:27" x14ac:dyDescent="0.25">
      <c r="B395" s="160" t="str">
        <f>IFERROR(INDEX($V$5:$V$448,MATCH(ROWS($B$5:B395),$W$5:$W$448,0)),"")</f>
        <v/>
      </c>
      <c r="C395" s="265" t="str">
        <f>IF($B395="","",COUNTIF(Jan[Resident Name],$B395))</f>
        <v/>
      </c>
      <c r="D395" s="265" t="str">
        <f>IF($B395="","",COUNTIF(Feb[Resident Name],$B395))</f>
        <v/>
      </c>
      <c r="E395" s="265" t="str">
        <f>IF($B395="","",COUNTIF(Mar[Resident Name],$B395))</f>
        <v/>
      </c>
      <c r="F395" s="265" t="str">
        <f>IF($B395="","",COUNTIF(Apr[Resident Name],$B395))</f>
        <v/>
      </c>
      <c r="G395" s="265" t="str">
        <f>IF($B395="","",COUNTIF(May[Resident Name],$B395))</f>
        <v/>
      </c>
      <c r="H395" s="265" t="str">
        <f>IF($B395="","",COUNTIF(June[Resident Name],$B395))</f>
        <v/>
      </c>
      <c r="I395" s="265" t="str">
        <f>IF($B395="","",COUNTIF(July[Resident Name],$B395))</f>
        <v/>
      </c>
      <c r="J395" s="265" t="str">
        <f>IF($B395="","",COUNTIF(Aug[Resident Name],$B395))</f>
        <v/>
      </c>
      <c r="K395" s="265" t="str">
        <f>IF($B395="","",COUNTIF(Sept[Resident Name],$B395))</f>
        <v/>
      </c>
      <c r="L395" s="265" t="str">
        <f>IF($B395="","",COUNTIF(Oct[Resident Name],$B395))</f>
        <v/>
      </c>
      <c r="M395" s="265" t="str">
        <f>IF($B395="","",COUNTIF(Nov[Resident Name],$B395))</f>
        <v/>
      </c>
      <c r="N395" s="265" t="str">
        <f>IF($B395="","",COUNTIF(Dec[Resident Name],$B395))</f>
        <v/>
      </c>
      <c r="O395" s="265" t="str">
        <f t="shared" si="12"/>
        <v/>
      </c>
      <c r="P395" s="11"/>
      <c r="R395" s="160" t="str">
        <f>IFERROR(INDEX($B$5:$B$172,MATCH(ROWS($R$5:R395),$X$5:$X$172,0)),"")</f>
        <v/>
      </c>
      <c r="S395" s="76" t="str">
        <f>IF($R395="","",INDEX($O$5:$O$172,MATCH(ROWS($R$5:R395),$X$5:$X$172,0)))</f>
        <v/>
      </c>
      <c r="U395" s="160" t="str">
        <f>IFERROR(INDEX($Z$5:$Z$448,MATCH(ROWS($U$5:U395),$AA$5:$AA$448,0)),"")</f>
        <v/>
      </c>
      <c r="V395" s="274" t="str">
        <f>IF(Nov!C24="","",Nov!C24)</f>
        <v/>
      </c>
      <c r="W395" s="274" t="str" cm="1">
        <f t="array" ref="W395">IF(V395="","",IF(COUNTIF($V$5:V395,V395)&gt;1,"",ROUND(1+SUMPRODUCT(($V$5:$V$448&lt;&gt;"")*($V$5:$V$448&lt;V395)/COUNTIF($V$5:$V$448,$V$5:$V$448&amp;"")),0)))</f>
        <v/>
      </c>
      <c r="X395" s="274"/>
      <c r="Z395" s="274" t="str">
        <f>IF(Nov!H24="Major Injury",Nov!C24,"")</f>
        <v/>
      </c>
      <c r="AA395" s="274" t="str" cm="1">
        <f t="array" ref="AA395">IF(Z395="","",IF(COUNTIF($Z$5:Z395,Z395)&gt;1,"",ROUND(1+SUMPRODUCT(($Z$5:$Z$448&lt;&gt;"")*($Z$5:$Z$448&lt;Z395)/COUNTIF($Z$5:$Z$448,$Z$5:$Z$448&amp;"")),0)))</f>
        <v/>
      </c>
    </row>
    <row r="396" spans="2:27" x14ac:dyDescent="0.25">
      <c r="B396" s="160" t="str">
        <f>IFERROR(INDEX($V$5:$V$448,MATCH(ROWS($B$5:B396),$W$5:$W$448,0)),"")</f>
        <v/>
      </c>
      <c r="C396" s="265" t="str">
        <f>IF($B396="","",COUNTIF(Jan[Resident Name],$B396))</f>
        <v/>
      </c>
      <c r="D396" s="265" t="str">
        <f>IF($B396="","",COUNTIF(Feb[Resident Name],$B396))</f>
        <v/>
      </c>
      <c r="E396" s="265" t="str">
        <f>IF($B396="","",COUNTIF(Mar[Resident Name],$B396))</f>
        <v/>
      </c>
      <c r="F396" s="265" t="str">
        <f>IF($B396="","",COUNTIF(Apr[Resident Name],$B396))</f>
        <v/>
      </c>
      <c r="G396" s="265" t="str">
        <f>IF($B396="","",COUNTIF(May[Resident Name],$B396))</f>
        <v/>
      </c>
      <c r="H396" s="265" t="str">
        <f>IF($B396="","",COUNTIF(June[Resident Name],$B396))</f>
        <v/>
      </c>
      <c r="I396" s="265" t="str">
        <f>IF($B396="","",COUNTIF(July[Resident Name],$B396))</f>
        <v/>
      </c>
      <c r="J396" s="265" t="str">
        <f>IF($B396="","",COUNTIF(Aug[Resident Name],$B396))</f>
        <v/>
      </c>
      <c r="K396" s="265" t="str">
        <f>IF($B396="","",COUNTIF(Sept[Resident Name],$B396))</f>
        <v/>
      </c>
      <c r="L396" s="265" t="str">
        <f>IF($B396="","",COUNTIF(Oct[Resident Name],$B396))</f>
        <v/>
      </c>
      <c r="M396" s="265" t="str">
        <f>IF($B396="","",COUNTIF(Nov[Resident Name],$B396))</f>
        <v/>
      </c>
      <c r="N396" s="265" t="str">
        <f>IF($B396="","",COUNTIF(Dec[Resident Name],$B396))</f>
        <v/>
      </c>
      <c r="O396" s="265" t="str">
        <f t="shared" si="12"/>
        <v/>
      </c>
      <c r="P396" s="11"/>
      <c r="R396" s="160" t="str">
        <f>IFERROR(INDEX($B$5:$B$172,MATCH(ROWS($R$5:R396),$X$5:$X$172,0)),"")</f>
        <v/>
      </c>
      <c r="S396" s="76" t="str">
        <f>IF($R396="","",INDEX($O$5:$O$172,MATCH(ROWS($R$5:R396),$X$5:$X$172,0)))</f>
        <v/>
      </c>
      <c r="U396" s="160" t="str">
        <f>IFERROR(INDEX($Z$5:$Z$448,MATCH(ROWS($U$5:U396),$AA$5:$AA$448,0)),"")</f>
        <v/>
      </c>
      <c r="V396" s="274" t="str">
        <f>IF(Nov!C25="","",Nov!C25)</f>
        <v/>
      </c>
      <c r="W396" s="274" t="str" cm="1">
        <f t="array" ref="W396">IF(V396="","",IF(COUNTIF($V$5:V396,V396)&gt;1,"",ROUND(1+SUMPRODUCT(($V$5:$V$448&lt;&gt;"")*($V$5:$V$448&lt;V396)/COUNTIF($V$5:$V$448,$V$5:$V$448&amp;"")),0)))</f>
        <v/>
      </c>
      <c r="X396" s="274"/>
      <c r="Z396" s="274" t="str">
        <f>IF(Nov!H25="Major Injury",Nov!C25,"")</f>
        <v/>
      </c>
      <c r="AA396" s="274" t="str" cm="1">
        <f t="array" ref="AA396">IF(Z396="","",IF(COUNTIF($Z$5:Z396,Z396)&gt;1,"",ROUND(1+SUMPRODUCT(($Z$5:$Z$448&lt;&gt;"")*($Z$5:$Z$448&lt;Z396)/COUNTIF($Z$5:$Z$448,$Z$5:$Z$448&amp;"")),0)))</f>
        <v/>
      </c>
    </row>
    <row r="397" spans="2:27" x14ac:dyDescent="0.25">
      <c r="B397" s="160" t="str">
        <f>IFERROR(INDEX($V$5:$V$448,MATCH(ROWS($B$5:B397),$W$5:$W$448,0)),"")</f>
        <v/>
      </c>
      <c r="C397" s="265" t="str">
        <f>IF($B397="","",COUNTIF(Jan[Resident Name],$B397))</f>
        <v/>
      </c>
      <c r="D397" s="265" t="str">
        <f>IF($B397="","",COUNTIF(Feb[Resident Name],$B397))</f>
        <v/>
      </c>
      <c r="E397" s="265" t="str">
        <f>IF($B397="","",COUNTIF(Mar[Resident Name],$B397))</f>
        <v/>
      </c>
      <c r="F397" s="265" t="str">
        <f>IF($B397="","",COUNTIF(Apr[Resident Name],$B397))</f>
        <v/>
      </c>
      <c r="G397" s="265" t="str">
        <f>IF($B397="","",COUNTIF(May[Resident Name],$B397))</f>
        <v/>
      </c>
      <c r="H397" s="265" t="str">
        <f>IF($B397="","",COUNTIF(June[Resident Name],$B397))</f>
        <v/>
      </c>
      <c r="I397" s="265" t="str">
        <f>IF($B397="","",COUNTIF(July[Resident Name],$B397))</f>
        <v/>
      </c>
      <c r="J397" s="265" t="str">
        <f>IF($B397="","",COUNTIF(Aug[Resident Name],$B397))</f>
        <v/>
      </c>
      <c r="K397" s="265" t="str">
        <f>IF($B397="","",COUNTIF(Sept[Resident Name],$B397))</f>
        <v/>
      </c>
      <c r="L397" s="265" t="str">
        <f>IF($B397="","",COUNTIF(Oct[Resident Name],$B397))</f>
        <v/>
      </c>
      <c r="M397" s="265" t="str">
        <f>IF($B397="","",COUNTIF(Nov[Resident Name],$B397))</f>
        <v/>
      </c>
      <c r="N397" s="265" t="str">
        <f>IF($B397="","",COUNTIF(Dec[Resident Name],$B397))</f>
        <v/>
      </c>
      <c r="O397" s="265" t="str">
        <f t="shared" si="12"/>
        <v/>
      </c>
      <c r="P397" s="11"/>
      <c r="R397" s="160" t="str">
        <f>IFERROR(INDEX($B$5:$B$172,MATCH(ROWS($R$5:R397),$X$5:$X$172,0)),"")</f>
        <v/>
      </c>
      <c r="S397" s="76" t="str">
        <f>IF($R397="","",INDEX($O$5:$O$172,MATCH(ROWS($R$5:R397),$X$5:$X$172,0)))</f>
        <v/>
      </c>
      <c r="U397" s="160" t="str">
        <f>IFERROR(INDEX($Z$5:$Z$448,MATCH(ROWS($U$5:U397),$AA$5:$AA$448,0)),"")</f>
        <v/>
      </c>
      <c r="V397" s="274" t="str">
        <f>IF(Nov!C26="","",Nov!C26)</f>
        <v/>
      </c>
      <c r="W397" s="274" t="str" cm="1">
        <f t="array" ref="W397">IF(V397="","",IF(COUNTIF($V$5:V397,V397)&gt;1,"",ROUND(1+SUMPRODUCT(($V$5:$V$448&lt;&gt;"")*($V$5:$V$448&lt;V397)/COUNTIF($V$5:$V$448,$V$5:$V$448&amp;"")),0)))</f>
        <v/>
      </c>
      <c r="X397" s="274"/>
      <c r="Z397" s="274" t="str">
        <f>IF(Nov!H26="Major Injury",Nov!C26,"")</f>
        <v/>
      </c>
      <c r="AA397" s="274" t="str" cm="1">
        <f t="array" ref="AA397">IF(Z397="","",IF(COUNTIF($Z$5:Z397,Z397)&gt;1,"",ROUND(1+SUMPRODUCT(($Z$5:$Z$448&lt;&gt;"")*($Z$5:$Z$448&lt;Z397)/COUNTIF($Z$5:$Z$448,$Z$5:$Z$448&amp;"")),0)))</f>
        <v/>
      </c>
    </row>
    <row r="398" spans="2:27" x14ac:dyDescent="0.25">
      <c r="B398" s="160" t="str">
        <f>IFERROR(INDEX($V$5:$V$448,MATCH(ROWS($B$5:B398),$W$5:$W$448,0)),"")</f>
        <v/>
      </c>
      <c r="C398" s="265" t="str">
        <f>IF($B398="","",COUNTIF(Jan[Resident Name],$B398))</f>
        <v/>
      </c>
      <c r="D398" s="265" t="str">
        <f>IF($B398="","",COUNTIF(Feb[Resident Name],$B398))</f>
        <v/>
      </c>
      <c r="E398" s="265" t="str">
        <f>IF($B398="","",COUNTIF(Mar[Resident Name],$B398))</f>
        <v/>
      </c>
      <c r="F398" s="265" t="str">
        <f>IF($B398="","",COUNTIF(Apr[Resident Name],$B398))</f>
        <v/>
      </c>
      <c r="G398" s="265" t="str">
        <f>IF($B398="","",COUNTIF(May[Resident Name],$B398))</f>
        <v/>
      </c>
      <c r="H398" s="265" t="str">
        <f>IF($B398="","",COUNTIF(June[Resident Name],$B398))</f>
        <v/>
      </c>
      <c r="I398" s="265" t="str">
        <f>IF($B398="","",COUNTIF(July[Resident Name],$B398))</f>
        <v/>
      </c>
      <c r="J398" s="265" t="str">
        <f>IF($B398="","",COUNTIF(Aug[Resident Name],$B398))</f>
        <v/>
      </c>
      <c r="K398" s="265" t="str">
        <f>IF($B398="","",COUNTIF(Sept[Resident Name],$B398))</f>
        <v/>
      </c>
      <c r="L398" s="265" t="str">
        <f>IF($B398="","",COUNTIF(Oct[Resident Name],$B398))</f>
        <v/>
      </c>
      <c r="M398" s="265" t="str">
        <f>IF($B398="","",COUNTIF(Nov[Resident Name],$B398))</f>
        <v/>
      </c>
      <c r="N398" s="265" t="str">
        <f>IF($B398="","",COUNTIF(Dec[Resident Name],$B398))</f>
        <v/>
      </c>
      <c r="O398" s="265" t="str">
        <f t="shared" si="12"/>
        <v/>
      </c>
      <c r="P398" s="11"/>
      <c r="R398" s="160" t="str">
        <f>IFERROR(INDEX($B$5:$B$172,MATCH(ROWS($R$5:R398),$X$5:$X$172,0)),"")</f>
        <v/>
      </c>
      <c r="S398" s="76" t="str">
        <f>IF($R398="","",INDEX($O$5:$O$172,MATCH(ROWS($R$5:R398),$X$5:$X$172,0)))</f>
        <v/>
      </c>
      <c r="U398" s="160" t="str">
        <f>IFERROR(INDEX($Z$5:$Z$448,MATCH(ROWS($U$5:U398),$AA$5:$AA$448,0)),"")</f>
        <v/>
      </c>
      <c r="V398" s="274" t="str">
        <f>IF(Nov!C27="","",Nov!C27)</f>
        <v/>
      </c>
      <c r="W398" s="274" t="str" cm="1">
        <f t="array" ref="W398">IF(V398="","",IF(COUNTIF($V$5:V398,V398)&gt;1,"",ROUND(1+SUMPRODUCT(($V$5:$V$448&lt;&gt;"")*($V$5:$V$448&lt;V398)/COUNTIF($V$5:$V$448,$V$5:$V$448&amp;"")),0)))</f>
        <v/>
      </c>
      <c r="X398" s="274"/>
      <c r="Z398" s="274" t="str">
        <f>IF(Nov!H27="Major Injury",Nov!C27,"")</f>
        <v/>
      </c>
      <c r="AA398" s="274" t="str" cm="1">
        <f t="array" ref="AA398">IF(Z398="","",IF(COUNTIF($Z$5:Z398,Z398)&gt;1,"",ROUND(1+SUMPRODUCT(($Z$5:$Z$448&lt;&gt;"")*($Z$5:$Z$448&lt;Z398)/COUNTIF($Z$5:$Z$448,$Z$5:$Z$448&amp;"")),0)))</f>
        <v/>
      </c>
    </row>
    <row r="399" spans="2:27" x14ac:dyDescent="0.25">
      <c r="B399" s="160" t="str">
        <f>IFERROR(INDEX($V$5:$V$448,MATCH(ROWS($B$5:B399),$W$5:$W$448,0)),"")</f>
        <v/>
      </c>
      <c r="C399" s="265" t="str">
        <f>IF($B399="","",COUNTIF(Jan[Resident Name],$B399))</f>
        <v/>
      </c>
      <c r="D399" s="265" t="str">
        <f>IF($B399="","",COUNTIF(Feb[Resident Name],$B399))</f>
        <v/>
      </c>
      <c r="E399" s="265" t="str">
        <f>IF($B399="","",COUNTIF(Mar[Resident Name],$B399))</f>
        <v/>
      </c>
      <c r="F399" s="265" t="str">
        <f>IF($B399="","",COUNTIF(Apr[Resident Name],$B399))</f>
        <v/>
      </c>
      <c r="G399" s="265" t="str">
        <f>IF($B399="","",COUNTIF(May[Resident Name],$B399))</f>
        <v/>
      </c>
      <c r="H399" s="265" t="str">
        <f>IF($B399="","",COUNTIF(June[Resident Name],$B399))</f>
        <v/>
      </c>
      <c r="I399" s="265" t="str">
        <f>IF($B399="","",COUNTIF(July[Resident Name],$B399))</f>
        <v/>
      </c>
      <c r="J399" s="265" t="str">
        <f>IF($B399="","",COUNTIF(Aug[Resident Name],$B399))</f>
        <v/>
      </c>
      <c r="K399" s="265" t="str">
        <f>IF($B399="","",COUNTIF(Sept[Resident Name],$B399))</f>
        <v/>
      </c>
      <c r="L399" s="265" t="str">
        <f>IF($B399="","",COUNTIF(Oct[Resident Name],$B399))</f>
        <v/>
      </c>
      <c r="M399" s="265" t="str">
        <f>IF($B399="","",COUNTIF(Nov[Resident Name],$B399))</f>
        <v/>
      </c>
      <c r="N399" s="265" t="str">
        <f>IF($B399="","",COUNTIF(Dec[Resident Name],$B399))</f>
        <v/>
      </c>
      <c r="O399" s="265" t="str">
        <f t="shared" si="12"/>
        <v/>
      </c>
      <c r="P399" s="11"/>
      <c r="R399" s="160" t="str">
        <f>IFERROR(INDEX($B$5:$B$172,MATCH(ROWS($R$5:R399),$X$5:$X$172,0)),"")</f>
        <v/>
      </c>
      <c r="S399" s="76" t="str">
        <f>IF($R399="","",INDEX($O$5:$O$172,MATCH(ROWS($R$5:R399),$X$5:$X$172,0)))</f>
        <v/>
      </c>
      <c r="U399" s="160" t="str">
        <f>IFERROR(INDEX($Z$5:$Z$448,MATCH(ROWS($U$5:U399),$AA$5:$AA$448,0)),"")</f>
        <v/>
      </c>
      <c r="V399" s="274" t="str">
        <f>IF(Nov!C28="","",Nov!C28)</f>
        <v/>
      </c>
      <c r="W399" s="274" t="str" cm="1">
        <f t="array" ref="W399">IF(V399="","",IF(COUNTIF($V$5:V399,V399)&gt;1,"",ROUND(1+SUMPRODUCT(($V$5:$V$448&lt;&gt;"")*($V$5:$V$448&lt;V399)/COUNTIF($V$5:$V$448,$V$5:$V$448&amp;"")),0)))</f>
        <v/>
      </c>
      <c r="X399" s="274"/>
      <c r="Z399" s="274" t="str">
        <f>IF(Nov!H28="Major Injury",Nov!C28,"")</f>
        <v/>
      </c>
      <c r="AA399" s="274" t="str" cm="1">
        <f t="array" ref="AA399">IF(Z399="","",IF(COUNTIF($Z$5:Z399,Z399)&gt;1,"",ROUND(1+SUMPRODUCT(($Z$5:$Z$448&lt;&gt;"")*($Z$5:$Z$448&lt;Z399)/COUNTIF($Z$5:$Z$448,$Z$5:$Z$448&amp;"")),0)))</f>
        <v/>
      </c>
    </row>
    <row r="400" spans="2:27" x14ac:dyDescent="0.25">
      <c r="B400" s="160" t="str">
        <f>IFERROR(INDEX($V$5:$V$448,MATCH(ROWS($B$5:B400),$W$5:$W$448,0)),"")</f>
        <v/>
      </c>
      <c r="C400" s="265" t="str">
        <f>IF($B400="","",COUNTIF(Jan[Resident Name],$B400))</f>
        <v/>
      </c>
      <c r="D400" s="265" t="str">
        <f>IF($B400="","",COUNTIF(Feb[Resident Name],$B400))</f>
        <v/>
      </c>
      <c r="E400" s="265" t="str">
        <f>IF($B400="","",COUNTIF(Mar[Resident Name],$B400))</f>
        <v/>
      </c>
      <c r="F400" s="265" t="str">
        <f>IF($B400="","",COUNTIF(Apr[Resident Name],$B400))</f>
        <v/>
      </c>
      <c r="G400" s="265" t="str">
        <f>IF($B400="","",COUNTIF(May[Resident Name],$B400))</f>
        <v/>
      </c>
      <c r="H400" s="265" t="str">
        <f>IF($B400="","",COUNTIF(June[Resident Name],$B400))</f>
        <v/>
      </c>
      <c r="I400" s="265" t="str">
        <f>IF($B400="","",COUNTIF(July[Resident Name],$B400))</f>
        <v/>
      </c>
      <c r="J400" s="265" t="str">
        <f>IF($B400="","",COUNTIF(Aug[Resident Name],$B400))</f>
        <v/>
      </c>
      <c r="K400" s="265" t="str">
        <f>IF($B400="","",COUNTIF(Sept[Resident Name],$B400))</f>
        <v/>
      </c>
      <c r="L400" s="265" t="str">
        <f>IF($B400="","",COUNTIF(Oct[Resident Name],$B400))</f>
        <v/>
      </c>
      <c r="M400" s="265" t="str">
        <f>IF($B400="","",COUNTIF(Nov[Resident Name],$B400))</f>
        <v/>
      </c>
      <c r="N400" s="265" t="str">
        <f>IF($B400="","",COUNTIF(Dec[Resident Name],$B400))</f>
        <v/>
      </c>
      <c r="O400" s="265" t="str">
        <f t="shared" si="12"/>
        <v/>
      </c>
      <c r="P400" s="11"/>
      <c r="R400" s="160" t="str">
        <f>IFERROR(INDEX($B$5:$B$172,MATCH(ROWS($R$5:R400),$X$5:$X$172,0)),"")</f>
        <v/>
      </c>
      <c r="S400" s="76" t="str">
        <f>IF($R400="","",INDEX($O$5:$O$172,MATCH(ROWS($R$5:R400),$X$5:$X$172,0)))</f>
        <v/>
      </c>
      <c r="U400" s="160" t="str">
        <f>IFERROR(INDEX($Z$5:$Z$448,MATCH(ROWS($U$5:U400),$AA$5:$AA$448,0)),"")</f>
        <v/>
      </c>
      <c r="V400" s="274" t="str">
        <f>IF(Nov!C29="","",Nov!C29)</f>
        <v/>
      </c>
      <c r="W400" s="274" t="str" cm="1">
        <f t="array" ref="W400">IF(V400="","",IF(COUNTIF($V$5:V400,V400)&gt;1,"",ROUND(1+SUMPRODUCT(($V$5:$V$448&lt;&gt;"")*($V$5:$V$448&lt;V400)/COUNTIF($V$5:$V$448,$V$5:$V$448&amp;"")),0)))</f>
        <v/>
      </c>
      <c r="X400" s="274"/>
      <c r="Z400" s="274" t="str">
        <f>IF(Nov!H29="Major Injury",Nov!C29,"")</f>
        <v/>
      </c>
      <c r="AA400" s="274" t="str" cm="1">
        <f t="array" ref="AA400">IF(Z400="","",IF(COUNTIF($Z$5:Z400,Z400)&gt;1,"",ROUND(1+SUMPRODUCT(($Z$5:$Z$448&lt;&gt;"")*($Z$5:$Z$448&lt;Z400)/COUNTIF($Z$5:$Z$448,$Z$5:$Z$448&amp;"")),0)))</f>
        <v/>
      </c>
    </row>
    <row r="401" spans="2:27" x14ac:dyDescent="0.25">
      <c r="B401" s="160" t="str">
        <f>IFERROR(INDEX($V$5:$V$448,MATCH(ROWS($B$5:B401),$W$5:$W$448,0)),"")</f>
        <v/>
      </c>
      <c r="C401" s="265" t="str">
        <f>IF($B401="","",COUNTIF(Jan[Resident Name],$B401))</f>
        <v/>
      </c>
      <c r="D401" s="265" t="str">
        <f>IF($B401="","",COUNTIF(Feb[Resident Name],$B401))</f>
        <v/>
      </c>
      <c r="E401" s="265" t="str">
        <f>IF($B401="","",COUNTIF(Mar[Resident Name],$B401))</f>
        <v/>
      </c>
      <c r="F401" s="265" t="str">
        <f>IF($B401="","",COUNTIF(Apr[Resident Name],$B401))</f>
        <v/>
      </c>
      <c r="G401" s="265" t="str">
        <f>IF($B401="","",COUNTIF(May[Resident Name],$B401))</f>
        <v/>
      </c>
      <c r="H401" s="265" t="str">
        <f>IF($B401="","",COUNTIF(June[Resident Name],$B401))</f>
        <v/>
      </c>
      <c r="I401" s="265" t="str">
        <f>IF($B401="","",COUNTIF(July[Resident Name],$B401))</f>
        <v/>
      </c>
      <c r="J401" s="265" t="str">
        <f>IF($B401="","",COUNTIF(Aug[Resident Name],$B401))</f>
        <v/>
      </c>
      <c r="K401" s="265" t="str">
        <f>IF($B401="","",COUNTIF(Sept[Resident Name],$B401))</f>
        <v/>
      </c>
      <c r="L401" s="265" t="str">
        <f>IF($B401="","",COUNTIF(Oct[Resident Name],$B401))</f>
        <v/>
      </c>
      <c r="M401" s="265" t="str">
        <f>IF($B401="","",COUNTIF(Nov[Resident Name],$B401))</f>
        <v/>
      </c>
      <c r="N401" s="265" t="str">
        <f>IF($B401="","",COUNTIF(Dec[Resident Name],$B401))</f>
        <v/>
      </c>
      <c r="O401" s="265" t="str">
        <f t="shared" si="12"/>
        <v/>
      </c>
      <c r="P401" s="11"/>
      <c r="R401" s="160" t="str">
        <f>IFERROR(INDEX($B$5:$B$172,MATCH(ROWS($R$5:R401),$X$5:$X$172,0)),"")</f>
        <v/>
      </c>
      <c r="S401" s="76" t="str">
        <f>IF($R401="","",INDEX($O$5:$O$172,MATCH(ROWS($R$5:R401),$X$5:$X$172,0)))</f>
        <v/>
      </c>
      <c r="U401" s="160" t="str">
        <f>IFERROR(INDEX($Z$5:$Z$448,MATCH(ROWS($U$5:U401),$AA$5:$AA$448,0)),"")</f>
        <v/>
      </c>
      <c r="V401" s="274" t="str">
        <f>IF(Nov!C30="","",Nov!C30)</f>
        <v/>
      </c>
      <c r="W401" s="274" t="str" cm="1">
        <f t="array" ref="W401">IF(V401="","",IF(COUNTIF($V$5:V401,V401)&gt;1,"",ROUND(1+SUMPRODUCT(($V$5:$V$448&lt;&gt;"")*($V$5:$V$448&lt;V401)/COUNTIF($V$5:$V$448,$V$5:$V$448&amp;"")),0)))</f>
        <v/>
      </c>
      <c r="X401" s="274"/>
      <c r="Z401" s="274" t="str">
        <f>IF(Nov!H30="Major Injury",Nov!C30,"")</f>
        <v/>
      </c>
      <c r="AA401" s="274" t="str" cm="1">
        <f t="array" ref="AA401">IF(Z401="","",IF(COUNTIF($Z$5:Z401,Z401)&gt;1,"",ROUND(1+SUMPRODUCT(($Z$5:$Z$448&lt;&gt;"")*($Z$5:$Z$448&lt;Z401)/COUNTIF($Z$5:$Z$448,$Z$5:$Z$448&amp;"")),0)))</f>
        <v/>
      </c>
    </row>
    <row r="402" spans="2:27" x14ac:dyDescent="0.25">
      <c r="B402" s="160" t="str">
        <f>IFERROR(INDEX($V$5:$V$448,MATCH(ROWS($B$5:B402),$W$5:$W$448,0)),"")</f>
        <v/>
      </c>
      <c r="C402" s="265" t="str">
        <f>IF($B402="","",COUNTIF(Jan[Resident Name],$B402))</f>
        <v/>
      </c>
      <c r="D402" s="265" t="str">
        <f>IF($B402="","",COUNTIF(Feb[Resident Name],$B402))</f>
        <v/>
      </c>
      <c r="E402" s="265" t="str">
        <f>IF($B402="","",COUNTIF(Mar[Resident Name],$B402))</f>
        <v/>
      </c>
      <c r="F402" s="265" t="str">
        <f>IF($B402="","",COUNTIF(Apr[Resident Name],$B402))</f>
        <v/>
      </c>
      <c r="G402" s="265" t="str">
        <f>IF($B402="","",COUNTIF(May[Resident Name],$B402))</f>
        <v/>
      </c>
      <c r="H402" s="265" t="str">
        <f>IF($B402="","",COUNTIF(June[Resident Name],$B402))</f>
        <v/>
      </c>
      <c r="I402" s="265" t="str">
        <f>IF($B402="","",COUNTIF(July[Resident Name],$B402))</f>
        <v/>
      </c>
      <c r="J402" s="265" t="str">
        <f>IF($B402="","",COUNTIF(Aug[Resident Name],$B402))</f>
        <v/>
      </c>
      <c r="K402" s="265" t="str">
        <f>IF($B402="","",COUNTIF(Sept[Resident Name],$B402))</f>
        <v/>
      </c>
      <c r="L402" s="265" t="str">
        <f>IF($B402="","",COUNTIF(Oct[Resident Name],$B402))</f>
        <v/>
      </c>
      <c r="M402" s="265" t="str">
        <f>IF($B402="","",COUNTIF(Nov[Resident Name],$B402))</f>
        <v/>
      </c>
      <c r="N402" s="265" t="str">
        <f>IF($B402="","",COUNTIF(Dec[Resident Name],$B402))</f>
        <v/>
      </c>
      <c r="O402" s="265" t="str">
        <f t="shared" si="12"/>
        <v/>
      </c>
      <c r="P402" s="11"/>
      <c r="R402" s="160" t="str">
        <f>IFERROR(INDEX($B$5:$B$172,MATCH(ROWS($R$5:R402),$X$5:$X$172,0)),"")</f>
        <v/>
      </c>
      <c r="S402" s="76" t="str">
        <f>IF($R402="","",INDEX($O$5:$O$172,MATCH(ROWS($R$5:R402),$X$5:$X$172,0)))</f>
        <v/>
      </c>
      <c r="U402" s="160" t="str">
        <f>IFERROR(INDEX($Z$5:$Z$448,MATCH(ROWS($U$5:U402),$AA$5:$AA$448,0)),"")</f>
        <v/>
      </c>
      <c r="V402" s="274" t="str">
        <f>IF(Nov!C31="","",Nov!C31)</f>
        <v/>
      </c>
      <c r="W402" s="274" t="str" cm="1">
        <f t="array" ref="W402">IF(V402="","",IF(COUNTIF($V$5:V402,V402)&gt;1,"",ROUND(1+SUMPRODUCT(($V$5:$V$448&lt;&gt;"")*($V$5:$V$448&lt;V402)/COUNTIF($V$5:$V$448,$V$5:$V$448&amp;"")),0)))</f>
        <v/>
      </c>
      <c r="X402" s="274"/>
      <c r="Z402" s="274" t="str">
        <f>IF(Nov!H31="Major Injury",Nov!C31,"")</f>
        <v/>
      </c>
      <c r="AA402" s="274" t="str" cm="1">
        <f t="array" ref="AA402">IF(Z402="","",IF(COUNTIF($Z$5:Z402,Z402)&gt;1,"",ROUND(1+SUMPRODUCT(($Z$5:$Z$448&lt;&gt;"")*($Z$5:$Z$448&lt;Z402)/COUNTIF($Z$5:$Z$448,$Z$5:$Z$448&amp;"")),0)))</f>
        <v/>
      </c>
    </row>
    <row r="403" spans="2:27" x14ac:dyDescent="0.25">
      <c r="B403" s="160" t="str">
        <f>IFERROR(INDEX($V$5:$V$448,MATCH(ROWS($B$5:B403),$W$5:$W$448,0)),"")</f>
        <v/>
      </c>
      <c r="C403" s="265" t="str">
        <f>IF($B403="","",COUNTIF(Jan[Resident Name],$B403))</f>
        <v/>
      </c>
      <c r="D403" s="265" t="str">
        <f>IF($B403="","",COUNTIF(Feb[Resident Name],$B403))</f>
        <v/>
      </c>
      <c r="E403" s="265" t="str">
        <f>IF($B403="","",COUNTIF(Mar[Resident Name],$B403))</f>
        <v/>
      </c>
      <c r="F403" s="265" t="str">
        <f>IF($B403="","",COUNTIF(Apr[Resident Name],$B403))</f>
        <v/>
      </c>
      <c r="G403" s="265" t="str">
        <f>IF($B403="","",COUNTIF(May[Resident Name],$B403))</f>
        <v/>
      </c>
      <c r="H403" s="265" t="str">
        <f>IF($B403="","",COUNTIF(June[Resident Name],$B403))</f>
        <v/>
      </c>
      <c r="I403" s="265" t="str">
        <f>IF($B403="","",COUNTIF(July[Resident Name],$B403))</f>
        <v/>
      </c>
      <c r="J403" s="265" t="str">
        <f>IF($B403="","",COUNTIF(Aug[Resident Name],$B403))</f>
        <v/>
      </c>
      <c r="K403" s="265" t="str">
        <f>IF($B403="","",COUNTIF(Sept[Resident Name],$B403))</f>
        <v/>
      </c>
      <c r="L403" s="265" t="str">
        <f>IF($B403="","",COUNTIF(Oct[Resident Name],$B403))</f>
        <v/>
      </c>
      <c r="M403" s="265" t="str">
        <f>IF($B403="","",COUNTIF(Nov[Resident Name],$B403))</f>
        <v/>
      </c>
      <c r="N403" s="265" t="str">
        <f>IF($B403="","",COUNTIF(Dec[Resident Name],$B403))</f>
        <v/>
      </c>
      <c r="O403" s="265" t="str">
        <f t="shared" si="12"/>
        <v/>
      </c>
      <c r="P403" s="11"/>
      <c r="R403" s="160" t="str">
        <f>IFERROR(INDEX($B$5:$B$172,MATCH(ROWS($R$5:R403),$X$5:$X$172,0)),"")</f>
        <v/>
      </c>
      <c r="S403" s="76" t="str">
        <f>IF($R403="","",INDEX($O$5:$O$172,MATCH(ROWS($R$5:R403),$X$5:$X$172,0)))</f>
        <v/>
      </c>
      <c r="U403" s="160" t="str">
        <f>IFERROR(INDEX($Z$5:$Z$448,MATCH(ROWS($U$5:U403),$AA$5:$AA$448,0)),"")</f>
        <v/>
      </c>
      <c r="V403" s="274" t="str">
        <f>IF(Nov!C32="","",Nov!C32)</f>
        <v/>
      </c>
      <c r="W403" s="274" t="str" cm="1">
        <f t="array" ref="W403">IF(V403="","",IF(COUNTIF($V$5:V403,V403)&gt;1,"",ROUND(1+SUMPRODUCT(($V$5:$V$448&lt;&gt;"")*($V$5:$V$448&lt;V403)/COUNTIF($V$5:$V$448,$V$5:$V$448&amp;"")),0)))</f>
        <v/>
      </c>
      <c r="X403" s="274"/>
      <c r="Z403" s="274" t="str">
        <f>IF(Nov!H32="Major Injury",Nov!C32,"")</f>
        <v/>
      </c>
      <c r="AA403" s="274" t="str" cm="1">
        <f t="array" ref="AA403">IF(Z403="","",IF(COUNTIF($Z$5:Z403,Z403)&gt;1,"",ROUND(1+SUMPRODUCT(($Z$5:$Z$448&lt;&gt;"")*($Z$5:$Z$448&lt;Z403)/COUNTIF($Z$5:$Z$448,$Z$5:$Z$448&amp;"")),0)))</f>
        <v/>
      </c>
    </row>
    <row r="404" spans="2:27" x14ac:dyDescent="0.25">
      <c r="B404" s="160" t="str">
        <f>IFERROR(INDEX($V$5:$V$448,MATCH(ROWS($B$5:B404),$W$5:$W$448,0)),"")</f>
        <v/>
      </c>
      <c r="C404" s="265" t="str">
        <f>IF($B404="","",COUNTIF(Jan[Resident Name],$B404))</f>
        <v/>
      </c>
      <c r="D404" s="265" t="str">
        <f>IF($B404="","",COUNTIF(Feb[Resident Name],$B404))</f>
        <v/>
      </c>
      <c r="E404" s="265" t="str">
        <f>IF($B404="","",COUNTIF(Mar[Resident Name],$B404))</f>
        <v/>
      </c>
      <c r="F404" s="265" t="str">
        <f>IF($B404="","",COUNTIF(Apr[Resident Name],$B404))</f>
        <v/>
      </c>
      <c r="G404" s="265" t="str">
        <f>IF($B404="","",COUNTIF(May[Resident Name],$B404))</f>
        <v/>
      </c>
      <c r="H404" s="265" t="str">
        <f>IF($B404="","",COUNTIF(June[Resident Name],$B404))</f>
        <v/>
      </c>
      <c r="I404" s="265" t="str">
        <f>IF($B404="","",COUNTIF(July[Resident Name],$B404))</f>
        <v/>
      </c>
      <c r="J404" s="265" t="str">
        <f>IF($B404="","",COUNTIF(Aug[Resident Name],$B404))</f>
        <v/>
      </c>
      <c r="K404" s="265" t="str">
        <f>IF($B404="","",COUNTIF(Sept[Resident Name],$B404))</f>
        <v/>
      </c>
      <c r="L404" s="265" t="str">
        <f>IF($B404="","",COUNTIF(Oct[Resident Name],$B404))</f>
        <v/>
      </c>
      <c r="M404" s="265" t="str">
        <f>IF($B404="","",COUNTIF(Nov[Resident Name],$B404))</f>
        <v/>
      </c>
      <c r="N404" s="265" t="str">
        <f>IF($B404="","",COUNTIF(Dec[Resident Name],$B404))</f>
        <v/>
      </c>
      <c r="O404" s="265" t="str">
        <f t="shared" si="12"/>
        <v/>
      </c>
      <c r="P404" s="11"/>
      <c r="R404" s="160" t="str">
        <f>IFERROR(INDEX($B$5:$B$172,MATCH(ROWS($R$5:R404),$X$5:$X$172,0)),"")</f>
        <v/>
      </c>
      <c r="S404" s="76" t="str">
        <f>IF($R404="","",INDEX($O$5:$O$172,MATCH(ROWS($R$5:R404),$X$5:$X$172,0)))</f>
        <v/>
      </c>
      <c r="U404" s="160" t="str">
        <f>IFERROR(INDEX($Z$5:$Z$448,MATCH(ROWS($U$5:U404),$AA$5:$AA$448,0)),"")</f>
        <v/>
      </c>
      <c r="V404" s="274" t="str">
        <f>IF(Nov!C33="","",Nov!C33)</f>
        <v/>
      </c>
      <c r="W404" s="274" t="str" cm="1">
        <f t="array" ref="W404">IF(V404="","",IF(COUNTIF($V$5:V404,V404)&gt;1,"",ROUND(1+SUMPRODUCT(($V$5:$V$448&lt;&gt;"")*($V$5:$V$448&lt;V404)/COUNTIF($V$5:$V$448,$V$5:$V$448&amp;"")),0)))</f>
        <v/>
      </c>
      <c r="X404" s="274"/>
      <c r="Z404" s="274" t="str">
        <f>IF(Nov!H33="Major Injury",Nov!C33,"")</f>
        <v/>
      </c>
      <c r="AA404" s="274" t="str" cm="1">
        <f t="array" ref="AA404">IF(Z404="","",IF(COUNTIF($Z$5:Z404,Z404)&gt;1,"",ROUND(1+SUMPRODUCT(($Z$5:$Z$448&lt;&gt;"")*($Z$5:$Z$448&lt;Z404)/COUNTIF($Z$5:$Z$448,$Z$5:$Z$448&amp;"")),0)))</f>
        <v/>
      </c>
    </row>
    <row r="405" spans="2:27" x14ac:dyDescent="0.25">
      <c r="B405" s="160" t="str">
        <f>IFERROR(INDEX($V$5:$V$448,MATCH(ROWS($B$5:B405),$W$5:$W$448,0)),"")</f>
        <v/>
      </c>
      <c r="C405" s="265" t="str">
        <f>IF($B405="","",COUNTIF(Jan[Resident Name],$B405))</f>
        <v/>
      </c>
      <c r="D405" s="265" t="str">
        <f>IF($B405="","",COUNTIF(Feb[Resident Name],$B405))</f>
        <v/>
      </c>
      <c r="E405" s="265" t="str">
        <f>IF($B405="","",COUNTIF(Mar[Resident Name],$B405))</f>
        <v/>
      </c>
      <c r="F405" s="265" t="str">
        <f>IF($B405="","",COUNTIF(Apr[Resident Name],$B405))</f>
        <v/>
      </c>
      <c r="G405" s="265" t="str">
        <f>IF($B405="","",COUNTIF(May[Resident Name],$B405))</f>
        <v/>
      </c>
      <c r="H405" s="265" t="str">
        <f>IF($B405="","",COUNTIF(June[Resident Name],$B405))</f>
        <v/>
      </c>
      <c r="I405" s="265" t="str">
        <f>IF($B405="","",COUNTIF(July[Resident Name],$B405))</f>
        <v/>
      </c>
      <c r="J405" s="265" t="str">
        <f>IF($B405="","",COUNTIF(Aug[Resident Name],$B405))</f>
        <v/>
      </c>
      <c r="K405" s="265" t="str">
        <f>IF($B405="","",COUNTIF(Sept[Resident Name],$B405))</f>
        <v/>
      </c>
      <c r="L405" s="265" t="str">
        <f>IF($B405="","",COUNTIF(Oct[Resident Name],$B405))</f>
        <v/>
      </c>
      <c r="M405" s="265" t="str">
        <f>IF($B405="","",COUNTIF(Nov[Resident Name],$B405))</f>
        <v/>
      </c>
      <c r="N405" s="265" t="str">
        <f>IF($B405="","",COUNTIF(Dec[Resident Name],$B405))</f>
        <v/>
      </c>
      <c r="O405" s="265" t="str">
        <f t="shared" si="12"/>
        <v/>
      </c>
      <c r="P405" s="11"/>
      <c r="R405" s="160" t="str">
        <f>IFERROR(INDEX($B$5:$B$172,MATCH(ROWS($R$5:R405),$X$5:$X$172,0)),"")</f>
        <v/>
      </c>
      <c r="S405" s="76" t="str">
        <f>IF($R405="","",INDEX($O$5:$O$172,MATCH(ROWS($R$5:R405),$X$5:$X$172,0)))</f>
        <v/>
      </c>
      <c r="U405" s="160" t="str">
        <f>IFERROR(INDEX($Z$5:$Z$448,MATCH(ROWS($U$5:U405),$AA$5:$AA$448,0)),"")</f>
        <v/>
      </c>
      <c r="V405" s="274" t="str">
        <f>IF(Nov!C34="","",Nov!C34)</f>
        <v/>
      </c>
      <c r="W405" s="274" t="str" cm="1">
        <f t="array" ref="W405">IF(V405="","",IF(COUNTIF($V$5:V405,V405)&gt;1,"",ROUND(1+SUMPRODUCT(($V$5:$V$448&lt;&gt;"")*($V$5:$V$448&lt;V405)/COUNTIF($V$5:$V$448,$V$5:$V$448&amp;"")),0)))</f>
        <v/>
      </c>
      <c r="X405" s="274"/>
      <c r="Z405" s="274" t="str">
        <f>IF(Nov!H34="Major Injury",Nov!C34,"")</f>
        <v/>
      </c>
      <c r="AA405" s="274" t="str" cm="1">
        <f t="array" ref="AA405">IF(Z405="","",IF(COUNTIF($Z$5:Z405,Z405)&gt;1,"",ROUND(1+SUMPRODUCT(($Z$5:$Z$448&lt;&gt;"")*($Z$5:$Z$448&lt;Z405)/COUNTIF($Z$5:$Z$448,$Z$5:$Z$448&amp;"")),0)))</f>
        <v/>
      </c>
    </row>
    <row r="406" spans="2:27" x14ac:dyDescent="0.25">
      <c r="B406" s="160" t="str">
        <f>IFERROR(INDEX($V$5:$V$448,MATCH(ROWS($B$5:B406),$W$5:$W$448,0)),"")</f>
        <v/>
      </c>
      <c r="C406" s="265" t="str">
        <f>IF($B406="","",COUNTIF(Jan[Resident Name],$B406))</f>
        <v/>
      </c>
      <c r="D406" s="265" t="str">
        <f>IF($B406="","",COUNTIF(Feb[Resident Name],$B406))</f>
        <v/>
      </c>
      <c r="E406" s="265" t="str">
        <f>IF($B406="","",COUNTIF(Mar[Resident Name],$B406))</f>
        <v/>
      </c>
      <c r="F406" s="265" t="str">
        <f>IF($B406="","",COUNTIF(Apr[Resident Name],$B406))</f>
        <v/>
      </c>
      <c r="G406" s="265" t="str">
        <f>IF($B406="","",COUNTIF(May[Resident Name],$B406))</f>
        <v/>
      </c>
      <c r="H406" s="265" t="str">
        <f>IF($B406="","",COUNTIF(June[Resident Name],$B406))</f>
        <v/>
      </c>
      <c r="I406" s="265" t="str">
        <f>IF($B406="","",COUNTIF(July[Resident Name],$B406))</f>
        <v/>
      </c>
      <c r="J406" s="265" t="str">
        <f>IF($B406="","",COUNTIF(Aug[Resident Name],$B406))</f>
        <v/>
      </c>
      <c r="K406" s="265" t="str">
        <f>IF($B406="","",COUNTIF(Sept[Resident Name],$B406))</f>
        <v/>
      </c>
      <c r="L406" s="265" t="str">
        <f>IF($B406="","",COUNTIF(Oct[Resident Name],$B406))</f>
        <v/>
      </c>
      <c r="M406" s="265" t="str">
        <f>IF($B406="","",COUNTIF(Nov[Resident Name],$B406))</f>
        <v/>
      </c>
      <c r="N406" s="265" t="str">
        <f>IF($B406="","",COUNTIF(Dec[Resident Name],$B406))</f>
        <v/>
      </c>
      <c r="O406" s="265" t="str">
        <f t="shared" si="12"/>
        <v/>
      </c>
      <c r="P406" s="11"/>
      <c r="R406" s="160" t="str">
        <f>IFERROR(INDEX($B$5:$B$172,MATCH(ROWS($R$5:R406),$X$5:$X$172,0)),"")</f>
        <v/>
      </c>
      <c r="S406" s="76" t="str">
        <f>IF($R406="","",INDEX($O$5:$O$172,MATCH(ROWS($R$5:R406),$X$5:$X$172,0)))</f>
        <v/>
      </c>
      <c r="U406" s="160" t="str">
        <f>IFERROR(INDEX($Z$5:$Z$448,MATCH(ROWS($U$5:U406),$AA$5:$AA$448,0)),"")</f>
        <v/>
      </c>
      <c r="V406" s="274" t="str">
        <f>IF(Nov!C35="","",Nov!C35)</f>
        <v/>
      </c>
      <c r="W406" s="274" t="str" cm="1">
        <f t="array" ref="W406">IF(V406="","",IF(COUNTIF($V$5:V406,V406)&gt;1,"",ROUND(1+SUMPRODUCT(($V$5:$V$448&lt;&gt;"")*($V$5:$V$448&lt;V406)/COUNTIF($V$5:$V$448,$V$5:$V$448&amp;"")),0)))</f>
        <v/>
      </c>
      <c r="X406" s="274"/>
      <c r="Z406" s="274" t="str">
        <f>IF(Nov!H35="Major Injury",Nov!C35,"")</f>
        <v/>
      </c>
      <c r="AA406" s="274" t="str" cm="1">
        <f t="array" ref="AA406">IF(Z406="","",IF(COUNTIF($Z$5:Z406,Z406)&gt;1,"",ROUND(1+SUMPRODUCT(($Z$5:$Z$448&lt;&gt;"")*($Z$5:$Z$448&lt;Z406)/COUNTIF($Z$5:$Z$448,$Z$5:$Z$448&amp;"")),0)))</f>
        <v/>
      </c>
    </row>
    <row r="407" spans="2:27" x14ac:dyDescent="0.25">
      <c r="B407" s="160" t="str">
        <f>IFERROR(INDEX($V$5:$V$448,MATCH(ROWS($B$5:B407),$W$5:$W$448,0)),"")</f>
        <v/>
      </c>
      <c r="C407" s="265" t="str">
        <f>IF($B407="","",COUNTIF(Jan[Resident Name],$B407))</f>
        <v/>
      </c>
      <c r="D407" s="265" t="str">
        <f>IF($B407="","",COUNTIF(Feb[Resident Name],$B407))</f>
        <v/>
      </c>
      <c r="E407" s="265" t="str">
        <f>IF($B407="","",COUNTIF(Mar[Resident Name],$B407))</f>
        <v/>
      </c>
      <c r="F407" s="265" t="str">
        <f>IF($B407="","",COUNTIF(Apr[Resident Name],$B407))</f>
        <v/>
      </c>
      <c r="G407" s="265" t="str">
        <f>IF($B407="","",COUNTIF(May[Resident Name],$B407))</f>
        <v/>
      </c>
      <c r="H407" s="265" t="str">
        <f>IF($B407="","",COUNTIF(June[Resident Name],$B407))</f>
        <v/>
      </c>
      <c r="I407" s="265" t="str">
        <f>IF($B407="","",COUNTIF(July[Resident Name],$B407))</f>
        <v/>
      </c>
      <c r="J407" s="265" t="str">
        <f>IF($B407="","",COUNTIF(Aug[Resident Name],$B407))</f>
        <v/>
      </c>
      <c r="K407" s="265" t="str">
        <f>IF($B407="","",COUNTIF(Sept[Resident Name],$B407))</f>
        <v/>
      </c>
      <c r="L407" s="265" t="str">
        <f>IF($B407="","",COUNTIF(Oct[Resident Name],$B407))</f>
        <v/>
      </c>
      <c r="M407" s="265" t="str">
        <f>IF($B407="","",COUNTIF(Nov[Resident Name],$B407))</f>
        <v/>
      </c>
      <c r="N407" s="265" t="str">
        <f>IF($B407="","",COUNTIF(Dec[Resident Name],$B407))</f>
        <v/>
      </c>
      <c r="O407" s="265" t="str">
        <f t="shared" si="12"/>
        <v/>
      </c>
      <c r="P407" s="11"/>
      <c r="R407" s="160" t="str">
        <f>IFERROR(INDEX($B$5:$B$172,MATCH(ROWS($R$5:R407),$X$5:$X$172,0)),"")</f>
        <v/>
      </c>
      <c r="S407" s="76" t="str">
        <f>IF($R407="","",INDEX($O$5:$O$172,MATCH(ROWS($R$5:R407),$X$5:$X$172,0)))</f>
        <v/>
      </c>
      <c r="U407" s="160" t="str">
        <f>IFERROR(INDEX($Z$5:$Z$448,MATCH(ROWS($U$5:U407),$AA$5:$AA$448,0)),"")</f>
        <v/>
      </c>
      <c r="V407" s="274" t="str">
        <f>IF(Nov!C36="","",Nov!C36)</f>
        <v/>
      </c>
      <c r="W407" s="274" t="str" cm="1">
        <f t="array" ref="W407">IF(V407="","",IF(COUNTIF($V$5:V407,V407)&gt;1,"",ROUND(1+SUMPRODUCT(($V$5:$V$448&lt;&gt;"")*($V$5:$V$448&lt;V407)/COUNTIF($V$5:$V$448,$V$5:$V$448&amp;"")),0)))</f>
        <v/>
      </c>
      <c r="X407" s="274"/>
      <c r="Z407" s="274" t="str">
        <f>IF(Nov!H36="Major Injury",Nov!C36,"")</f>
        <v/>
      </c>
      <c r="AA407" s="274" t="str" cm="1">
        <f t="array" ref="AA407">IF(Z407="","",IF(COUNTIF($Z$5:Z407,Z407)&gt;1,"",ROUND(1+SUMPRODUCT(($Z$5:$Z$448&lt;&gt;"")*($Z$5:$Z$448&lt;Z407)/COUNTIF($Z$5:$Z$448,$Z$5:$Z$448&amp;"")),0)))</f>
        <v/>
      </c>
    </row>
    <row r="408" spans="2:27" x14ac:dyDescent="0.25">
      <c r="B408" s="160" t="str">
        <f>IFERROR(INDEX($V$5:$V$448,MATCH(ROWS($B$5:B408),$W$5:$W$448,0)),"")</f>
        <v/>
      </c>
      <c r="C408" s="265" t="str">
        <f>IF($B408="","",COUNTIF(Jan[Resident Name],$B408))</f>
        <v/>
      </c>
      <c r="D408" s="265" t="str">
        <f>IF($B408="","",COUNTIF(Feb[Resident Name],$B408))</f>
        <v/>
      </c>
      <c r="E408" s="265" t="str">
        <f>IF($B408="","",COUNTIF(Mar[Resident Name],$B408))</f>
        <v/>
      </c>
      <c r="F408" s="265" t="str">
        <f>IF($B408="","",COUNTIF(Apr[Resident Name],$B408))</f>
        <v/>
      </c>
      <c r="G408" s="265" t="str">
        <f>IF($B408="","",COUNTIF(May[Resident Name],$B408))</f>
        <v/>
      </c>
      <c r="H408" s="265" t="str">
        <f>IF($B408="","",COUNTIF(June[Resident Name],$B408))</f>
        <v/>
      </c>
      <c r="I408" s="265" t="str">
        <f>IF($B408="","",COUNTIF(July[Resident Name],$B408))</f>
        <v/>
      </c>
      <c r="J408" s="265" t="str">
        <f>IF($B408="","",COUNTIF(Aug[Resident Name],$B408))</f>
        <v/>
      </c>
      <c r="K408" s="265" t="str">
        <f>IF($B408="","",COUNTIF(Sept[Resident Name],$B408))</f>
        <v/>
      </c>
      <c r="L408" s="265" t="str">
        <f>IF($B408="","",COUNTIF(Oct[Resident Name],$B408))</f>
        <v/>
      </c>
      <c r="M408" s="265" t="str">
        <f>IF($B408="","",COUNTIF(Nov[Resident Name],$B408))</f>
        <v/>
      </c>
      <c r="N408" s="265" t="str">
        <f>IF($B408="","",COUNTIF(Dec[Resident Name],$B408))</f>
        <v/>
      </c>
      <c r="O408" s="265" t="str">
        <f t="shared" si="12"/>
        <v/>
      </c>
      <c r="P408" s="11"/>
      <c r="R408" s="160" t="str">
        <f>IFERROR(INDEX($B$5:$B$172,MATCH(ROWS($R$5:R408),$X$5:$X$172,0)),"")</f>
        <v/>
      </c>
      <c r="S408" s="76" t="str">
        <f>IF($R408="","",INDEX($O$5:$O$172,MATCH(ROWS($R$5:R408),$X$5:$X$172,0)))</f>
        <v/>
      </c>
      <c r="U408" s="160" t="str">
        <f>IFERROR(INDEX($Z$5:$Z$448,MATCH(ROWS($U$5:U408),$AA$5:$AA$448,0)),"")</f>
        <v/>
      </c>
      <c r="V408" s="274" t="str">
        <f>IF(Nov!C37="","",Nov!C37)</f>
        <v/>
      </c>
      <c r="W408" s="274" t="str" cm="1">
        <f t="array" ref="W408">IF(V408="","",IF(COUNTIF($V$5:V408,V408)&gt;1,"",ROUND(1+SUMPRODUCT(($V$5:$V$448&lt;&gt;"")*($V$5:$V$448&lt;V408)/COUNTIF($V$5:$V$448,$V$5:$V$448&amp;"")),0)))</f>
        <v/>
      </c>
      <c r="X408" s="274"/>
      <c r="Z408" s="274" t="str">
        <f>IF(Nov!H37="Major Injury",Nov!C37,"")</f>
        <v/>
      </c>
      <c r="AA408" s="274" t="str" cm="1">
        <f t="array" ref="AA408">IF(Z408="","",IF(COUNTIF($Z$5:Z408,Z408)&gt;1,"",ROUND(1+SUMPRODUCT(($Z$5:$Z$448&lt;&gt;"")*($Z$5:$Z$448&lt;Z408)/COUNTIF($Z$5:$Z$448,$Z$5:$Z$448&amp;"")),0)))</f>
        <v/>
      </c>
    </row>
    <row r="409" spans="2:27" x14ac:dyDescent="0.25">
      <c r="B409" s="160" t="str">
        <f>IFERROR(INDEX($V$5:$V$448,MATCH(ROWS($B$5:B409),$W$5:$W$448,0)),"")</f>
        <v/>
      </c>
      <c r="C409" s="265" t="str">
        <f>IF($B409="","",COUNTIF(Jan[Resident Name],$B409))</f>
        <v/>
      </c>
      <c r="D409" s="265" t="str">
        <f>IF($B409="","",COUNTIF(Feb[Resident Name],$B409))</f>
        <v/>
      </c>
      <c r="E409" s="265" t="str">
        <f>IF($B409="","",COUNTIF(Mar[Resident Name],$B409))</f>
        <v/>
      </c>
      <c r="F409" s="265" t="str">
        <f>IF($B409="","",COUNTIF(Apr[Resident Name],$B409))</f>
        <v/>
      </c>
      <c r="G409" s="265" t="str">
        <f>IF($B409="","",COUNTIF(May[Resident Name],$B409))</f>
        <v/>
      </c>
      <c r="H409" s="265" t="str">
        <f>IF($B409="","",COUNTIF(June[Resident Name],$B409))</f>
        <v/>
      </c>
      <c r="I409" s="265" t="str">
        <f>IF($B409="","",COUNTIF(July[Resident Name],$B409))</f>
        <v/>
      </c>
      <c r="J409" s="265" t="str">
        <f>IF($B409="","",COUNTIF(Aug[Resident Name],$B409))</f>
        <v/>
      </c>
      <c r="K409" s="265" t="str">
        <f>IF($B409="","",COUNTIF(Sept[Resident Name],$B409))</f>
        <v/>
      </c>
      <c r="L409" s="265" t="str">
        <f>IF($B409="","",COUNTIF(Oct[Resident Name],$B409))</f>
        <v/>
      </c>
      <c r="M409" s="265" t="str">
        <f>IF($B409="","",COUNTIF(Nov[Resident Name],$B409))</f>
        <v/>
      </c>
      <c r="N409" s="265" t="str">
        <f>IF($B409="","",COUNTIF(Dec[Resident Name],$B409))</f>
        <v/>
      </c>
      <c r="O409" s="265" t="str">
        <f t="shared" si="12"/>
        <v/>
      </c>
      <c r="P409" s="11"/>
      <c r="R409" s="160" t="str">
        <f>IFERROR(INDEX($B$5:$B$172,MATCH(ROWS($R$5:R409),$X$5:$X$172,0)),"")</f>
        <v/>
      </c>
      <c r="S409" s="76" t="str">
        <f>IF($R409="","",INDEX($O$5:$O$172,MATCH(ROWS($R$5:R409),$X$5:$X$172,0)))</f>
        <v/>
      </c>
      <c r="U409" s="160" t="str">
        <f>IFERROR(INDEX($Z$5:$Z$448,MATCH(ROWS($U$5:U409),$AA$5:$AA$448,0)),"")</f>
        <v/>
      </c>
      <c r="V409" s="274" t="str">
        <f>IF(Nov!C38="","",Nov!C38)</f>
        <v/>
      </c>
      <c r="W409" s="274" t="str" cm="1">
        <f t="array" ref="W409">IF(V409="","",IF(COUNTIF($V$5:V409,V409)&gt;1,"",ROUND(1+SUMPRODUCT(($V$5:$V$448&lt;&gt;"")*($V$5:$V$448&lt;V409)/COUNTIF($V$5:$V$448,$V$5:$V$448&amp;"")),0)))</f>
        <v/>
      </c>
      <c r="X409" s="274"/>
      <c r="Z409" s="274" t="str">
        <f>IF(Nov!H38="Major Injury",Nov!C38,"")</f>
        <v/>
      </c>
      <c r="AA409" s="274" t="str" cm="1">
        <f t="array" ref="AA409">IF(Z409="","",IF(COUNTIF($Z$5:Z409,Z409)&gt;1,"",ROUND(1+SUMPRODUCT(($Z$5:$Z$448&lt;&gt;"")*($Z$5:$Z$448&lt;Z409)/COUNTIF($Z$5:$Z$448,$Z$5:$Z$448&amp;"")),0)))</f>
        <v/>
      </c>
    </row>
    <row r="410" spans="2:27" x14ac:dyDescent="0.25">
      <c r="B410" s="160" t="str">
        <f>IFERROR(INDEX($V$5:$V$448,MATCH(ROWS($B$5:B410),$W$5:$W$448,0)),"")</f>
        <v/>
      </c>
      <c r="C410" s="265" t="str">
        <f>IF($B410="","",COUNTIF(Jan[Resident Name],$B410))</f>
        <v/>
      </c>
      <c r="D410" s="265" t="str">
        <f>IF($B410="","",COUNTIF(Feb[Resident Name],$B410))</f>
        <v/>
      </c>
      <c r="E410" s="265" t="str">
        <f>IF($B410="","",COUNTIF(Mar[Resident Name],$B410))</f>
        <v/>
      </c>
      <c r="F410" s="265" t="str">
        <f>IF($B410="","",COUNTIF(Apr[Resident Name],$B410))</f>
        <v/>
      </c>
      <c r="G410" s="265" t="str">
        <f>IF($B410="","",COUNTIF(May[Resident Name],$B410))</f>
        <v/>
      </c>
      <c r="H410" s="265" t="str">
        <f>IF($B410="","",COUNTIF(June[Resident Name],$B410))</f>
        <v/>
      </c>
      <c r="I410" s="265" t="str">
        <f>IF($B410="","",COUNTIF(July[Resident Name],$B410))</f>
        <v/>
      </c>
      <c r="J410" s="265" t="str">
        <f>IF($B410="","",COUNTIF(Aug[Resident Name],$B410))</f>
        <v/>
      </c>
      <c r="K410" s="265" t="str">
        <f>IF($B410="","",COUNTIF(Sept[Resident Name],$B410))</f>
        <v/>
      </c>
      <c r="L410" s="265" t="str">
        <f>IF($B410="","",COUNTIF(Oct[Resident Name],$B410))</f>
        <v/>
      </c>
      <c r="M410" s="265" t="str">
        <f>IF($B410="","",COUNTIF(Nov[Resident Name],$B410))</f>
        <v/>
      </c>
      <c r="N410" s="265" t="str">
        <f>IF($B410="","",COUNTIF(Dec[Resident Name],$B410))</f>
        <v/>
      </c>
      <c r="O410" s="265" t="str">
        <f t="shared" si="12"/>
        <v/>
      </c>
      <c r="P410" s="11"/>
      <c r="R410" s="160" t="str">
        <f>IFERROR(INDEX($B$5:$B$172,MATCH(ROWS($R$5:R410),$X$5:$X$172,0)),"")</f>
        <v/>
      </c>
      <c r="S410" s="76" t="str">
        <f>IF($R410="","",INDEX($O$5:$O$172,MATCH(ROWS($R$5:R410),$X$5:$X$172,0)))</f>
        <v/>
      </c>
      <c r="U410" s="160" t="str">
        <f>IFERROR(INDEX($Z$5:$Z$448,MATCH(ROWS($U$5:U410),$AA$5:$AA$448,0)),"")</f>
        <v/>
      </c>
      <c r="V410" s="274" t="str">
        <f>IF(Nov!C39="","",Nov!C39)</f>
        <v/>
      </c>
      <c r="W410" s="274" t="str" cm="1">
        <f t="array" ref="W410">IF(V410="","",IF(COUNTIF($V$5:V410,V410)&gt;1,"",ROUND(1+SUMPRODUCT(($V$5:$V$448&lt;&gt;"")*($V$5:$V$448&lt;V410)/COUNTIF($V$5:$V$448,$V$5:$V$448&amp;"")),0)))</f>
        <v/>
      </c>
      <c r="X410" s="274"/>
      <c r="Z410" s="274" t="str">
        <f>IF(Nov!H39="Major Injury",Nov!C39,"")</f>
        <v/>
      </c>
      <c r="AA410" s="274" t="str" cm="1">
        <f t="array" ref="AA410">IF(Z410="","",IF(COUNTIF($Z$5:Z410,Z410)&gt;1,"",ROUND(1+SUMPRODUCT(($Z$5:$Z$448&lt;&gt;"")*($Z$5:$Z$448&lt;Z410)/COUNTIF($Z$5:$Z$448,$Z$5:$Z$448&amp;"")),0)))</f>
        <v/>
      </c>
    </row>
    <row r="411" spans="2:27" x14ac:dyDescent="0.25">
      <c r="B411" s="160" t="str">
        <f>IFERROR(INDEX($V$5:$V$448,MATCH(ROWS($B$5:B411),$W$5:$W$448,0)),"")</f>
        <v/>
      </c>
      <c r="C411" s="265" t="str">
        <f>IF($B411="","",COUNTIF(Jan[Resident Name],$B411))</f>
        <v/>
      </c>
      <c r="D411" s="265" t="str">
        <f>IF($B411="","",COUNTIF(Feb[Resident Name],$B411))</f>
        <v/>
      </c>
      <c r="E411" s="265" t="str">
        <f>IF($B411="","",COUNTIF(Mar[Resident Name],$B411))</f>
        <v/>
      </c>
      <c r="F411" s="265" t="str">
        <f>IF($B411="","",COUNTIF(Apr[Resident Name],$B411))</f>
        <v/>
      </c>
      <c r="G411" s="265" t="str">
        <f>IF($B411="","",COUNTIF(May[Resident Name],$B411))</f>
        <v/>
      </c>
      <c r="H411" s="265" t="str">
        <f>IF($B411="","",COUNTIF(June[Resident Name],$B411))</f>
        <v/>
      </c>
      <c r="I411" s="265" t="str">
        <f>IF($B411="","",COUNTIF(July[Resident Name],$B411))</f>
        <v/>
      </c>
      <c r="J411" s="265" t="str">
        <f>IF($B411="","",COUNTIF(Aug[Resident Name],$B411))</f>
        <v/>
      </c>
      <c r="K411" s="265" t="str">
        <f>IF($B411="","",COUNTIF(Sept[Resident Name],$B411))</f>
        <v/>
      </c>
      <c r="L411" s="265" t="str">
        <f>IF($B411="","",COUNTIF(Oct[Resident Name],$B411))</f>
        <v/>
      </c>
      <c r="M411" s="265" t="str">
        <f>IF($B411="","",COUNTIF(Nov[Resident Name],$B411))</f>
        <v/>
      </c>
      <c r="N411" s="265" t="str">
        <f>IF($B411="","",COUNTIF(Dec[Resident Name],$B411))</f>
        <v/>
      </c>
      <c r="O411" s="265" t="str">
        <f t="shared" si="12"/>
        <v/>
      </c>
      <c r="P411" s="11"/>
      <c r="R411" s="160" t="str">
        <f>IFERROR(INDEX($B$5:$B$172,MATCH(ROWS($R$5:R411),$X$5:$X$172,0)),"")</f>
        <v/>
      </c>
      <c r="S411" s="76" t="str">
        <f>IF($R411="","",INDEX($O$5:$O$172,MATCH(ROWS($R$5:R411),$X$5:$X$172,0)))</f>
        <v/>
      </c>
      <c r="U411" s="160" t="str">
        <f>IFERROR(INDEX($Z$5:$Z$448,MATCH(ROWS($U$5:U411),$AA$5:$AA$448,0)),"")</f>
        <v/>
      </c>
      <c r="V411" s="274" t="str">
        <f>IF(Nov!C40="","",Nov!C40)</f>
        <v/>
      </c>
      <c r="W411" s="274" t="str" cm="1">
        <f t="array" ref="W411">IF(V411="","",IF(COUNTIF($V$5:V411,V411)&gt;1,"",ROUND(1+SUMPRODUCT(($V$5:$V$448&lt;&gt;"")*($V$5:$V$448&lt;V411)/COUNTIF($V$5:$V$448,$V$5:$V$448&amp;"")),0)))</f>
        <v/>
      </c>
      <c r="X411" s="274"/>
      <c r="Z411" s="274" t="str">
        <f>IF(Nov!H40="Major Injury",Nov!C40,"")</f>
        <v/>
      </c>
      <c r="AA411" s="274" t="str" cm="1">
        <f t="array" ref="AA411">IF(Z411="","",IF(COUNTIF($Z$5:Z411,Z411)&gt;1,"",ROUND(1+SUMPRODUCT(($Z$5:$Z$448&lt;&gt;"")*($Z$5:$Z$448&lt;Z411)/COUNTIF($Z$5:$Z$448,$Z$5:$Z$448&amp;"")),0)))</f>
        <v/>
      </c>
    </row>
    <row r="412" spans="2:27" x14ac:dyDescent="0.25">
      <c r="B412" s="160" t="str">
        <f>IFERROR(INDEX($V$5:$V$448,MATCH(ROWS($B$5:B412),$W$5:$W$448,0)),"")</f>
        <v/>
      </c>
      <c r="C412" s="265" t="str">
        <f>IF($B412="","",COUNTIF(Jan[Resident Name],$B412))</f>
        <v/>
      </c>
      <c r="D412" s="265" t="str">
        <f>IF($B412="","",COUNTIF(Feb[Resident Name],$B412))</f>
        <v/>
      </c>
      <c r="E412" s="265" t="str">
        <f>IF($B412="","",COUNTIF(Mar[Resident Name],$B412))</f>
        <v/>
      </c>
      <c r="F412" s="265" t="str">
        <f>IF($B412="","",COUNTIF(Apr[Resident Name],$B412))</f>
        <v/>
      </c>
      <c r="G412" s="265" t="str">
        <f>IF($B412="","",COUNTIF(May[Resident Name],$B412))</f>
        <v/>
      </c>
      <c r="H412" s="265" t="str">
        <f>IF($B412="","",COUNTIF(June[Resident Name],$B412))</f>
        <v/>
      </c>
      <c r="I412" s="265" t="str">
        <f>IF($B412="","",COUNTIF(July[Resident Name],$B412))</f>
        <v/>
      </c>
      <c r="J412" s="265" t="str">
        <f>IF($B412="","",COUNTIF(Aug[Resident Name],$B412))</f>
        <v/>
      </c>
      <c r="K412" s="265" t="str">
        <f>IF($B412="","",COUNTIF(Sept[Resident Name],$B412))</f>
        <v/>
      </c>
      <c r="L412" s="265" t="str">
        <f>IF($B412="","",COUNTIF(Oct[Resident Name],$B412))</f>
        <v/>
      </c>
      <c r="M412" s="265" t="str">
        <f>IF($B412="","",COUNTIF(Nov[Resident Name],$B412))</f>
        <v/>
      </c>
      <c r="N412" s="265" t="str">
        <f>IF($B412="","",COUNTIF(Dec[Resident Name],$B412))</f>
        <v/>
      </c>
      <c r="O412" s="265" t="str">
        <f t="shared" si="12"/>
        <v/>
      </c>
      <c r="P412" s="11"/>
      <c r="R412" s="160" t="str">
        <f>IFERROR(INDEX($B$5:$B$172,MATCH(ROWS($R$5:R412),$X$5:$X$172,0)),"")</f>
        <v/>
      </c>
      <c r="S412" s="76" t="str">
        <f>IF($R412="","",INDEX($O$5:$O$172,MATCH(ROWS($R$5:R412),$X$5:$X$172,0)))</f>
        <v/>
      </c>
      <c r="U412" s="160" t="str">
        <f>IFERROR(INDEX($Z$5:$Z$448,MATCH(ROWS($U$5:U412),$AA$5:$AA$448,0)),"")</f>
        <v/>
      </c>
      <c r="V412" s="274" t="str">
        <f>IF(Dec!C4="","",Dec!C4)</f>
        <v/>
      </c>
      <c r="W412" s="274" t="str" cm="1">
        <f t="array" ref="W412">IF(V412="","",IF(COUNTIF($V$5:V412,V412)&gt;1,"",ROUND(1+SUMPRODUCT(($V$5:$V$448&lt;&gt;"")*($V$5:$V$448&lt;V412)/COUNTIF($V$5:$V$448,$V$5:$V$448&amp;"")),0)))</f>
        <v/>
      </c>
      <c r="X412" s="274"/>
      <c r="Z412" s="274" t="str">
        <f>IF(Dec!H4="Major Injury",Dec!C4,"")</f>
        <v/>
      </c>
      <c r="AA412" s="274" t="str" cm="1">
        <f t="array" ref="AA412">IF(Z412="","",IF(COUNTIF($Z$5:Z412,Z412)&gt;1,"",ROUND(1+SUMPRODUCT(($Z$5:$Z$448&lt;&gt;"")*($Z$5:$Z$448&lt;Z412)/COUNTIF($Z$5:$Z$448,$Z$5:$Z$448&amp;"")),0)))</f>
        <v/>
      </c>
    </row>
    <row r="413" spans="2:27" x14ac:dyDescent="0.25">
      <c r="B413" s="160" t="str">
        <f>IFERROR(INDEX($V$5:$V$448,MATCH(ROWS($B$5:B413),$W$5:$W$448,0)),"")</f>
        <v/>
      </c>
      <c r="C413" s="265" t="str">
        <f>IF($B413="","",COUNTIF(Jan[Resident Name],$B413))</f>
        <v/>
      </c>
      <c r="D413" s="265" t="str">
        <f>IF($B413="","",COUNTIF(Feb[Resident Name],$B413))</f>
        <v/>
      </c>
      <c r="E413" s="265" t="str">
        <f>IF($B413="","",COUNTIF(Mar[Resident Name],$B413))</f>
        <v/>
      </c>
      <c r="F413" s="265" t="str">
        <f>IF($B413="","",COUNTIF(Apr[Resident Name],$B413))</f>
        <v/>
      </c>
      <c r="G413" s="265" t="str">
        <f>IF($B413="","",COUNTIF(May[Resident Name],$B413))</f>
        <v/>
      </c>
      <c r="H413" s="265" t="str">
        <f>IF($B413="","",COUNTIF(June[Resident Name],$B413))</f>
        <v/>
      </c>
      <c r="I413" s="265" t="str">
        <f>IF($B413="","",COUNTIF(July[Resident Name],$B413))</f>
        <v/>
      </c>
      <c r="J413" s="265" t="str">
        <f>IF($B413="","",COUNTIF(Aug[Resident Name],$B413))</f>
        <v/>
      </c>
      <c r="K413" s="265" t="str">
        <f>IF($B413="","",COUNTIF(Sept[Resident Name],$B413))</f>
        <v/>
      </c>
      <c r="L413" s="265" t="str">
        <f>IF($B413="","",COUNTIF(Oct[Resident Name],$B413))</f>
        <v/>
      </c>
      <c r="M413" s="265" t="str">
        <f>IF($B413="","",COUNTIF(Nov[Resident Name],$B413))</f>
        <v/>
      </c>
      <c r="N413" s="265" t="str">
        <f>IF($B413="","",COUNTIF(Dec[Resident Name],$B413))</f>
        <v/>
      </c>
      <c r="O413" s="265" t="str">
        <f t="shared" si="12"/>
        <v/>
      </c>
      <c r="P413" s="11"/>
      <c r="R413" s="160" t="str">
        <f>IFERROR(INDEX($B$5:$B$172,MATCH(ROWS($R$5:R413),$X$5:$X$172,0)),"")</f>
        <v/>
      </c>
      <c r="S413" s="76" t="str">
        <f>IF($R413="","",INDEX($O$5:$O$172,MATCH(ROWS($R$5:R413),$X$5:$X$172,0)))</f>
        <v/>
      </c>
      <c r="U413" s="160" t="str">
        <f>IFERROR(INDEX($Z$5:$Z$448,MATCH(ROWS($U$5:U413),$AA$5:$AA$448,0)),"")</f>
        <v/>
      </c>
      <c r="V413" s="274" t="str">
        <f>IF(Dec!C5="","",Dec!C5)</f>
        <v/>
      </c>
      <c r="W413" s="274" t="str" cm="1">
        <f t="array" ref="W413">IF(V413="","",IF(COUNTIF($V$5:V413,V413)&gt;1,"",ROUND(1+SUMPRODUCT(($V$5:$V$448&lt;&gt;"")*($V$5:$V$448&lt;V413)/COUNTIF($V$5:$V$448,$V$5:$V$448&amp;"")),0)))</f>
        <v/>
      </c>
      <c r="X413" s="274"/>
      <c r="Z413" s="274" t="str">
        <f>IF(Dec!H5="Major Injury",Dec!C5,"")</f>
        <v/>
      </c>
      <c r="AA413" s="274" t="str" cm="1">
        <f t="array" ref="AA413">IF(Z413="","",IF(COUNTIF($Z$5:Z413,Z413)&gt;1,"",ROUND(1+SUMPRODUCT(($Z$5:$Z$448&lt;&gt;"")*($Z$5:$Z$448&lt;Z413)/COUNTIF($Z$5:$Z$448,$Z$5:$Z$448&amp;"")),0)))</f>
        <v/>
      </c>
    </row>
    <row r="414" spans="2:27" x14ac:dyDescent="0.25">
      <c r="B414" s="160" t="str">
        <f>IFERROR(INDEX($V$5:$V$448,MATCH(ROWS($B$5:B414),$W$5:$W$448,0)),"")</f>
        <v/>
      </c>
      <c r="C414" s="265" t="str">
        <f>IF($B414="","",COUNTIF(Jan[Resident Name],$B414))</f>
        <v/>
      </c>
      <c r="D414" s="265" t="str">
        <f>IF($B414="","",COUNTIF(Feb[Resident Name],$B414))</f>
        <v/>
      </c>
      <c r="E414" s="265" t="str">
        <f>IF($B414="","",COUNTIF(Mar[Resident Name],$B414))</f>
        <v/>
      </c>
      <c r="F414" s="265" t="str">
        <f>IF($B414="","",COUNTIF(Apr[Resident Name],$B414))</f>
        <v/>
      </c>
      <c r="G414" s="265" t="str">
        <f>IF($B414="","",COUNTIF(May[Resident Name],$B414))</f>
        <v/>
      </c>
      <c r="H414" s="265" t="str">
        <f>IF($B414="","",COUNTIF(June[Resident Name],$B414))</f>
        <v/>
      </c>
      <c r="I414" s="265" t="str">
        <f>IF($B414="","",COUNTIF(July[Resident Name],$B414))</f>
        <v/>
      </c>
      <c r="J414" s="265" t="str">
        <f>IF($B414="","",COUNTIF(Aug[Resident Name],$B414))</f>
        <v/>
      </c>
      <c r="K414" s="265" t="str">
        <f>IF($B414="","",COUNTIF(Sept[Resident Name],$B414))</f>
        <v/>
      </c>
      <c r="L414" s="265" t="str">
        <f>IF($B414="","",COUNTIF(Oct[Resident Name],$B414))</f>
        <v/>
      </c>
      <c r="M414" s="265" t="str">
        <f>IF($B414="","",COUNTIF(Nov[Resident Name],$B414))</f>
        <v/>
      </c>
      <c r="N414" s="265" t="str">
        <f>IF($B414="","",COUNTIF(Dec[Resident Name],$B414))</f>
        <v/>
      </c>
      <c r="O414" s="265" t="str">
        <f t="shared" si="12"/>
        <v/>
      </c>
      <c r="P414" s="11"/>
      <c r="R414" s="160" t="str">
        <f>IFERROR(INDEX($B$5:$B$172,MATCH(ROWS($R$5:R414),$X$5:$X$172,0)),"")</f>
        <v/>
      </c>
      <c r="S414" s="76" t="str">
        <f>IF($R414="","",INDEX($O$5:$O$172,MATCH(ROWS($R$5:R414),$X$5:$X$172,0)))</f>
        <v/>
      </c>
      <c r="U414" s="160" t="str">
        <f>IFERROR(INDEX($Z$5:$Z$448,MATCH(ROWS($U$5:U414),$AA$5:$AA$448,0)),"")</f>
        <v/>
      </c>
      <c r="V414" s="274" t="str">
        <f>IF(Dec!C6="","",Dec!C6)</f>
        <v/>
      </c>
      <c r="W414" s="274" t="str" cm="1">
        <f t="array" ref="W414">IF(V414="","",IF(COUNTIF($V$5:V414,V414)&gt;1,"",ROUND(1+SUMPRODUCT(($V$5:$V$448&lt;&gt;"")*($V$5:$V$448&lt;V414)/COUNTIF($V$5:$V$448,$V$5:$V$448&amp;"")),0)))</f>
        <v/>
      </c>
      <c r="X414" s="274"/>
      <c r="Z414" s="274" t="str">
        <f>IF(Dec!H6="Major Injury",Dec!C6,"")</f>
        <v/>
      </c>
      <c r="AA414" s="274" t="str" cm="1">
        <f t="array" ref="AA414">IF(Z414="","",IF(COUNTIF($Z$5:Z414,Z414)&gt;1,"",ROUND(1+SUMPRODUCT(($Z$5:$Z$448&lt;&gt;"")*($Z$5:$Z$448&lt;Z414)/COUNTIF($Z$5:$Z$448,$Z$5:$Z$448&amp;"")),0)))</f>
        <v/>
      </c>
    </row>
    <row r="415" spans="2:27" x14ac:dyDescent="0.25">
      <c r="B415" s="160" t="str">
        <f>IFERROR(INDEX($V$5:$V$448,MATCH(ROWS($B$5:B415),$W$5:$W$448,0)),"")</f>
        <v/>
      </c>
      <c r="C415" s="265" t="str">
        <f>IF($B415="","",COUNTIF(Jan[Resident Name],$B415))</f>
        <v/>
      </c>
      <c r="D415" s="265" t="str">
        <f>IF($B415="","",COUNTIF(Feb[Resident Name],$B415))</f>
        <v/>
      </c>
      <c r="E415" s="265" t="str">
        <f>IF($B415="","",COUNTIF(Mar[Resident Name],$B415))</f>
        <v/>
      </c>
      <c r="F415" s="265" t="str">
        <f>IF($B415="","",COUNTIF(Apr[Resident Name],$B415))</f>
        <v/>
      </c>
      <c r="G415" s="265" t="str">
        <f>IF($B415="","",COUNTIF(May[Resident Name],$B415))</f>
        <v/>
      </c>
      <c r="H415" s="265" t="str">
        <f>IF($B415="","",COUNTIF(June[Resident Name],$B415))</f>
        <v/>
      </c>
      <c r="I415" s="265" t="str">
        <f>IF($B415="","",COUNTIF(July[Resident Name],$B415))</f>
        <v/>
      </c>
      <c r="J415" s="265" t="str">
        <f>IF($B415="","",COUNTIF(Aug[Resident Name],$B415))</f>
        <v/>
      </c>
      <c r="K415" s="265" t="str">
        <f>IF($B415="","",COUNTIF(Sept[Resident Name],$B415))</f>
        <v/>
      </c>
      <c r="L415" s="265" t="str">
        <f>IF($B415="","",COUNTIF(Oct[Resident Name],$B415))</f>
        <v/>
      </c>
      <c r="M415" s="265" t="str">
        <f>IF($B415="","",COUNTIF(Nov[Resident Name],$B415))</f>
        <v/>
      </c>
      <c r="N415" s="265" t="str">
        <f>IF($B415="","",COUNTIF(Dec[Resident Name],$B415))</f>
        <v/>
      </c>
      <c r="O415" s="265" t="str">
        <f t="shared" si="12"/>
        <v/>
      </c>
      <c r="P415" s="11"/>
      <c r="R415" s="160" t="str">
        <f>IFERROR(INDEX($B$5:$B$172,MATCH(ROWS($R$5:R415),$X$5:$X$172,0)),"")</f>
        <v/>
      </c>
      <c r="S415" s="76" t="str">
        <f>IF($R415="","",INDEX($O$5:$O$172,MATCH(ROWS($R$5:R415),$X$5:$X$172,0)))</f>
        <v/>
      </c>
      <c r="U415" s="160" t="str">
        <f>IFERROR(INDEX($Z$5:$Z$448,MATCH(ROWS($U$5:U415),$AA$5:$AA$448,0)),"")</f>
        <v/>
      </c>
      <c r="V415" s="274" t="str">
        <f>IF(Dec!C7="","",Dec!C7)</f>
        <v/>
      </c>
      <c r="W415" s="274" t="str" cm="1">
        <f t="array" ref="W415">IF(V415="","",IF(COUNTIF($V$5:V415,V415)&gt;1,"",ROUND(1+SUMPRODUCT(($V$5:$V$448&lt;&gt;"")*($V$5:$V$448&lt;V415)/COUNTIF($V$5:$V$448,$V$5:$V$448&amp;"")),0)))</f>
        <v/>
      </c>
      <c r="X415" s="274"/>
      <c r="Z415" s="274" t="str">
        <f>IF(Dec!H7="Major Injury",Dec!C7,"")</f>
        <v/>
      </c>
      <c r="AA415" s="274" t="str" cm="1">
        <f t="array" ref="AA415">IF(Z415="","",IF(COUNTIF($Z$5:Z415,Z415)&gt;1,"",ROUND(1+SUMPRODUCT(($Z$5:$Z$448&lt;&gt;"")*($Z$5:$Z$448&lt;Z415)/COUNTIF($Z$5:$Z$448,$Z$5:$Z$448&amp;"")),0)))</f>
        <v/>
      </c>
    </row>
    <row r="416" spans="2:27" x14ac:dyDescent="0.25">
      <c r="B416" s="160" t="str">
        <f>IFERROR(INDEX($V$5:$V$448,MATCH(ROWS($B$5:B416),$W$5:$W$448,0)),"")</f>
        <v/>
      </c>
      <c r="C416" s="265" t="str">
        <f>IF($B416="","",COUNTIF(Jan[Resident Name],$B416))</f>
        <v/>
      </c>
      <c r="D416" s="265" t="str">
        <f>IF($B416="","",COUNTIF(Feb[Resident Name],$B416))</f>
        <v/>
      </c>
      <c r="E416" s="265" t="str">
        <f>IF($B416="","",COUNTIF(Mar[Resident Name],$B416))</f>
        <v/>
      </c>
      <c r="F416" s="265" t="str">
        <f>IF($B416="","",COUNTIF(Apr[Resident Name],$B416))</f>
        <v/>
      </c>
      <c r="G416" s="265" t="str">
        <f>IF($B416="","",COUNTIF(May[Resident Name],$B416))</f>
        <v/>
      </c>
      <c r="H416" s="265" t="str">
        <f>IF($B416="","",COUNTIF(June[Resident Name],$B416))</f>
        <v/>
      </c>
      <c r="I416" s="265" t="str">
        <f>IF($B416="","",COUNTIF(July[Resident Name],$B416))</f>
        <v/>
      </c>
      <c r="J416" s="265" t="str">
        <f>IF($B416="","",COUNTIF(Aug[Resident Name],$B416))</f>
        <v/>
      </c>
      <c r="K416" s="265" t="str">
        <f>IF($B416="","",COUNTIF(Sept[Resident Name],$B416))</f>
        <v/>
      </c>
      <c r="L416" s="265" t="str">
        <f>IF($B416="","",COUNTIF(Oct[Resident Name],$B416))</f>
        <v/>
      </c>
      <c r="M416" s="265" t="str">
        <f>IF($B416="","",COUNTIF(Nov[Resident Name],$B416))</f>
        <v/>
      </c>
      <c r="N416" s="265" t="str">
        <f>IF($B416="","",COUNTIF(Dec[Resident Name],$B416))</f>
        <v/>
      </c>
      <c r="O416" s="265" t="str">
        <f t="shared" si="12"/>
        <v/>
      </c>
      <c r="P416" s="11"/>
      <c r="R416" s="160" t="str">
        <f>IFERROR(INDEX($B$5:$B$172,MATCH(ROWS($R$5:R416),$X$5:$X$172,0)),"")</f>
        <v/>
      </c>
      <c r="S416" s="76" t="str">
        <f>IF($R416="","",INDEX($O$5:$O$172,MATCH(ROWS($R$5:R416),$X$5:$X$172,0)))</f>
        <v/>
      </c>
      <c r="U416" s="160" t="str">
        <f>IFERROR(INDEX($Z$5:$Z$448,MATCH(ROWS($U$5:U416),$AA$5:$AA$448,0)),"")</f>
        <v/>
      </c>
      <c r="V416" s="274" t="str">
        <f>IF(Dec!C8="","",Dec!C8)</f>
        <v/>
      </c>
      <c r="W416" s="274" t="str" cm="1">
        <f t="array" ref="W416">IF(V416="","",IF(COUNTIF($V$5:V416,V416)&gt;1,"",ROUND(1+SUMPRODUCT(($V$5:$V$448&lt;&gt;"")*($V$5:$V$448&lt;V416)/COUNTIF($V$5:$V$448,$V$5:$V$448&amp;"")),0)))</f>
        <v/>
      </c>
      <c r="X416" s="274"/>
      <c r="Z416" s="274" t="str">
        <f>IF(Dec!H8="Major Injury",Dec!C8,"")</f>
        <v/>
      </c>
      <c r="AA416" s="274" t="str" cm="1">
        <f t="array" ref="AA416">IF(Z416="","",IF(COUNTIF($Z$5:Z416,Z416)&gt;1,"",ROUND(1+SUMPRODUCT(($Z$5:$Z$448&lt;&gt;"")*($Z$5:$Z$448&lt;Z416)/COUNTIF($Z$5:$Z$448,$Z$5:$Z$448&amp;"")),0)))</f>
        <v/>
      </c>
    </row>
    <row r="417" spans="2:27" x14ac:dyDescent="0.25">
      <c r="B417" s="160" t="str">
        <f>IFERROR(INDEX($V$5:$V$448,MATCH(ROWS($B$5:B417),$W$5:$W$448,0)),"")</f>
        <v/>
      </c>
      <c r="C417" s="265" t="str">
        <f>IF($B417="","",COUNTIF(Jan[Resident Name],$B417))</f>
        <v/>
      </c>
      <c r="D417" s="265" t="str">
        <f>IF($B417="","",COUNTIF(Feb[Resident Name],$B417))</f>
        <v/>
      </c>
      <c r="E417" s="265" t="str">
        <f>IF($B417="","",COUNTIF(Mar[Resident Name],$B417))</f>
        <v/>
      </c>
      <c r="F417" s="265" t="str">
        <f>IF($B417="","",COUNTIF(Apr[Resident Name],$B417))</f>
        <v/>
      </c>
      <c r="G417" s="265" t="str">
        <f>IF($B417="","",COUNTIF(May[Resident Name],$B417))</f>
        <v/>
      </c>
      <c r="H417" s="265" t="str">
        <f>IF($B417="","",COUNTIF(June[Resident Name],$B417))</f>
        <v/>
      </c>
      <c r="I417" s="265" t="str">
        <f>IF($B417="","",COUNTIF(July[Resident Name],$B417))</f>
        <v/>
      </c>
      <c r="J417" s="265" t="str">
        <f>IF($B417="","",COUNTIF(Aug[Resident Name],$B417))</f>
        <v/>
      </c>
      <c r="K417" s="265" t="str">
        <f>IF($B417="","",COUNTIF(Sept[Resident Name],$B417))</f>
        <v/>
      </c>
      <c r="L417" s="265" t="str">
        <f>IF($B417="","",COUNTIF(Oct[Resident Name],$B417))</f>
        <v/>
      </c>
      <c r="M417" s="265" t="str">
        <f>IF($B417="","",COUNTIF(Nov[Resident Name],$B417))</f>
        <v/>
      </c>
      <c r="N417" s="265" t="str">
        <f>IF($B417="","",COUNTIF(Dec[Resident Name],$B417))</f>
        <v/>
      </c>
      <c r="O417" s="265" t="str">
        <f t="shared" si="12"/>
        <v/>
      </c>
      <c r="P417" s="11"/>
      <c r="R417" s="160" t="str">
        <f>IFERROR(INDEX($B$5:$B$172,MATCH(ROWS($R$5:R417),$X$5:$X$172,0)),"")</f>
        <v/>
      </c>
      <c r="S417" s="76" t="str">
        <f>IF($R417="","",INDEX($O$5:$O$172,MATCH(ROWS($R$5:R417),$X$5:$X$172,0)))</f>
        <v/>
      </c>
      <c r="U417" s="160" t="str">
        <f>IFERROR(INDEX($Z$5:$Z$448,MATCH(ROWS($U$5:U417),$AA$5:$AA$448,0)),"")</f>
        <v/>
      </c>
      <c r="V417" s="274" t="str">
        <f>IF(Dec!C9="","",Dec!C9)</f>
        <v/>
      </c>
      <c r="W417" s="274" t="str" cm="1">
        <f t="array" ref="W417">IF(V417="","",IF(COUNTIF($V$5:V417,V417)&gt;1,"",ROUND(1+SUMPRODUCT(($V$5:$V$448&lt;&gt;"")*($V$5:$V$448&lt;V417)/COUNTIF($V$5:$V$448,$V$5:$V$448&amp;"")),0)))</f>
        <v/>
      </c>
      <c r="X417" s="274"/>
      <c r="Z417" s="274" t="str">
        <f>IF(Dec!H9="Major Injury",Dec!C9,"")</f>
        <v/>
      </c>
      <c r="AA417" s="274" t="str" cm="1">
        <f t="array" ref="AA417">IF(Z417="","",IF(COUNTIF($Z$5:Z417,Z417)&gt;1,"",ROUND(1+SUMPRODUCT(($Z$5:$Z$448&lt;&gt;"")*($Z$5:$Z$448&lt;Z417)/COUNTIF($Z$5:$Z$448,$Z$5:$Z$448&amp;"")),0)))</f>
        <v/>
      </c>
    </row>
    <row r="418" spans="2:27" x14ac:dyDescent="0.25">
      <c r="B418" s="160" t="str">
        <f>IFERROR(INDEX($V$5:$V$448,MATCH(ROWS($B$5:B418),$W$5:$W$448,0)),"")</f>
        <v/>
      </c>
      <c r="C418" s="265" t="str">
        <f>IF($B418="","",COUNTIF(Jan[Resident Name],$B418))</f>
        <v/>
      </c>
      <c r="D418" s="265" t="str">
        <f>IF($B418="","",COUNTIF(Feb[Resident Name],$B418))</f>
        <v/>
      </c>
      <c r="E418" s="265" t="str">
        <f>IF($B418="","",COUNTIF(Mar[Resident Name],$B418))</f>
        <v/>
      </c>
      <c r="F418" s="265" t="str">
        <f>IF($B418="","",COUNTIF(Apr[Resident Name],$B418))</f>
        <v/>
      </c>
      <c r="G418" s="265" t="str">
        <f>IF($B418="","",COUNTIF(May[Resident Name],$B418))</f>
        <v/>
      </c>
      <c r="H418" s="265" t="str">
        <f>IF($B418="","",COUNTIF(June[Resident Name],$B418))</f>
        <v/>
      </c>
      <c r="I418" s="265" t="str">
        <f>IF($B418="","",COUNTIF(July[Resident Name],$B418))</f>
        <v/>
      </c>
      <c r="J418" s="265" t="str">
        <f>IF($B418="","",COUNTIF(Aug[Resident Name],$B418))</f>
        <v/>
      </c>
      <c r="K418" s="265" t="str">
        <f>IF($B418="","",COUNTIF(Sept[Resident Name],$B418))</f>
        <v/>
      </c>
      <c r="L418" s="265" t="str">
        <f>IF($B418="","",COUNTIF(Oct[Resident Name],$B418))</f>
        <v/>
      </c>
      <c r="M418" s="265" t="str">
        <f>IF($B418="","",COUNTIF(Nov[Resident Name],$B418))</f>
        <v/>
      </c>
      <c r="N418" s="265" t="str">
        <f>IF($B418="","",COUNTIF(Dec[Resident Name],$B418))</f>
        <v/>
      </c>
      <c r="O418" s="265" t="str">
        <f t="shared" si="12"/>
        <v/>
      </c>
      <c r="P418" s="11"/>
      <c r="R418" s="160" t="str">
        <f>IFERROR(INDEX($B$5:$B$172,MATCH(ROWS($R$5:R418),$X$5:$X$172,0)),"")</f>
        <v/>
      </c>
      <c r="S418" s="76" t="str">
        <f>IF($R418="","",INDEX($O$5:$O$172,MATCH(ROWS($R$5:R418),$X$5:$X$172,0)))</f>
        <v/>
      </c>
      <c r="U418" s="160" t="str">
        <f>IFERROR(INDEX($Z$5:$Z$448,MATCH(ROWS($U$5:U418),$AA$5:$AA$448,0)),"")</f>
        <v/>
      </c>
      <c r="V418" s="274" t="str">
        <f>IF(Dec!C10="","",Dec!C10)</f>
        <v/>
      </c>
      <c r="W418" s="274" t="str" cm="1">
        <f t="array" ref="W418">IF(V418="","",IF(COUNTIF($V$5:V418,V418)&gt;1,"",ROUND(1+SUMPRODUCT(($V$5:$V$448&lt;&gt;"")*($V$5:$V$448&lt;V418)/COUNTIF($V$5:$V$448,$V$5:$V$448&amp;"")),0)))</f>
        <v/>
      </c>
      <c r="X418" s="274"/>
      <c r="Z418" s="274" t="str">
        <f>IF(Dec!H10="Major Injury",Dec!C10,"")</f>
        <v/>
      </c>
      <c r="AA418" s="274" t="str" cm="1">
        <f t="array" ref="AA418">IF(Z418="","",IF(COUNTIF($Z$5:Z418,Z418)&gt;1,"",ROUND(1+SUMPRODUCT(($Z$5:$Z$448&lt;&gt;"")*($Z$5:$Z$448&lt;Z418)/COUNTIF($Z$5:$Z$448,$Z$5:$Z$448&amp;"")),0)))</f>
        <v/>
      </c>
    </row>
    <row r="419" spans="2:27" x14ac:dyDescent="0.25">
      <c r="B419" s="160" t="str">
        <f>IFERROR(INDEX($V$5:$V$448,MATCH(ROWS($B$5:B419),$W$5:$W$448,0)),"")</f>
        <v/>
      </c>
      <c r="C419" s="265" t="str">
        <f>IF($B419="","",COUNTIF(Jan[Resident Name],$B419))</f>
        <v/>
      </c>
      <c r="D419" s="265" t="str">
        <f>IF($B419="","",COUNTIF(Feb[Resident Name],$B419))</f>
        <v/>
      </c>
      <c r="E419" s="265" t="str">
        <f>IF($B419="","",COUNTIF(Mar[Resident Name],$B419))</f>
        <v/>
      </c>
      <c r="F419" s="265" t="str">
        <f>IF($B419="","",COUNTIF(Apr[Resident Name],$B419))</f>
        <v/>
      </c>
      <c r="G419" s="265" t="str">
        <f>IF($B419="","",COUNTIF(May[Resident Name],$B419))</f>
        <v/>
      </c>
      <c r="H419" s="265" t="str">
        <f>IF($B419="","",COUNTIF(June[Resident Name],$B419))</f>
        <v/>
      </c>
      <c r="I419" s="265" t="str">
        <f>IF($B419="","",COUNTIF(July[Resident Name],$B419))</f>
        <v/>
      </c>
      <c r="J419" s="265" t="str">
        <f>IF($B419="","",COUNTIF(Aug[Resident Name],$B419))</f>
        <v/>
      </c>
      <c r="K419" s="265" t="str">
        <f>IF($B419="","",COUNTIF(Sept[Resident Name],$B419))</f>
        <v/>
      </c>
      <c r="L419" s="265" t="str">
        <f>IF($B419="","",COUNTIF(Oct[Resident Name],$B419))</f>
        <v/>
      </c>
      <c r="M419" s="265" t="str">
        <f>IF($B419="","",COUNTIF(Nov[Resident Name],$B419))</f>
        <v/>
      </c>
      <c r="N419" s="265" t="str">
        <f>IF($B419="","",COUNTIF(Dec[Resident Name],$B419))</f>
        <v/>
      </c>
      <c r="O419" s="265" t="str">
        <f t="shared" si="12"/>
        <v/>
      </c>
      <c r="P419" s="11"/>
      <c r="R419" s="160" t="str">
        <f>IFERROR(INDEX($B$5:$B$172,MATCH(ROWS($R$5:R419),$X$5:$X$172,0)),"")</f>
        <v/>
      </c>
      <c r="S419" s="76" t="str">
        <f>IF($R419="","",INDEX($O$5:$O$172,MATCH(ROWS($R$5:R419),$X$5:$X$172,0)))</f>
        <v/>
      </c>
      <c r="U419" s="160" t="str">
        <f>IFERROR(INDEX($Z$5:$Z$448,MATCH(ROWS($U$5:U419),$AA$5:$AA$448,0)),"")</f>
        <v/>
      </c>
      <c r="V419" s="274" t="str">
        <f>IF(Dec!C11="","",Dec!C11)</f>
        <v/>
      </c>
      <c r="W419" s="274" t="str" cm="1">
        <f t="array" ref="W419">IF(V419="","",IF(COUNTIF($V$5:V419,V419)&gt;1,"",ROUND(1+SUMPRODUCT(($V$5:$V$448&lt;&gt;"")*($V$5:$V$448&lt;V419)/COUNTIF($V$5:$V$448,$V$5:$V$448&amp;"")),0)))</f>
        <v/>
      </c>
      <c r="X419" s="274"/>
      <c r="Z419" s="274" t="str">
        <f>IF(Dec!H11="Major Injury",Dec!C11,"")</f>
        <v/>
      </c>
      <c r="AA419" s="274" t="str" cm="1">
        <f t="array" ref="AA419">IF(Z419="","",IF(COUNTIF($Z$5:Z419,Z419)&gt;1,"",ROUND(1+SUMPRODUCT(($Z$5:$Z$448&lt;&gt;"")*($Z$5:$Z$448&lt;Z419)/COUNTIF($Z$5:$Z$448,$Z$5:$Z$448&amp;"")),0)))</f>
        <v/>
      </c>
    </row>
    <row r="420" spans="2:27" x14ac:dyDescent="0.25">
      <c r="B420" s="160" t="str">
        <f>IFERROR(INDEX($V$5:$V$448,MATCH(ROWS($B$5:B420),$W$5:$W$448,0)),"")</f>
        <v/>
      </c>
      <c r="C420" s="265" t="str">
        <f>IF($B420="","",COUNTIF(Jan[Resident Name],$B420))</f>
        <v/>
      </c>
      <c r="D420" s="265" t="str">
        <f>IF($B420="","",COUNTIF(Feb[Resident Name],$B420))</f>
        <v/>
      </c>
      <c r="E420" s="265" t="str">
        <f>IF($B420="","",COUNTIF(Mar[Resident Name],$B420))</f>
        <v/>
      </c>
      <c r="F420" s="265" t="str">
        <f>IF($B420="","",COUNTIF(Apr[Resident Name],$B420))</f>
        <v/>
      </c>
      <c r="G420" s="265" t="str">
        <f>IF($B420="","",COUNTIF(May[Resident Name],$B420))</f>
        <v/>
      </c>
      <c r="H420" s="265" t="str">
        <f>IF($B420="","",COUNTIF(June[Resident Name],$B420))</f>
        <v/>
      </c>
      <c r="I420" s="265" t="str">
        <f>IF($B420="","",COUNTIF(July[Resident Name],$B420))</f>
        <v/>
      </c>
      <c r="J420" s="265" t="str">
        <f>IF($B420="","",COUNTIF(Aug[Resident Name],$B420))</f>
        <v/>
      </c>
      <c r="K420" s="265" t="str">
        <f>IF($B420="","",COUNTIF(Sept[Resident Name],$B420))</f>
        <v/>
      </c>
      <c r="L420" s="265" t="str">
        <f>IF($B420="","",COUNTIF(Oct[Resident Name],$B420))</f>
        <v/>
      </c>
      <c r="M420" s="265" t="str">
        <f>IF($B420="","",COUNTIF(Nov[Resident Name],$B420))</f>
        <v/>
      </c>
      <c r="N420" s="265" t="str">
        <f>IF($B420="","",COUNTIF(Dec[Resident Name],$B420))</f>
        <v/>
      </c>
      <c r="O420" s="265" t="str">
        <f t="shared" si="12"/>
        <v/>
      </c>
      <c r="P420" s="11"/>
      <c r="R420" s="160" t="str">
        <f>IFERROR(INDEX($B$5:$B$172,MATCH(ROWS($R$5:R420),$X$5:$X$172,0)),"")</f>
        <v/>
      </c>
      <c r="S420" s="76" t="str">
        <f>IF($R420="","",INDEX($O$5:$O$172,MATCH(ROWS($R$5:R420),$X$5:$X$172,0)))</f>
        <v/>
      </c>
      <c r="U420" s="160" t="str">
        <f>IFERROR(INDEX($Z$5:$Z$448,MATCH(ROWS($U$5:U420),$AA$5:$AA$448,0)),"")</f>
        <v/>
      </c>
      <c r="V420" s="274" t="str">
        <f>IF(Dec!C12="","",Dec!C12)</f>
        <v/>
      </c>
      <c r="W420" s="274" t="str" cm="1">
        <f t="array" ref="W420">IF(V420="","",IF(COUNTIF($V$5:V420,V420)&gt;1,"",ROUND(1+SUMPRODUCT(($V$5:$V$448&lt;&gt;"")*($V$5:$V$448&lt;V420)/COUNTIF($V$5:$V$448,$V$5:$V$448&amp;"")),0)))</f>
        <v/>
      </c>
      <c r="X420" s="274"/>
      <c r="Z420" s="274" t="str">
        <f>IF(Dec!H12="Major Injury",Dec!C12,"")</f>
        <v/>
      </c>
      <c r="AA420" s="274" t="str" cm="1">
        <f t="array" ref="AA420">IF(Z420="","",IF(COUNTIF($Z$5:Z420,Z420)&gt;1,"",ROUND(1+SUMPRODUCT(($Z$5:$Z$448&lt;&gt;"")*($Z$5:$Z$448&lt;Z420)/COUNTIF($Z$5:$Z$448,$Z$5:$Z$448&amp;"")),0)))</f>
        <v/>
      </c>
    </row>
    <row r="421" spans="2:27" x14ac:dyDescent="0.25">
      <c r="B421" s="160" t="str">
        <f>IFERROR(INDEX($V$5:$V$448,MATCH(ROWS($B$5:B421),$W$5:$W$448,0)),"")</f>
        <v/>
      </c>
      <c r="C421" s="265" t="str">
        <f>IF($B421="","",COUNTIF(Jan[Resident Name],$B421))</f>
        <v/>
      </c>
      <c r="D421" s="265" t="str">
        <f>IF($B421="","",COUNTIF(Feb[Resident Name],$B421))</f>
        <v/>
      </c>
      <c r="E421" s="265" t="str">
        <f>IF($B421="","",COUNTIF(Mar[Resident Name],$B421))</f>
        <v/>
      </c>
      <c r="F421" s="265" t="str">
        <f>IF($B421="","",COUNTIF(Apr[Resident Name],$B421))</f>
        <v/>
      </c>
      <c r="G421" s="265" t="str">
        <f>IF($B421="","",COUNTIF(May[Resident Name],$B421))</f>
        <v/>
      </c>
      <c r="H421" s="265" t="str">
        <f>IF($B421="","",COUNTIF(June[Resident Name],$B421))</f>
        <v/>
      </c>
      <c r="I421" s="265" t="str">
        <f>IF($B421="","",COUNTIF(July[Resident Name],$B421))</f>
        <v/>
      </c>
      <c r="J421" s="265" t="str">
        <f>IF($B421="","",COUNTIF(Aug[Resident Name],$B421))</f>
        <v/>
      </c>
      <c r="K421" s="265" t="str">
        <f>IF($B421="","",COUNTIF(Sept[Resident Name],$B421))</f>
        <v/>
      </c>
      <c r="L421" s="265" t="str">
        <f>IF($B421="","",COUNTIF(Oct[Resident Name],$B421))</f>
        <v/>
      </c>
      <c r="M421" s="265" t="str">
        <f>IF($B421="","",COUNTIF(Nov[Resident Name],$B421))</f>
        <v/>
      </c>
      <c r="N421" s="265" t="str">
        <f>IF($B421="","",COUNTIF(Dec[Resident Name],$B421))</f>
        <v/>
      </c>
      <c r="O421" s="265" t="str">
        <f t="shared" si="12"/>
        <v/>
      </c>
      <c r="P421" s="11"/>
      <c r="R421" s="160" t="str">
        <f>IFERROR(INDEX($B$5:$B$172,MATCH(ROWS($R$5:R421),$X$5:$X$172,0)),"")</f>
        <v/>
      </c>
      <c r="S421" s="76" t="str">
        <f>IF($R421="","",INDEX($O$5:$O$172,MATCH(ROWS($R$5:R421),$X$5:$X$172,0)))</f>
        <v/>
      </c>
      <c r="U421" s="160" t="str">
        <f>IFERROR(INDEX($Z$5:$Z$448,MATCH(ROWS($U$5:U421),$AA$5:$AA$448,0)),"")</f>
        <v/>
      </c>
      <c r="V421" s="274" t="str">
        <f>IF(Dec!C13="","",Dec!C13)</f>
        <v/>
      </c>
      <c r="W421" s="274" t="str" cm="1">
        <f t="array" ref="W421">IF(V421="","",IF(COUNTIF($V$5:V421,V421)&gt;1,"",ROUND(1+SUMPRODUCT(($V$5:$V$448&lt;&gt;"")*($V$5:$V$448&lt;V421)/COUNTIF($V$5:$V$448,$V$5:$V$448&amp;"")),0)))</f>
        <v/>
      </c>
      <c r="X421" s="274"/>
      <c r="Z421" s="274" t="str">
        <f>IF(Dec!H13="Major Injury",Dec!C13,"")</f>
        <v/>
      </c>
      <c r="AA421" s="274" t="str" cm="1">
        <f t="array" ref="AA421">IF(Z421="","",IF(COUNTIF($Z$5:Z421,Z421)&gt;1,"",ROUND(1+SUMPRODUCT(($Z$5:$Z$448&lt;&gt;"")*($Z$5:$Z$448&lt;Z421)/COUNTIF($Z$5:$Z$448,$Z$5:$Z$448&amp;"")),0)))</f>
        <v/>
      </c>
    </row>
    <row r="422" spans="2:27" x14ac:dyDescent="0.25">
      <c r="B422" s="160" t="str">
        <f>IFERROR(INDEX($V$5:$V$448,MATCH(ROWS($B$5:B422),$W$5:$W$448,0)),"")</f>
        <v/>
      </c>
      <c r="C422" s="265" t="str">
        <f>IF($B422="","",COUNTIF(Jan[Resident Name],$B422))</f>
        <v/>
      </c>
      <c r="D422" s="265" t="str">
        <f>IF($B422="","",COUNTIF(Feb[Resident Name],$B422))</f>
        <v/>
      </c>
      <c r="E422" s="265" t="str">
        <f>IF($B422="","",COUNTIF(Mar[Resident Name],$B422))</f>
        <v/>
      </c>
      <c r="F422" s="265" t="str">
        <f>IF($B422="","",COUNTIF(Apr[Resident Name],$B422))</f>
        <v/>
      </c>
      <c r="G422" s="265" t="str">
        <f>IF($B422="","",COUNTIF(May[Resident Name],$B422))</f>
        <v/>
      </c>
      <c r="H422" s="265" t="str">
        <f>IF($B422="","",COUNTIF(June[Resident Name],$B422))</f>
        <v/>
      </c>
      <c r="I422" s="265" t="str">
        <f>IF($B422="","",COUNTIF(July[Resident Name],$B422))</f>
        <v/>
      </c>
      <c r="J422" s="265" t="str">
        <f>IF($B422="","",COUNTIF(Aug[Resident Name],$B422))</f>
        <v/>
      </c>
      <c r="K422" s="265" t="str">
        <f>IF($B422="","",COUNTIF(Sept[Resident Name],$B422))</f>
        <v/>
      </c>
      <c r="L422" s="265" t="str">
        <f>IF($B422="","",COUNTIF(Oct[Resident Name],$B422))</f>
        <v/>
      </c>
      <c r="M422" s="265" t="str">
        <f>IF($B422="","",COUNTIF(Nov[Resident Name],$B422))</f>
        <v/>
      </c>
      <c r="N422" s="265" t="str">
        <f>IF($B422="","",COUNTIF(Dec[Resident Name],$B422))</f>
        <v/>
      </c>
      <c r="O422" s="265" t="str">
        <f t="shared" si="12"/>
        <v/>
      </c>
      <c r="P422" s="11"/>
      <c r="R422" s="160" t="str">
        <f>IFERROR(INDEX($B$5:$B$172,MATCH(ROWS($R$5:R422),$X$5:$X$172,0)),"")</f>
        <v/>
      </c>
      <c r="S422" s="76" t="str">
        <f>IF($R422="","",INDEX($O$5:$O$172,MATCH(ROWS($R$5:R422),$X$5:$X$172,0)))</f>
        <v/>
      </c>
      <c r="U422" s="160" t="str">
        <f>IFERROR(INDEX($Z$5:$Z$448,MATCH(ROWS($U$5:U422),$AA$5:$AA$448,0)),"")</f>
        <v/>
      </c>
      <c r="V422" s="274" t="str">
        <f>IF(Dec!C14="","",Dec!C14)</f>
        <v/>
      </c>
      <c r="W422" s="274" t="str" cm="1">
        <f t="array" ref="W422">IF(V422="","",IF(COUNTIF($V$5:V422,V422)&gt;1,"",ROUND(1+SUMPRODUCT(($V$5:$V$448&lt;&gt;"")*($V$5:$V$448&lt;V422)/COUNTIF($V$5:$V$448,$V$5:$V$448&amp;"")),0)))</f>
        <v/>
      </c>
      <c r="X422" s="274"/>
      <c r="Z422" s="274" t="str">
        <f>IF(Dec!H14="Major Injury",Dec!C14,"")</f>
        <v/>
      </c>
      <c r="AA422" s="274" t="str" cm="1">
        <f t="array" ref="AA422">IF(Z422="","",IF(COUNTIF($Z$5:Z422,Z422)&gt;1,"",ROUND(1+SUMPRODUCT(($Z$5:$Z$448&lt;&gt;"")*($Z$5:$Z$448&lt;Z422)/COUNTIF($Z$5:$Z$448,$Z$5:$Z$448&amp;"")),0)))</f>
        <v/>
      </c>
    </row>
    <row r="423" spans="2:27" x14ac:dyDescent="0.25">
      <c r="B423" s="160" t="str">
        <f>IFERROR(INDEX($V$5:$V$448,MATCH(ROWS($B$5:B423),$W$5:$W$448,0)),"")</f>
        <v/>
      </c>
      <c r="C423" s="265" t="str">
        <f>IF($B423="","",COUNTIF(Jan[Resident Name],$B423))</f>
        <v/>
      </c>
      <c r="D423" s="265" t="str">
        <f>IF($B423="","",COUNTIF(Feb[Resident Name],$B423))</f>
        <v/>
      </c>
      <c r="E423" s="265" t="str">
        <f>IF($B423="","",COUNTIF(Mar[Resident Name],$B423))</f>
        <v/>
      </c>
      <c r="F423" s="265" t="str">
        <f>IF($B423="","",COUNTIF(Apr[Resident Name],$B423))</f>
        <v/>
      </c>
      <c r="G423" s="265" t="str">
        <f>IF($B423="","",COUNTIF(May[Resident Name],$B423))</f>
        <v/>
      </c>
      <c r="H423" s="265" t="str">
        <f>IF($B423="","",COUNTIF(June[Resident Name],$B423))</f>
        <v/>
      </c>
      <c r="I423" s="265" t="str">
        <f>IF($B423="","",COUNTIF(July[Resident Name],$B423))</f>
        <v/>
      </c>
      <c r="J423" s="265" t="str">
        <f>IF($B423="","",COUNTIF(Aug[Resident Name],$B423))</f>
        <v/>
      </c>
      <c r="K423" s="265" t="str">
        <f>IF($B423="","",COUNTIF(Sept[Resident Name],$B423))</f>
        <v/>
      </c>
      <c r="L423" s="265" t="str">
        <f>IF($B423="","",COUNTIF(Oct[Resident Name],$B423))</f>
        <v/>
      </c>
      <c r="M423" s="265" t="str">
        <f>IF($B423="","",COUNTIF(Nov[Resident Name],$B423))</f>
        <v/>
      </c>
      <c r="N423" s="265" t="str">
        <f>IF($B423="","",COUNTIF(Dec[Resident Name],$B423))</f>
        <v/>
      </c>
      <c r="O423" s="265" t="str">
        <f t="shared" si="12"/>
        <v/>
      </c>
      <c r="P423" s="11"/>
      <c r="R423" s="160" t="str">
        <f>IFERROR(INDEX($B$5:$B$172,MATCH(ROWS($R$5:R423),$X$5:$X$172,0)),"")</f>
        <v/>
      </c>
      <c r="S423" s="76" t="str">
        <f>IF($R423="","",INDEX($O$5:$O$172,MATCH(ROWS($R$5:R423),$X$5:$X$172,0)))</f>
        <v/>
      </c>
      <c r="U423" s="160" t="str">
        <f>IFERROR(INDEX($Z$5:$Z$448,MATCH(ROWS($U$5:U423),$AA$5:$AA$448,0)),"")</f>
        <v/>
      </c>
      <c r="V423" s="274" t="str">
        <f>IF(Dec!C15="","",Dec!C15)</f>
        <v/>
      </c>
      <c r="W423" s="274" t="str" cm="1">
        <f t="array" ref="W423">IF(V423="","",IF(COUNTIF($V$5:V423,V423)&gt;1,"",ROUND(1+SUMPRODUCT(($V$5:$V$448&lt;&gt;"")*($V$5:$V$448&lt;V423)/COUNTIF($V$5:$V$448,$V$5:$V$448&amp;"")),0)))</f>
        <v/>
      </c>
      <c r="X423" s="274"/>
      <c r="Z423" s="274" t="str">
        <f>IF(Dec!H15="Major Injury",Dec!C15,"")</f>
        <v/>
      </c>
      <c r="AA423" s="274" t="str" cm="1">
        <f t="array" ref="AA423">IF(Z423="","",IF(COUNTIF($Z$5:Z423,Z423)&gt;1,"",ROUND(1+SUMPRODUCT(($Z$5:$Z$448&lt;&gt;"")*($Z$5:$Z$448&lt;Z423)/COUNTIF($Z$5:$Z$448,$Z$5:$Z$448&amp;"")),0)))</f>
        <v/>
      </c>
    </row>
    <row r="424" spans="2:27" x14ac:dyDescent="0.25">
      <c r="B424" s="160" t="str">
        <f>IFERROR(INDEX($V$5:$V$448,MATCH(ROWS($B$5:B424),$W$5:$W$448,0)),"")</f>
        <v/>
      </c>
      <c r="C424" s="265" t="str">
        <f>IF($B424="","",COUNTIF(Jan[Resident Name],$B424))</f>
        <v/>
      </c>
      <c r="D424" s="265" t="str">
        <f>IF($B424="","",COUNTIF(Feb[Resident Name],$B424))</f>
        <v/>
      </c>
      <c r="E424" s="265" t="str">
        <f>IF($B424="","",COUNTIF(Mar[Resident Name],$B424))</f>
        <v/>
      </c>
      <c r="F424" s="265" t="str">
        <f>IF($B424="","",COUNTIF(Apr[Resident Name],$B424))</f>
        <v/>
      </c>
      <c r="G424" s="265" t="str">
        <f>IF($B424="","",COUNTIF(May[Resident Name],$B424))</f>
        <v/>
      </c>
      <c r="H424" s="265" t="str">
        <f>IF($B424="","",COUNTIF(June[Resident Name],$B424))</f>
        <v/>
      </c>
      <c r="I424" s="265" t="str">
        <f>IF($B424="","",COUNTIF(July[Resident Name],$B424))</f>
        <v/>
      </c>
      <c r="J424" s="265" t="str">
        <f>IF($B424="","",COUNTIF(Aug[Resident Name],$B424))</f>
        <v/>
      </c>
      <c r="K424" s="265" t="str">
        <f>IF($B424="","",COUNTIF(Sept[Resident Name],$B424))</f>
        <v/>
      </c>
      <c r="L424" s="265" t="str">
        <f>IF($B424="","",COUNTIF(Oct[Resident Name],$B424))</f>
        <v/>
      </c>
      <c r="M424" s="265" t="str">
        <f>IF($B424="","",COUNTIF(Nov[Resident Name],$B424))</f>
        <v/>
      </c>
      <c r="N424" s="265" t="str">
        <f>IF($B424="","",COUNTIF(Dec[Resident Name],$B424))</f>
        <v/>
      </c>
      <c r="O424" s="265" t="str">
        <f t="shared" si="12"/>
        <v/>
      </c>
      <c r="P424" s="11"/>
      <c r="R424" s="160" t="str">
        <f>IFERROR(INDEX($B$5:$B$172,MATCH(ROWS($R$5:R424),$X$5:$X$172,0)),"")</f>
        <v/>
      </c>
      <c r="S424" s="76" t="str">
        <f>IF($R424="","",INDEX($O$5:$O$172,MATCH(ROWS($R$5:R424),$X$5:$X$172,0)))</f>
        <v/>
      </c>
      <c r="U424" s="160" t="str">
        <f>IFERROR(INDEX($Z$5:$Z$448,MATCH(ROWS($U$5:U424),$AA$5:$AA$448,0)),"")</f>
        <v/>
      </c>
      <c r="V424" s="274" t="str">
        <f>IF(Dec!C16="","",Dec!C16)</f>
        <v/>
      </c>
      <c r="W424" s="274" t="str" cm="1">
        <f t="array" ref="W424">IF(V424="","",IF(COUNTIF($V$5:V424,V424)&gt;1,"",ROUND(1+SUMPRODUCT(($V$5:$V$448&lt;&gt;"")*($V$5:$V$448&lt;V424)/COUNTIF($V$5:$V$448,$V$5:$V$448&amp;"")),0)))</f>
        <v/>
      </c>
      <c r="X424" s="274"/>
      <c r="Z424" s="274" t="str">
        <f>IF(Dec!H16="Major Injury",Dec!C16,"")</f>
        <v/>
      </c>
      <c r="AA424" s="274" t="str" cm="1">
        <f t="array" ref="AA424">IF(Z424="","",IF(COUNTIF($Z$5:Z424,Z424)&gt;1,"",ROUND(1+SUMPRODUCT(($Z$5:$Z$448&lt;&gt;"")*($Z$5:$Z$448&lt;Z424)/COUNTIF($Z$5:$Z$448,$Z$5:$Z$448&amp;"")),0)))</f>
        <v/>
      </c>
    </row>
    <row r="425" spans="2:27" x14ac:dyDescent="0.25">
      <c r="B425" s="160" t="str">
        <f>IFERROR(INDEX($V$5:$V$448,MATCH(ROWS($B$5:B425),$W$5:$W$448,0)),"")</f>
        <v/>
      </c>
      <c r="C425" s="265" t="str">
        <f>IF($B425="","",COUNTIF(Jan[Resident Name],$B425))</f>
        <v/>
      </c>
      <c r="D425" s="265" t="str">
        <f>IF($B425="","",COUNTIF(Feb[Resident Name],$B425))</f>
        <v/>
      </c>
      <c r="E425" s="265" t="str">
        <f>IF($B425="","",COUNTIF(Mar[Resident Name],$B425))</f>
        <v/>
      </c>
      <c r="F425" s="265" t="str">
        <f>IF($B425="","",COUNTIF(Apr[Resident Name],$B425))</f>
        <v/>
      </c>
      <c r="G425" s="265" t="str">
        <f>IF($B425="","",COUNTIF(May[Resident Name],$B425))</f>
        <v/>
      </c>
      <c r="H425" s="265" t="str">
        <f>IF($B425="","",COUNTIF(June[Resident Name],$B425))</f>
        <v/>
      </c>
      <c r="I425" s="265" t="str">
        <f>IF($B425="","",COUNTIF(July[Resident Name],$B425))</f>
        <v/>
      </c>
      <c r="J425" s="265" t="str">
        <f>IF($B425="","",COUNTIF(Aug[Resident Name],$B425))</f>
        <v/>
      </c>
      <c r="K425" s="265" t="str">
        <f>IF($B425="","",COUNTIF(Sept[Resident Name],$B425))</f>
        <v/>
      </c>
      <c r="L425" s="265" t="str">
        <f>IF($B425="","",COUNTIF(Oct[Resident Name],$B425))</f>
        <v/>
      </c>
      <c r="M425" s="265" t="str">
        <f>IF($B425="","",COUNTIF(Nov[Resident Name],$B425))</f>
        <v/>
      </c>
      <c r="N425" s="265" t="str">
        <f>IF($B425="","",COUNTIF(Dec[Resident Name],$B425))</f>
        <v/>
      </c>
      <c r="O425" s="265" t="str">
        <f t="shared" si="12"/>
        <v/>
      </c>
      <c r="P425" s="11"/>
      <c r="R425" s="160" t="str">
        <f>IFERROR(INDEX($B$5:$B$172,MATCH(ROWS($R$5:R425),$X$5:$X$172,0)),"")</f>
        <v/>
      </c>
      <c r="S425" s="76" t="str">
        <f>IF($R425="","",INDEX($O$5:$O$172,MATCH(ROWS($R$5:R425),$X$5:$X$172,0)))</f>
        <v/>
      </c>
      <c r="U425" s="160" t="str">
        <f>IFERROR(INDEX($Z$5:$Z$448,MATCH(ROWS($U$5:U425),$AA$5:$AA$448,0)),"")</f>
        <v/>
      </c>
      <c r="V425" s="274" t="str">
        <f>IF(Dec!C17="","",Dec!C17)</f>
        <v/>
      </c>
      <c r="W425" s="274" t="str" cm="1">
        <f t="array" ref="W425">IF(V425="","",IF(COUNTIF($V$5:V425,V425)&gt;1,"",ROUND(1+SUMPRODUCT(($V$5:$V$448&lt;&gt;"")*($V$5:$V$448&lt;V425)/COUNTIF($V$5:$V$448,$V$5:$V$448&amp;"")),0)))</f>
        <v/>
      </c>
      <c r="X425" s="274"/>
      <c r="Z425" s="274" t="str">
        <f>IF(Dec!H17="Major Injury",Dec!C17,"")</f>
        <v/>
      </c>
      <c r="AA425" s="274" t="str" cm="1">
        <f t="array" ref="AA425">IF(Z425="","",IF(COUNTIF($Z$5:Z425,Z425)&gt;1,"",ROUND(1+SUMPRODUCT(($Z$5:$Z$448&lt;&gt;"")*($Z$5:$Z$448&lt;Z425)/COUNTIF($Z$5:$Z$448,$Z$5:$Z$448&amp;"")),0)))</f>
        <v/>
      </c>
    </row>
    <row r="426" spans="2:27" x14ac:dyDescent="0.25">
      <c r="B426" s="160" t="str">
        <f>IFERROR(INDEX($V$5:$V$448,MATCH(ROWS($B$5:B426),$W$5:$W$448,0)),"")</f>
        <v/>
      </c>
      <c r="C426" s="265" t="str">
        <f>IF($B426="","",COUNTIF(Jan[Resident Name],$B426))</f>
        <v/>
      </c>
      <c r="D426" s="265" t="str">
        <f>IF($B426="","",COUNTIF(Feb[Resident Name],$B426))</f>
        <v/>
      </c>
      <c r="E426" s="265" t="str">
        <f>IF($B426="","",COUNTIF(Mar[Resident Name],$B426))</f>
        <v/>
      </c>
      <c r="F426" s="265" t="str">
        <f>IF($B426="","",COUNTIF(Apr[Resident Name],$B426))</f>
        <v/>
      </c>
      <c r="G426" s="265" t="str">
        <f>IF($B426="","",COUNTIF(May[Resident Name],$B426))</f>
        <v/>
      </c>
      <c r="H426" s="265" t="str">
        <f>IF($B426="","",COUNTIF(June[Resident Name],$B426))</f>
        <v/>
      </c>
      <c r="I426" s="265" t="str">
        <f>IF($B426="","",COUNTIF(July[Resident Name],$B426))</f>
        <v/>
      </c>
      <c r="J426" s="265" t="str">
        <f>IF($B426="","",COUNTIF(Aug[Resident Name],$B426))</f>
        <v/>
      </c>
      <c r="K426" s="265" t="str">
        <f>IF($B426="","",COUNTIF(Sept[Resident Name],$B426))</f>
        <v/>
      </c>
      <c r="L426" s="265" t="str">
        <f>IF($B426="","",COUNTIF(Oct[Resident Name],$B426))</f>
        <v/>
      </c>
      <c r="M426" s="265" t="str">
        <f>IF($B426="","",COUNTIF(Nov[Resident Name],$B426))</f>
        <v/>
      </c>
      <c r="N426" s="265" t="str">
        <f>IF($B426="","",COUNTIF(Dec[Resident Name],$B426))</f>
        <v/>
      </c>
      <c r="O426" s="265" t="str">
        <f t="shared" si="12"/>
        <v/>
      </c>
      <c r="P426" s="11"/>
      <c r="R426" s="160" t="str">
        <f>IFERROR(INDEX($B$5:$B$172,MATCH(ROWS($R$5:R426),$X$5:$X$172,0)),"")</f>
        <v/>
      </c>
      <c r="S426" s="76" t="str">
        <f>IF($R426="","",INDEX($O$5:$O$172,MATCH(ROWS($R$5:R426),$X$5:$X$172,0)))</f>
        <v/>
      </c>
      <c r="U426" s="160" t="str">
        <f>IFERROR(INDEX($Z$5:$Z$448,MATCH(ROWS($U$5:U426),$AA$5:$AA$448,0)),"")</f>
        <v/>
      </c>
      <c r="V426" s="274" t="str">
        <f>IF(Dec!C18="","",Dec!C18)</f>
        <v/>
      </c>
      <c r="W426" s="274" t="str" cm="1">
        <f t="array" ref="W426">IF(V426="","",IF(COUNTIF($V$5:V426,V426)&gt;1,"",ROUND(1+SUMPRODUCT(($V$5:$V$448&lt;&gt;"")*($V$5:$V$448&lt;V426)/COUNTIF($V$5:$V$448,$V$5:$V$448&amp;"")),0)))</f>
        <v/>
      </c>
      <c r="X426" s="274"/>
      <c r="Z426" s="274" t="str">
        <f>IF(Dec!H18="Major Injury",Dec!C18,"")</f>
        <v/>
      </c>
      <c r="AA426" s="274" t="str" cm="1">
        <f t="array" ref="AA426">IF(Z426="","",IF(COUNTIF($Z$5:Z426,Z426)&gt;1,"",ROUND(1+SUMPRODUCT(($Z$5:$Z$448&lt;&gt;"")*($Z$5:$Z$448&lt;Z426)/COUNTIF($Z$5:$Z$448,$Z$5:$Z$448&amp;"")),0)))</f>
        <v/>
      </c>
    </row>
    <row r="427" spans="2:27" x14ac:dyDescent="0.25">
      <c r="B427" s="160" t="str">
        <f>IFERROR(INDEX($V$5:$V$448,MATCH(ROWS($B$5:B427),$W$5:$W$448,0)),"")</f>
        <v/>
      </c>
      <c r="C427" s="265" t="str">
        <f>IF($B427="","",COUNTIF(Jan[Resident Name],$B427))</f>
        <v/>
      </c>
      <c r="D427" s="265" t="str">
        <f>IF($B427="","",COUNTIF(Feb[Resident Name],$B427))</f>
        <v/>
      </c>
      <c r="E427" s="265" t="str">
        <f>IF($B427="","",COUNTIF(Mar[Resident Name],$B427))</f>
        <v/>
      </c>
      <c r="F427" s="265" t="str">
        <f>IF($B427="","",COUNTIF(Apr[Resident Name],$B427))</f>
        <v/>
      </c>
      <c r="G427" s="265" t="str">
        <f>IF($B427="","",COUNTIF(May[Resident Name],$B427))</f>
        <v/>
      </c>
      <c r="H427" s="265" t="str">
        <f>IF($B427="","",COUNTIF(June[Resident Name],$B427))</f>
        <v/>
      </c>
      <c r="I427" s="265" t="str">
        <f>IF($B427="","",COUNTIF(July[Resident Name],$B427))</f>
        <v/>
      </c>
      <c r="J427" s="265" t="str">
        <f>IF($B427="","",COUNTIF(Aug[Resident Name],$B427))</f>
        <v/>
      </c>
      <c r="K427" s="265" t="str">
        <f>IF($B427="","",COUNTIF(Sept[Resident Name],$B427))</f>
        <v/>
      </c>
      <c r="L427" s="265" t="str">
        <f>IF($B427="","",COUNTIF(Oct[Resident Name],$B427))</f>
        <v/>
      </c>
      <c r="M427" s="265" t="str">
        <f>IF($B427="","",COUNTIF(Nov[Resident Name],$B427))</f>
        <v/>
      </c>
      <c r="N427" s="265" t="str">
        <f>IF($B427="","",COUNTIF(Dec[Resident Name],$B427))</f>
        <v/>
      </c>
      <c r="O427" s="265" t="str">
        <f t="shared" si="12"/>
        <v/>
      </c>
      <c r="P427" s="11"/>
      <c r="R427" s="160" t="str">
        <f>IFERROR(INDEX($B$5:$B$172,MATCH(ROWS($R$5:R427),$X$5:$X$172,0)),"")</f>
        <v/>
      </c>
      <c r="S427" s="76" t="str">
        <f>IF($R427="","",INDEX($O$5:$O$172,MATCH(ROWS($R$5:R427),$X$5:$X$172,0)))</f>
        <v/>
      </c>
      <c r="U427" s="160" t="str">
        <f>IFERROR(INDEX($Z$5:$Z$448,MATCH(ROWS($U$5:U427),$AA$5:$AA$448,0)),"")</f>
        <v/>
      </c>
      <c r="V427" s="274" t="str">
        <f>IF(Dec!C19="","",Dec!C19)</f>
        <v/>
      </c>
      <c r="W427" s="274" t="str" cm="1">
        <f t="array" ref="W427">IF(V427="","",IF(COUNTIF($V$5:V427,V427)&gt;1,"",ROUND(1+SUMPRODUCT(($V$5:$V$448&lt;&gt;"")*($V$5:$V$448&lt;V427)/COUNTIF($V$5:$V$448,$V$5:$V$448&amp;"")),0)))</f>
        <v/>
      </c>
      <c r="X427" s="274"/>
      <c r="Z427" s="274" t="str">
        <f>IF(Dec!H19="Major Injury",Dec!C19,"")</f>
        <v/>
      </c>
      <c r="AA427" s="274" t="str" cm="1">
        <f t="array" ref="AA427">IF(Z427="","",IF(COUNTIF($Z$5:Z427,Z427)&gt;1,"",ROUND(1+SUMPRODUCT(($Z$5:$Z$448&lt;&gt;"")*($Z$5:$Z$448&lt;Z427)/COUNTIF($Z$5:$Z$448,$Z$5:$Z$448&amp;"")),0)))</f>
        <v/>
      </c>
    </row>
    <row r="428" spans="2:27" x14ac:dyDescent="0.25">
      <c r="B428" s="160" t="str">
        <f>IFERROR(INDEX($V$5:$V$448,MATCH(ROWS($B$5:B428),$W$5:$W$448,0)),"")</f>
        <v/>
      </c>
      <c r="C428" s="265" t="str">
        <f>IF($B428="","",COUNTIF(Jan[Resident Name],$B428))</f>
        <v/>
      </c>
      <c r="D428" s="265" t="str">
        <f>IF($B428="","",COUNTIF(Feb[Resident Name],$B428))</f>
        <v/>
      </c>
      <c r="E428" s="265" t="str">
        <f>IF($B428="","",COUNTIF(Mar[Resident Name],$B428))</f>
        <v/>
      </c>
      <c r="F428" s="265" t="str">
        <f>IF($B428="","",COUNTIF(Apr[Resident Name],$B428))</f>
        <v/>
      </c>
      <c r="G428" s="265" t="str">
        <f>IF($B428="","",COUNTIF(May[Resident Name],$B428))</f>
        <v/>
      </c>
      <c r="H428" s="265" t="str">
        <f>IF($B428="","",COUNTIF(June[Resident Name],$B428))</f>
        <v/>
      </c>
      <c r="I428" s="265" t="str">
        <f>IF($B428="","",COUNTIF(July[Resident Name],$B428))</f>
        <v/>
      </c>
      <c r="J428" s="265" t="str">
        <f>IF($B428="","",COUNTIF(Aug[Resident Name],$B428))</f>
        <v/>
      </c>
      <c r="K428" s="265" t="str">
        <f>IF($B428="","",COUNTIF(Sept[Resident Name],$B428))</f>
        <v/>
      </c>
      <c r="L428" s="265" t="str">
        <f>IF($B428="","",COUNTIF(Oct[Resident Name],$B428))</f>
        <v/>
      </c>
      <c r="M428" s="265" t="str">
        <f>IF($B428="","",COUNTIF(Nov[Resident Name],$B428))</f>
        <v/>
      </c>
      <c r="N428" s="265" t="str">
        <f>IF($B428="","",COUNTIF(Dec[Resident Name],$B428))</f>
        <v/>
      </c>
      <c r="O428" s="265" t="str">
        <f t="shared" si="12"/>
        <v/>
      </c>
      <c r="P428" s="11"/>
      <c r="R428" s="160" t="str">
        <f>IFERROR(INDEX($B$5:$B$172,MATCH(ROWS($R$5:R428),$X$5:$X$172,0)),"")</f>
        <v/>
      </c>
      <c r="S428" s="76" t="str">
        <f>IF($R428="","",INDEX($O$5:$O$172,MATCH(ROWS($R$5:R428),$X$5:$X$172,0)))</f>
        <v/>
      </c>
      <c r="U428" s="160" t="str">
        <f>IFERROR(INDEX($Z$5:$Z$448,MATCH(ROWS($U$5:U428),$AA$5:$AA$448,0)),"")</f>
        <v/>
      </c>
      <c r="V428" s="274" t="str">
        <f>IF(Dec!C20="","",Dec!C20)</f>
        <v/>
      </c>
      <c r="W428" s="274" t="str" cm="1">
        <f t="array" ref="W428">IF(V428="","",IF(COUNTIF($V$5:V428,V428)&gt;1,"",ROUND(1+SUMPRODUCT(($V$5:$V$448&lt;&gt;"")*($V$5:$V$448&lt;V428)/COUNTIF($V$5:$V$448,$V$5:$V$448&amp;"")),0)))</f>
        <v/>
      </c>
      <c r="X428" s="274"/>
      <c r="Z428" s="274" t="str">
        <f>IF(Dec!H20="Major Injury",Dec!C20,"")</f>
        <v/>
      </c>
      <c r="AA428" s="274" t="str" cm="1">
        <f t="array" ref="AA428">IF(Z428="","",IF(COUNTIF($Z$5:Z428,Z428)&gt;1,"",ROUND(1+SUMPRODUCT(($Z$5:$Z$448&lt;&gt;"")*($Z$5:$Z$448&lt;Z428)/COUNTIF($Z$5:$Z$448,$Z$5:$Z$448&amp;"")),0)))</f>
        <v/>
      </c>
    </row>
    <row r="429" spans="2:27" x14ac:dyDescent="0.25">
      <c r="B429" s="160" t="str">
        <f>IFERROR(INDEX($V$5:$V$448,MATCH(ROWS($B$5:B429),$W$5:$W$448,0)),"")</f>
        <v/>
      </c>
      <c r="C429" s="265" t="str">
        <f>IF($B429="","",COUNTIF(Jan[Resident Name],$B429))</f>
        <v/>
      </c>
      <c r="D429" s="265" t="str">
        <f>IF($B429="","",COUNTIF(Feb[Resident Name],$B429))</f>
        <v/>
      </c>
      <c r="E429" s="265" t="str">
        <f>IF($B429="","",COUNTIF(Mar[Resident Name],$B429))</f>
        <v/>
      </c>
      <c r="F429" s="265" t="str">
        <f>IF($B429="","",COUNTIF(Apr[Resident Name],$B429))</f>
        <v/>
      </c>
      <c r="G429" s="265" t="str">
        <f>IF($B429="","",COUNTIF(May[Resident Name],$B429))</f>
        <v/>
      </c>
      <c r="H429" s="265" t="str">
        <f>IF($B429="","",COUNTIF(June[Resident Name],$B429))</f>
        <v/>
      </c>
      <c r="I429" s="265" t="str">
        <f>IF($B429="","",COUNTIF(July[Resident Name],$B429))</f>
        <v/>
      </c>
      <c r="J429" s="265" t="str">
        <f>IF($B429="","",COUNTIF(Aug[Resident Name],$B429))</f>
        <v/>
      </c>
      <c r="K429" s="265" t="str">
        <f>IF($B429="","",COUNTIF(Sept[Resident Name],$B429))</f>
        <v/>
      </c>
      <c r="L429" s="265" t="str">
        <f>IF($B429="","",COUNTIF(Oct[Resident Name],$B429))</f>
        <v/>
      </c>
      <c r="M429" s="265" t="str">
        <f>IF($B429="","",COUNTIF(Nov[Resident Name],$B429))</f>
        <v/>
      </c>
      <c r="N429" s="265" t="str">
        <f>IF($B429="","",COUNTIF(Dec[Resident Name],$B429))</f>
        <v/>
      </c>
      <c r="O429" s="265" t="str">
        <f t="shared" si="12"/>
        <v/>
      </c>
      <c r="P429" s="11"/>
      <c r="R429" s="160" t="str">
        <f>IFERROR(INDEX($B$5:$B$172,MATCH(ROWS($R$5:R429),$X$5:$X$172,0)),"")</f>
        <v/>
      </c>
      <c r="S429" s="76" t="str">
        <f>IF($R429="","",INDEX($O$5:$O$172,MATCH(ROWS($R$5:R429),$X$5:$X$172,0)))</f>
        <v/>
      </c>
      <c r="U429" s="160" t="str">
        <f>IFERROR(INDEX($Z$5:$Z$448,MATCH(ROWS($U$5:U429),$AA$5:$AA$448,0)),"")</f>
        <v/>
      </c>
      <c r="V429" s="274" t="str">
        <f>IF(Dec!C21="","",Dec!C21)</f>
        <v/>
      </c>
      <c r="W429" s="274" t="str" cm="1">
        <f t="array" ref="W429">IF(V429="","",IF(COUNTIF($V$5:V429,V429)&gt;1,"",ROUND(1+SUMPRODUCT(($V$5:$V$448&lt;&gt;"")*($V$5:$V$448&lt;V429)/COUNTIF($V$5:$V$448,$V$5:$V$448&amp;"")),0)))</f>
        <v/>
      </c>
      <c r="X429" s="274"/>
      <c r="Z429" s="274" t="str">
        <f>IF(Dec!H21="Major Injury",Dec!C21,"")</f>
        <v/>
      </c>
      <c r="AA429" s="274" t="str" cm="1">
        <f t="array" ref="AA429">IF(Z429="","",IF(COUNTIF($Z$5:Z429,Z429)&gt;1,"",ROUND(1+SUMPRODUCT(($Z$5:$Z$448&lt;&gt;"")*($Z$5:$Z$448&lt;Z429)/COUNTIF($Z$5:$Z$448,$Z$5:$Z$448&amp;"")),0)))</f>
        <v/>
      </c>
    </row>
    <row r="430" spans="2:27" x14ac:dyDescent="0.25">
      <c r="B430" s="160" t="str">
        <f>IFERROR(INDEX($V$5:$V$448,MATCH(ROWS($B$5:B430),$W$5:$W$448,0)),"")</f>
        <v/>
      </c>
      <c r="C430" s="265" t="str">
        <f>IF($B430="","",COUNTIF(Jan[Resident Name],$B430))</f>
        <v/>
      </c>
      <c r="D430" s="265" t="str">
        <f>IF($B430="","",COUNTIF(Feb[Resident Name],$B430))</f>
        <v/>
      </c>
      <c r="E430" s="265" t="str">
        <f>IF($B430="","",COUNTIF(Mar[Resident Name],$B430))</f>
        <v/>
      </c>
      <c r="F430" s="265" t="str">
        <f>IF($B430="","",COUNTIF(Apr[Resident Name],$B430))</f>
        <v/>
      </c>
      <c r="G430" s="265" t="str">
        <f>IF($B430="","",COUNTIF(May[Resident Name],$B430))</f>
        <v/>
      </c>
      <c r="H430" s="265" t="str">
        <f>IF($B430="","",COUNTIF(June[Resident Name],$B430))</f>
        <v/>
      </c>
      <c r="I430" s="265" t="str">
        <f>IF($B430="","",COUNTIF(July[Resident Name],$B430))</f>
        <v/>
      </c>
      <c r="J430" s="265" t="str">
        <f>IF($B430="","",COUNTIF(Aug[Resident Name],$B430))</f>
        <v/>
      </c>
      <c r="K430" s="265" t="str">
        <f>IF($B430="","",COUNTIF(Sept[Resident Name],$B430))</f>
        <v/>
      </c>
      <c r="L430" s="265" t="str">
        <f>IF($B430="","",COUNTIF(Oct[Resident Name],$B430))</f>
        <v/>
      </c>
      <c r="M430" s="265" t="str">
        <f>IF($B430="","",COUNTIF(Nov[Resident Name],$B430))</f>
        <v/>
      </c>
      <c r="N430" s="265" t="str">
        <f>IF($B430="","",COUNTIF(Dec[Resident Name],$B430))</f>
        <v/>
      </c>
      <c r="O430" s="265" t="str">
        <f t="shared" si="12"/>
        <v/>
      </c>
      <c r="P430" s="11"/>
      <c r="R430" s="160" t="str">
        <f>IFERROR(INDEX($B$5:$B$172,MATCH(ROWS($R$5:R430),$X$5:$X$172,0)),"")</f>
        <v/>
      </c>
      <c r="S430" s="76" t="str">
        <f>IF($R430="","",INDEX($O$5:$O$172,MATCH(ROWS($R$5:R430),$X$5:$X$172,0)))</f>
        <v/>
      </c>
      <c r="U430" s="160" t="str">
        <f>IFERROR(INDEX($Z$5:$Z$448,MATCH(ROWS($U$5:U430),$AA$5:$AA$448,0)),"")</f>
        <v/>
      </c>
      <c r="V430" s="274" t="str">
        <f>IF(Dec!C22="","",Dec!C22)</f>
        <v/>
      </c>
      <c r="W430" s="274" t="str" cm="1">
        <f t="array" ref="W430">IF(V430="","",IF(COUNTIF($V$5:V430,V430)&gt;1,"",ROUND(1+SUMPRODUCT(($V$5:$V$448&lt;&gt;"")*($V$5:$V$448&lt;V430)/COUNTIF($V$5:$V$448,$V$5:$V$448&amp;"")),0)))</f>
        <v/>
      </c>
      <c r="X430" s="274"/>
      <c r="Z430" s="274" t="str">
        <f>IF(Dec!H22="Major Injury",Dec!C22,"")</f>
        <v/>
      </c>
      <c r="AA430" s="274" t="str" cm="1">
        <f t="array" ref="AA430">IF(Z430="","",IF(COUNTIF($Z$5:Z430,Z430)&gt;1,"",ROUND(1+SUMPRODUCT(($Z$5:$Z$448&lt;&gt;"")*($Z$5:$Z$448&lt;Z430)/COUNTIF($Z$5:$Z$448,$Z$5:$Z$448&amp;"")),0)))</f>
        <v/>
      </c>
    </row>
    <row r="431" spans="2:27" x14ac:dyDescent="0.25">
      <c r="B431" s="160" t="str">
        <f>IFERROR(INDEX($V$5:$V$448,MATCH(ROWS($B$5:B431),$W$5:$W$448,0)),"")</f>
        <v/>
      </c>
      <c r="C431" s="265" t="str">
        <f>IF($B431="","",COUNTIF(Jan[Resident Name],$B431))</f>
        <v/>
      </c>
      <c r="D431" s="265" t="str">
        <f>IF($B431="","",COUNTIF(Feb[Resident Name],$B431))</f>
        <v/>
      </c>
      <c r="E431" s="265" t="str">
        <f>IF($B431="","",COUNTIF(Mar[Resident Name],$B431))</f>
        <v/>
      </c>
      <c r="F431" s="265" t="str">
        <f>IF($B431="","",COUNTIF(Apr[Resident Name],$B431))</f>
        <v/>
      </c>
      <c r="G431" s="265" t="str">
        <f>IF($B431="","",COUNTIF(May[Resident Name],$B431))</f>
        <v/>
      </c>
      <c r="H431" s="265" t="str">
        <f>IF($B431="","",COUNTIF(June[Resident Name],$B431))</f>
        <v/>
      </c>
      <c r="I431" s="265" t="str">
        <f>IF($B431="","",COUNTIF(July[Resident Name],$B431))</f>
        <v/>
      </c>
      <c r="J431" s="265" t="str">
        <f>IF($B431="","",COUNTIF(Aug[Resident Name],$B431))</f>
        <v/>
      </c>
      <c r="K431" s="265" t="str">
        <f>IF($B431="","",COUNTIF(Sept[Resident Name],$B431))</f>
        <v/>
      </c>
      <c r="L431" s="265" t="str">
        <f>IF($B431="","",COUNTIF(Oct[Resident Name],$B431))</f>
        <v/>
      </c>
      <c r="M431" s="265" t="str">
        <f>IF($B431="","",COUNTIF(Nov[Resident Name],$B431))</f>
        <v/>
      </c>
      <c r="N431" s="265" t="str">
        <f>IF($B431="","",COUNTIF(Dec[Resident Name],$B431))</f>
        <v/>
      </c>
      <c r="O431" s="265" t="str">
        <f t="shared" si="12"/>
        <v/>
      </c>
      <c r="P431" s="11"/>
      <c r="R431" s="160" t="str">
        <f>IFERROR(INDEX($B$5:$B$172,MATCH(ROWS($R$5:R431),$X$5:$X$172,0)),"")</f>
        <v/>
      </c>
      <c r="S431" s="76" t="str">
        <f>IF($R431="","",INDEX($O$5:$O$172,MATCH(ROWS($R$5:R431),$X$5:$X$172,0)))</f>
        <v/>
      </c>
      <c r="U431" s="160" t="str">
        <f>IFERROR(INDEX($Z$5:$Z$448,MATCH(ROWS($U$5:U431),$AA$5:$AA$448,0)),"")</f>
        <v/>
      </c>
      <c r="V431" s="274" t="str">
        <f>IF(Dec!C23="","",Dec!C23)</f>
        <v/>
      </c>
      <c r="W431" s="274" t="str" cm="1">
        <f t="array" ref="W431">IF(V431="","",IF(COUNTIF($V$5:V431,V431)&gt;1,"",ROUND(1+SUMPRODUCT(($V$5:$V$448&lt;&gt;"")*($V$5:$V$448&lt;V431)/COUNTIF($V$5:$V$448,$V$5:$V$448&amp;"")),0)))</f>
        <v/>
      </c>
      <c r="X431" s="274"/>
      <c r="Z431" s="274" t="str">
        <f>IF(Dec!H23="Major Injury",Dec!C23,"")</f>
        <v/>
      </c>
      <c r="AA431" s="274" t="str" cm="1">
        <f t="array" ref="AA431">IF(Z431="","",IF(COUNTIF($Z$5:Z431,Z431)&gt;1,"",ROUND(1+SUMPRODUCT(($Z$5:$Z$448&lt;&gt;"")*($Z$5:$Z$448&lt;Z431)/COUNTIF($Z$5:$Z$448,$Z$5:$Z$448&amp;"")),0)))</f>
        <v/>
      </c>
    </row>
    <row r="432" spans="2:27" x14ac:dyDescent="0.25">
      <c r="B432" s="160" t="str">
        <f>IFERROR(INDEX($V$5:$V$448,MATCH(ROWS($B$5:B432),$W$5:$W$448,0)),"")</f>
        <v/>
      </c>
      <c r="C432" s="265" t="str">
        <f>IF($B432="","",COUNTIF(Jan[Resident Name],$B432))</f>
        <v/>
      </c>
      <c r="D432" s="265" t="str">
        <f>IF($B432="","",COUNTIF(Feb[Resident Name],$B432))</f>
        <v/>
      </c>
      <c r="E432" s="265" t="str">
        <f>IF($B432="","",COUNTIF(Mar[Resident Name],$B432))</f>
        <v/>
      </c>
      <c r="F432" s="265" t="str">
        <f>IF($B432="","",COUNTIF(Apr[Resident Name],$B432))</f>
        <v/>
      </c>
      <c r="G432" s="265" t="str">
        <f>IF($B432="","",COUNTIF(May[Resident Name],$B432))</f>
        <v/>
      </c>
      <c r="H432" s="265" t="str">
        <f>IF($B432="","",COUNTIF(June[Resident Name],$B432))</f>
        <v/>
      </c>
      <c r="I432" s="265" t="str">
        <f>IF($B432="","",COUNTIF(July[Resident Name],$B432))</f>
        <v/>
      </c>
      <c r="J432" s="265" t="str">
        <f>IF($B432="","",COUNTIF(Aug[Resident Name],$B432))</f>
        <v/>
      </c>
      <c r="K432" s="265" t="str">
        <f>IF($B432="","",COUNTIF(Sept[Resident Name],$B432))</f>
        <v/>
      </c>
      <c r="L432" s="265" t="str">
        <f>IF($B432="","",COUNTIF(Oct[Resident Name],$B432))</f>
        <v/>
      </c>
      <c r="M432" s="265" t="str">
        <f>IF($B432="","",COUNTIF(Nov[Resident Name],$B432))</f>
        <v/>
      </c>
      <c r="N432" s="265" t="str">
        <f>IF($B432="","",COUNTIF(Dec[Resident Name],$B432))</f>
        <v/>
      </c>
      <c r="O432" s="265" t="str">
        <f t="shared" si="12"/>
        <v/>
      </c>
      <c r="P432" s="11"/>
      <c r="R432" s="160" t="str">
        <f>IFERROR(INDEX($B$5:$B$172,MATCH(ROWS($R$5:R432),$X$5:$X$172,0)),"")</f>
        <v/>
      </c>
      <c r="S432" s="76" t="str">
        <f>IF($R432="","",INDEX($O$5:$O$172,MATCH(ROWS($R$5:R432),$X$5:$X$172,0)))</f>
        <v/>
      </c>
      <c r="U432" s="160" t="str">
        <f>IFERROR(INDEX($Z$5:$Z$448,MATCH(ROWS($U$5:U432),$AA$5:$AA$448,0)),"")</f>
        <v/>
      </c>
      <c r="V432" s="274" t="str">
        <f>IF(Dec!C24="","",Dec!C24)</f>
        <v/>
      </c>
      <c r="W432" s="274" t="str" cm="1">
        <f t="array" ref="W432">IF(V432="","",IF(COUNTIF($V$5:V432,V432)&gt;1,"",ROUND(1+SUMPRODUCT(($V$5:$V$448&lt;&gt;"")*($V$5:$V$448&lt;V432)/COUNTIF($V$5:$V$448,$V$5:$V$448&amp;"")),0)))</f>
        <v/>
      </c>
      <c r="X432" s="274"/>
      <c r="Z432" s="274" t="str">
        <f>IF(Dec!H24="Major Injury",Dec!C24,"")</f>
        <v/>
      </c>
      <c r="AA432" s="274" t="str" cm="1">
        <f t="array" ref="AA432">IF(Z432="","",IF(COUNTIF($Z$5:Z432,Z432)&gt;1,"",ROUND(1+SUMPRODUCT(($Z$5:$Z$448&lt;&gt;"")*($Z$5:$Z$448&lt;Z432)/COUNTIF($Z$5:$Z$448,$Z$5:$Z$448&amp;"")),0)))</f>
        <v/>
      </c>
    </row>
    <row r="433" spans="2:27" x14ac:dyDescent="0.25">
      <c r="B433" s="160" t="str">
        <f>IFERROR(INDEX($V$5:$V$448,MATCH(ROWS($B$5:B433),$W$5:$W$448,0)),"")</f>
        <v/>
      </c>
      <c r="C433" s="265" t="str">
        <f>IF($B433="","",COUNTIF(Jan[Resident Name],$B433))</f>
        <v/>
      </c>
      <c r="D433" s="265" t="str">
        <f>IF($B433="","",COUNTIF(Feb[Resident Name],$B433))</f>
        <v/>
      </c>
      <c r="E433" s="265" t="str">
        <f>IF($B433="","",COUNTIF(Mar[Resident Name],$B433))</f>
        <v/>
      </c>
      <c r="F433" s="265" t="str">
        <f>IF($B433="","",COUNTIF(Apr[Resident Name],$B433))</f>
        <v/>
      </c>
      <c r="G433" s="265" t="str">
        <f>IF($B433="","",COUNTIF(May[Resident Name],$B433))</f>
        <v/>
      </c>
      <c r="H433" s="265" t="str">
        <f>IF($B433="","",COUNTIF(June[Resident Name],$B433))</f>
        <v/>
      </c>
      <c r="I433" s="265" t="str">
        <f>IF($B433="","",COUNTIF(July[Resident Name],$B433))</f>
        <v/>
      </c>
      <c r="J433" s="265" t="str">
        <f>IF($B433="","",COUNTIF(Aug[Resident Name],$B433))</f>
        <v/>
      </c>
      <c r="K433" s="265" t="str">
        <f>IF($B433="","",COUNTIF(Sept[Resident Name],$B433))</f>
        <v/>
      </c>
      <c r="L433" s="265" t="str">
        <f>IF($B433="","",COUNTIF(Oct[Resident Name],$B433))</f>
        <v/>
      </c>
      <c r="M433" s="265" t="str">
        <f>IF($B433="","",COUNTIF(Nov[Resident Name],$B433))</f>
        <v/>
      </c>
      <c r="N433" s="265" t="str">
        <f>IF($B433="","",COUNTIF(Dec[Resident Name],$B433))</f>
        <v/>
      </c>
      <c r="O433" s="265" t="str">
        <f t="shared" si="12"/>
        <v/>
      </c>
      <c r="P433" s="11"/>
      <c r="R433" s="160" t="str">
        <f>IFERROR(INDEX($B$5:$B$172,MATCH(ROWS($R$5:R433),$X$5:$X$172,0)),"")</f>
        <v/>
      </c>
      <c r="S433" s="76" t="str">
        <f>IF($R433="","",INDEX($O$5:$O$172,MATCH(ROWS($R$5:R433),$X$5:$X$172,0)))</f>
        <v/>
      </c>
      <c r="U433" s="160" t="str">
        <f>IFERROR(INDEX($Z$5:$Z$448,MATCH(ROWS($U$5:U433),$AA$5:$AA$448,0)),"")</f>
        <v/>
      </c>
      <c r="V433" s="274" t="str">
        <f>IF(Dec!C25="","",Dec!C25)</f>
        <v/>
      </c>
      <c r="W433" s="274" t="str" cm="1">
        <f t="array" ref="W433">IF(V433="","",IF(COUNTIF($V$5:V433,V433)&gt;1,"",ROUND(1+SUMPRODUCT(($V$5:$V$448&lt;&gt;"")*($V$5:$V$448&lt;V433)/COUNTIF($V$5:$V$448,$V$5:$V$448&amp;"")),0)))</f>
        <v/>
      </c>
      <c r="X433" s="274"/>
      <c r="Z433" s="274" t="str">
        <f>IF(Dec!H25="Major Injury",Dec!C25,"")</f>
        <v/>
      </c>
      <c r="AA433" s="274" t="str" cm="1">
        <f t="array" ref="AA433">IF(Z433="","",IF(COUNTIF($Z$5:Z433,Z433)&gt;1,"",ROUND(1+SUMPRODUCT(($Z$5:$Z$448&lt;&gt;"")*($Z$5:$Z$448&lt;Z433)/COUNTIF($Z$5:$Z$448,$Z$5:$Z$448&amp;"")),0)))</f>
        <v/>
      </c>
    </row>
    <row r="434" spans="2:27" x14ac:dyDescent="0.25">
      <c r="B434" s="160" t="str">
        <f>IFERROR(INDEX($V$5:$V$448,MATCH(ROWS($B$5:B434),$W$5:$W$448,0)),"")</f>
        <v/>
      </c>
      <c r="C434" s="265" t="str">
        <f>IF($B434="","",COUNTIF(Jan[Resident Name],$B434))</f>
        <v/>
      </c>
      <c r="D434" s="265" t="str">
        <f>IF($B434="","",COUNTIF(Feb[Resident Name],$B434))</f>
        <v/>
      </c>
      <c r="E434" s="265" t="str">
        <f>IF($B434="","",COUNTIF(Mar[Resident Name],$B434))</f>
        <v/>
      </c>
      <c r="F434" s="265" t="str">
        <f>IF($B434="","",COUNTIF(Apr[Resident Name],$B434))</f>
        <v/>
      </c>
      <c r="G434" s="265" t="str">
        <f>IF($B434="","",COUNTIF(May[Resident Name],$B434))</f>
        <v/>
      </c>
      <c r="H434" s="265" t="str">
        <f>IF($B434="","",COUNTIF(June[Resident Name],$B434))</f>
        <v/>
      </c>
      <c r="I434" s="265" t="str">
        <f>IF($B434="","",COUNTIF(July[Resident Name],$B434))</f>
        <v/>
      </c>
      <c r="J434" s="265" t="str">
        <f>IF($B434="","",COUNTIF(Aug[Resident Name],$B434))</f>
        <v/>
      </c>
      <c r="K434" s="265" t="str">
        <f>IF($B434="","",COUNTIF(Sept[Resident Name],$B434))</f>
        <v/>
      </c>
      <c r="L434" s="265" t="str">
        <f>IF($B434="","",COUNTIF(Oct[Resident Name],$B434))</f>
        <v/>
      </c>
      <c r="M434" s="265" t="str">
        <f>IF($B434="","",COUNTIF(Nov[Resident Name],$B434))</f>
        <v/>
      </c>
      <c r="N434" s="265" t="str">
        <f>IF($B434="","",COUNTIF(Dec[Resident Name],$B434))</f>
        <v/>
      </c>
      <c r="O434" s="265" t="str">
        <f t="shared" si="12"/>
        <v/>
      </c>
      <c r="P434" s="11"/>
      <c r="R434" s="160" t="str">
        <f>IFERROR(INDEX($B$5:$B$172,MATCH(ROWS($R$5:R434),$X$5:$X$172,0)),"")</f>
        <v/>
      </c>
      <c r="S434" s="76" t="str">
        <f>IF($R434="","",INDEX($O$5:$O$172,MATCH(ROWS($R$5:R434),$X$5:$X$172,0)))</f>
        <v/>
      </c>
      <c r="U434" s="160" t="str">
        <f>IFERROR(INDEX($Z$5:$Z$448,MATCH(ROWS($U$5:U434),$AA$5:$AA$448,0)),"")</f>
        <v/>
      </c>
      <c r="V434" s="274" t="str">
        <f>IF(Dec!C26="","",Dec!C26)</f>
        <v/>
      </c>
      <c r="W434" s="274" t="str" cm="1">
        <f t="array" ref="W434">IF(V434="","",IF(COUNTIF($V$5:V434,V434)&gt;1,"",ROUND(1+SUMPRODUCT(($V$5:$V$448&lt;&gt;"")*($V$5:$V$448&lt;V434)/COUNTIF($V$5:$V$448,$V$5:$V$448&amp;"")),0)))</f>
        <v/>
      </c>
      <c r="X434" s="274"/>
      <c r="Z434" s="274" t="str">
        <f>IF(Dec!H26="Major Injury",Dec!C26,"")</f>
        <v/>
      </c>
      <c r="AA434" s="274" t="str" cm="1">
        <f t="array" ref="AA434">IF(Z434="","",IF(COUNTIF($Z$5:Z434,Z434)&gt;1,"",ROUND(1+SUMPRODUCT(($Z$5:$Z$448&lt;&gt;"")*($Z$5:$Z$448&lt;Z434)/COUNTIF($Z$5:$Z$448,$Z$5:$Z$448&amp;"")),0)))</f>
        <v/>
      </c>
    </row>
    <row r="435" spans="2:27" x14ac:dyDescent="0.25">
      <c r="B435" s="160" t="str">
        <f>IFERROR(INDEX($V$5:$V$448,MATCH(ROWS($B$5:B435),$W$5:$W$448,0)),"")</f>
        <v/>
      </c>
      <c r="C435" s="265" t="str">
        <f>IF($B435="","",COUNTIF(Jan[Resident Name],$B435))</f>
        <v/>
      </c>
      <c r="D435" s="265" t="str">
        <f>IF($B435="","",COUNTIF(Feb[Resident Name],$B435))</f>
        <v/>
      </c>
      <c r="E435" s="265" t="str">
        <f>IF($B435="","",COUNTIF(Mar[Resident Name],$B435))</f>
        <v/>
      </c>
      <c r="F435" s="265" t="str">
        <f>IF($B435="","",COUNTIF(Apr[Resident Name],$B435))</f>
        <v/>
      </c>
      <c r="G435" s="265" t="str">
        <f>IF($B435="","",COUNTIF(May[Resident Name],$B435))</f>
        <v/>
      </c>
      <c r="H435" s="265" t="str">
        <f>IF($B435="","",COUNTIF(June[Resident Name],$B435))</f>
        <v/>
      </c>
      <c r="I435" s="265" t="str">
        <f>IF($B435="","",COUNTIF(July[Resident Name],$B435))</f>
        <v/>
      </c>
      <c r="J435" s="265" t="str">
        <f>IF($B435="","",COUNTIF(Aug[Resident Name],$B435))</f>
        <v/>
      </c>
      <c r="K435" s="265" t="str">
        <f>IF($B435="","",COUNTIF(Sept[Resident Name],$B435))</f>
        <v/>
      </c>
      <c r="L435" s="265" t="str">
        <f>IF($B435="","",COUNTIF(Oct[Resident Name],$B435))</f>
        <v/>
      </c>
      <c r="M435" s="265" t="str">
        <f>IF($B435="","",COUNTIF(Nov[Resident Name],$B435))</f>
        <v/>
      </c>
      <c r="N435" s="265" t="str">
        <f>IF($B435="","",COUNTIF(Dec[Resident Name],$B435))</f>
        <v/>
      </c>
      <c r="O435" s="265" t="str">
        <f t="shared" si="12"/>
        <v/>
      </c>
      <c r="P435" s="11"/>
      <c r="R435" s="160" t="str">
        <f>IFERROR(INDEX($B$5:$B$172,MATCH(ROWS($R$5:R435),$X$5:$X$172,0)),"")</f>
        <v/>
      </c>
      <c r="S435" s="76" t="str">
        <f>IF($R435="","",INDEX($O$5:$O$172,MATCH(ROWS($R$5:R435),$X$5:$X$172,0)))</f>
        <v/>
      </c>
      <c r="U435" s="160" t="str">
        <f>IFERROR(INDEX($Z$5:$Z$448,MATCH(ROWS($U$5:U435),$AA$5:$AA$448,0)),"")</f>
        <v/>
      </c>
      <c r="V435" s="274" t="str">
        <f>IF(Dec!C27="","",Dec!C27)</f>
        <v/>
      </c>
      <c r="W435" s="274" t="str" cm="1">
        <f t="array" ref="W435">IF(V435="","",IF(COUNTIF($V$5:V435,V435)&gt;1,"",ROUND(1+SUMPRODUCT(($V$5:$V$448&lt;&gt;"")*($V$5:$V$448&lt;V435)/COUNTIF($V$5:$V$448,$V$5:$V$448&amp;"")),0)))</f>
        <v/>
      </c>
      <c r="X435" s="274"/>
      <c r="Z435" s="274" t="str">
        <f>IF(Dec!H27="Major Injury",Dec!C27,"")</f>
        <v/>
      </c>
      <c r="AA435" s="274" t="str" cm="1">
        <f t="array" ref="AA435">IF(Z435="","",IF(COUNTIF($Z$5:Z435,Z435)&gt;1,"",ROUND(1+SUMPRODUCT(($Z$5:$Z$448&lt;&gt;"")*($Z$5:$Z$448&lt;Z435)/COUNTIF($Z$5:$Z$448,$Z$5:$Z$448&amp;"")),0)))</f>
        <v/>
      </c>
    </row>
    <row r="436" spans="2:27" x14ac:dyDescent="0.25">
      <c r="B436" s="160" t="str">
        <f>IFERROR(INDEX($V$5:$V$448,MATCH(ROWS($B$5:B436),$W$5:$W$448,0)),"")</f>
        <v/>
      </c>
      <c r="C436" s="265" t="str">
        <f>IF($B436="","",COUNTIF(Jan[Resident Name],$B436))</f>
        <v/>
      </c>
      <c r="D436" s="265" t="str">
        <f>IF($B436="","",COUNTIF(Feb[Resident Name],$B436))</f>
        <v/>
      </c>
      <c r="E436" s="265" t="str">
        <f>IF($B436="","",COUNTIF(Mar[Resident Name],$B436))</f>
        <v/>
      </c>
      <c r="F436" s="265" t="str">
        <f>IF($B436="","",COUNTIF(Apr[Resident Name],$B436))</f>
        <v/>
      </c>
      <c r="G436" s="265" t="str">
        <f>IF($B436="","",COUNTIF(May[Resident Name],$B436))</f>
        <v/>
      </c>
      <c r="H436" s="265" t="str">
        <f>IF($B436="","",COUNTIF(June[Resident Name],$B436))</f>
        <v/>
      </c>
      <c r="I436" s="265" t="str">
        <f>IF($B436="","",COUNTIF(July[Resident Name],$B436))</f>
        <v/>
      </c>
      <c r="J436" s="265" t="str">
        <f>IF($B436="","",COUNTIF(Aug[Resident Name],$B436))</f>
        <v/>
      </c>
      <c r="K436" s="265" t="str">
        <f>IF($B436="","",COUNTIF(Sept[Resident Name],$B436))</f>
        <v/>
      </c>
      <c r="L436" s="265" t="str">
        <f>IF($B436="","",COUNTIF(Oct[Resident Name],$B436))</f>
        <v/>
      </c>
      <c r="M436" s="265" t="str">
        <f>IF($B436="","",COUNTIF(Nov[Resident Name],$B436))</f>
        <v/>
      </c>
      <c r="N436" s="265" t="str">
        <f>IF($B436="","",COUNTIF(Dec[Resident Name],$B436))</f>
        <v/>
      </c>
      <c r="O436" s="265" t="str">
        <f t="shared" si="12"/>
        <v/>
      </c>
      <c r="P436" s="11"/>
      <c r="R436" s="160" t="str">
        <f>IFERROR(INDEX($B$5:$B$172,MATCH(ROWS($R$5:R436),$X$5:$X$172,0)),"")</f>
        <v/>
      </c>
      <c r="S436" s="76" t="str">
        <f>IF($R436="","",INDEX($O$5:$O$172,MATCH(ROWS($R$5:R436),$X$5:$X$172,0)))</f>
        <v/>
      </c>
      <c r="U436" s="160" t="str">
        <f>IFERROR(INDEX($Z$5:$Z$448,MATCH(ROWS($U$5:U436),$AA$5:$AA$448,0)),"")</f>
        <v/>
      </c>
      <c r="V436" s="274" t="str">
        <f>IF(Dec!C28="","",Dec!C28)</f>
        <v/>
      </c>
      <c r="W436" s="274" t="str" cm="1">
        <f t="array" ref="W436">IF(V436="","",IF(COUNTIF($V$5:V436,V436)&gt;1,"",ROUND(1+SUMPRODUCT(($V$5:$V$448&lt;&gt;"")*($V$5:$V$448&lt;V436)/COUNTIF($V$5:$V$448,$V$5:$V$448&amp;"")),0)))</f>
        <v/>
      </c>
      <c r="X436" s="274"/>
      <c r="Z436" s="274" t="str">
        <f>IF(Dec!H28="Major Injury",Dec!C28,"")</f>
        <v/>
      </c>
      <c r="AA436" s="274" t="str" cm="1">
        <f t="array" ref="AA436">IF(Z436="","",IF(COUNTIF($Z$5:Z436,Z436)&gt;1,"",ROUND(1+SUMPRODUCT(($Z$5:$Z$448&lt;&gt;"")*($Z$5:$Z$448&lt;Z436)/COUNTIF($Z$5:$Z$448,$Z$5:$Z$448&amp;"")),0)))</f>
        <v/>
      </c>
    </row>
    <row r="437" spans="2:27" x14ac:dyDescent="0.25">
      <c r="B437" s="160" t="str">
        <f>IFERROR(INDEX($V$5:$V$448,MATCH(ROWS($B$5:B437),$W$5:$W$448,0)),"")</f>
        <v/>
      </c>
      <c r="C437" s="265" t="str">
        <f>IF($B437="","",COUNTIF(Jan[Resident Name],$B437))</f>
        <v/>
      </c>
      <c r="D437" s="265" t="str">
        <f>IF($B437="","",COUNTIF(Feb[Resident Name],$B437))</f>
        <v/>
      </c>
      <c r="E437" s="265" t="str">
        <f>IF($B437="","",COUNTIF(Mar[Resident Name],$B437))</f>
        <v/>
      </c>
      <c r="F437" s="265" t="str">
        <f>IF($B437="","",COUNTIF(Apr[Resident Name],$B437))</f>
        <v/>
      </c>
      <c r="G437" s="265" t="str">
        <f>IF($B437="","",COUNTIF(May[Resident Name],$B437))</f>
        <v/>
      </c>
      <c r="H437" s="265" t="str">
        <f>IF($B437="","",COUNTIF(June[Resident Name],$B437))</f>
        <v/>
      </c>
      <c r="I437" s="265" t="str">
        <f>IF($B437="","",COUNTIF(July[Resident Name],$B437))</f>
        <v/>
      </c>
      <c r="J437" s="265" t="str">
        <f>IF($B437="","",COUNTIF(Aug[Resident Name],$B437))</f>
        <v/>
      </c>
      <c r="K437" s="265" t="str">
        <f>IF($B437="","",COUNTIF(Sept[Resident Name],$B437))</f>
        <v/>
      </c>
      <c r="L437" s="265" t="str">
        <f>IF($B437="","",COUNTIF(Oct[Resident Name],$B437))</f>
        <v/>
      </c>
      <c r="M437" s="265" t="str">
        <f>IF($B437="","",COUNTIF(Nov[Resident Name],$B437))</f>
        <v/>
      </c>
      <c r="N437" s="265" t="str">
        <f>IF($B437="","",COUNTIF(Dec[Resident Name],$B437))</f>
        <v/>
      </c>
      <c r="O437" s="265" t="str">
        <f t="shared" si="12"/>
        <v/>
      </c>
      <c r="P437" s="11"/>
      <c r="R437" s="160" t="str">
        <f>IFERROR(INDEX($B$5:$B$172,MATCH(ROWS($R$5:R437),$X$5:$X$172,0)),"")</f>
        <v/>
      </c>
      <c r="S437" s="76" t="str">
        <f>IF($R437="","",INDEX($O$5:$O$172,MATCH(ROWS($R$5:R437),$X$5:$X$172,0)))</f>
        <v/>
      </c>
      <c r="U437" s="160" t="str">
        <f>IFERROR(INDEX($Z$5:$Z$448,MATCH(ROWS($U$5:U437),$AA$5:$AA$448,0)),"")</f>
        <v/>
      </c>
      <c r="V437" s="274" t="str">
        <f>IF(Dec!C29="","",Dec!C29)</f>
        <v/>
      </c>
      <c r="W437" s="274" t="str" cm="1">
        <f t="array" ref="W437">IF(V437="","",IF(COUNTIF($V$5:V437,V437)&gt;1,"",ROUND(1+SUMPRODUCT(($V$5:$V$448&lt;&gt;"")*($V$5:$V$448&lt;V437)/COUNTIF($V$5:$V$448,$V$5:$V$448&amp;"")),0)))</f>
        <v/>
      </c>
      <c r="X437" s="274"/>
      <c r="Z437" s="274" t="str">
        <f>IF(Dec!H29="Major Injury",Dec!C29,"")</f>
        <v/>
      </c>
      <c r="AA437" s="274" t="str" cm="1">
        <f t="array" ref="AA437">IF(Z437="","",IF(COUNTIF($Z$5:Z437,Z437)&gt;1,"",ROUND(1+SUMPRODUCT(($Z$5:$Z$448&lt;&gt;"")*($Z$5:$Z$448&lt;Z437)/COUNTIF($Z$5:$Z$448,$Z$5:$Z$448&amp;"")),0)))</f>
        <v/>
      </c>
    </row>
    <row r="438" spans="2:27" x14ac:dyDescent="0.25">
      <c r="B438" s="160" t="str">
        <f>IFERROR(INDEX($V$5:$V$448,MATCH(ROWS($B$5:B438),$W$5:$W$448,0)),"")</f>
        <v/>
      </c>
      <c r="C438" s="265" t="str">
        <f>IF($B438="","",COUNTIF(Jan[Resident Name],$B438))</f>
        <v/>
      </c>
      <c r="D438" s="265" t="str">
        <f>IF($B438="","",COUNTIF(Feb[Resident Name],$B438))</f>
        <v/>
      </c>
      <c r="E438" s="265" t="str">
        <f>IF($B438="","",COUNTIF(Mar[Resident Name],$B438))</f>
        <v/>
      </c>
      <c r="F438" s="265" t="str">
        <f>IF($B438="","",COUNTIF(Apr[Resident Name],$B438))</f>
        <v/>
      </c>
      <c r="G438" s="265" t="str">
        <f>IF($B438="","",COUNTIF(May[Resident Name],$B438))</f>
        <v/>
      </c>
      <c r="H438" s="265" t="str">
        <f>IF($B438="","",COUNTIF(June[Resident Name],$B438))</f>
        <v/>
      </c>
      <c r="I438" s="265" t="str">
        <f>IF($B438="","",COUNTIF(July[Resident Name],$B438))</f>
        <v/>
      </c>
      <c r="J438" s="265" t="str">
        <f>IF($B438="","",COUNTIF(Aug[Resident Name],$B438))</f>
        <v/>
      </c>
      <c r="K438" s="265" t="str">
        <f>IF($B438="","",COUNTIF(Sept[Resident Name],$B438))</f>
        <v/>
      </c>
      <c r="L438" s="265" t="str">
        <f>IF($B438="","",COUNTIF(Oct[Resident Name],$B438))</f>
        <v/>
      </c>
      <c r="M438" s="265" t="str">
        <f>IF($B438="","",COUNTIF(Nov[Resident Name],$B438))</f>
        <v/>
      </c>
      <c r="N438" s="265" t="str">
        <f>IF($B438="","",COUNTIF(Dec[Resident Name],$B438))</f>
        <v/>
      </c>
      <c r="O438" s="265" t="str">
        <f t="shared" si="12"/>
        <v/>
      </c>
      <c r="P438" s="11"/>
      <c r="R438" s="160" t="str">
        <f>IFERROR(INDEX($B$5:$B$172,MATCH(ROWS($R$5:R438),$X$5:$X$172,0)),"")</f>
        <v/>
      </c>
      <c r="S438" s="76" t="str">
        <f>IF($R438="","",INDEX($O$5:$O$172,MATCH(ROWS($R$5:R438),$X$5:$X$172,0)))</f>
        <v/>
      </c>
      <c r="U438" s="160" t="str">
        <f>IFERROR(INDEX($Z$5:$Z$448,MATCH(ROWS($U$5:U438),$AA$5:$AA$448,0)),"")</f>
        <v/>
      </c>
      <c r="V438" s="274" t="str">
        <f>IF(Dec!C30="","",Dec!C30)</f>
        <v/>
      </c>
      <c r="W438" s="274" t="str" cm="1">
        <f t="array" ref="W438">IF(V438="","",IF(COUNTIF($V$5:V438,V438)&gt;1,"",ROUND(1+SUMPRODUCT(($V$5:$V$448&lt;&gt;"")*($V$5:$V$448&lt;V438)/COUNTIF($V$5:$V$448,$V$5:$V$448&amp;"")),0)))</f>
        <v/>
      </c>
      <c r="X438" s="274"/>
      <c r="Z438" s="274" t="str">
        <f>IF(Dec!H30="Major Injury",Dec!C30,"")</f>
        <v/>
      </c>
      <c r="AA438" s="274" t="str" cm="1">
        <f t="array" ref="AA438">IF(Z438="","",IF(COUNTIF($Z$5:Z438,Z438)&gt;1,"",ROUND(1+SUMPRODUCT(($Z$5:$Z$448&lt;&gt;"")*($Z$5:$Z$448&lt;Z438)/COUNTIF($Z$5:$Z$448,$Z$5:$Z$448&amp;"")),0)))</f>
        <v/>
      </c>
    </row>
    <row r="439" spans="2:27" x14ac:dyDescent="0.25">
      <c r="B439" s="160" t="str">
        <f>IFERROR(INDEX($V$5:$V$448,MATCH(ROWS($B$5:B439),$W$5:$W$448,0)),"")</f>
        <v/>
      </c>
      <c r="C439" s="265" t="str">
        <f>IF($B439="","",COUNTIF(Jan[Resident Name],$B439))</f>
        <v/>
      </c>
      <c r="D439" s="265" t="str">
        <f>IF($B439="","",COUNTIF(Feb[Resident Name],$B439))</f>
        <v/>
      </c>
      <c r="E439" s="265" t="str">
        <f>IF($B439="","",COUNTIF(Mar[Resident Name],$B439))</f>
        <v/>
      </c>
      <c r="F439" s="265" t="str">
        <f>IF($B439="","",COUNTIF(Apr[Resident Name],$B439))</f>
        <v/>
      </c>
      <c r="G439" s="265" t="str">
        <f>IF($B439="","",COUNTIF(May[Resident Name],$B439))</f>
        <v/>
      </c>
      <c r="H439" s="265" t="str">
        <f>IF($B439="","",COUNTIF(June[Resident Name],$B439))</f>
        <v/>
      </c>
      <c r="I439" s="265" t="str">
        <f>IF($B439="","",COUNTIF(July[Resident Name],$B439))</f>
        <v/>
      </c>
      <c r="J439" s="265" t="str">
        <f>IF($B439="","",COUNTIF(Aug[Resident Name],$B439))</f>
        <v/>
      </c>
      <c r="K439" s="265" t="str">
        <f>IF($B439="","",COUNTIF(Sept[Resident Name],$B439))</f>
        <v/>
      </c>
      <c r="L439" s="265" t="str">
        <f>IF($B439="","",COUNTIF(Oct[Resident Name],$B439))</f>
        <v/>
      </c>
      <c r="M439" s="265" t="str">
        <f>IF($B439="","",COUNTIF(Nov[Resident Name],$B439))</f>
        <v/>
      </c>
      <c r="N439" s="265" t="str">
        <f>IF($B439="","",COUNTIF(Dec[Resident Name],$B439))</f>
        <v/>
      </c>
      <c r="O439" s="265" t="str">
        <f t="shared" si="12"/>
        <v/>
      </c>
      <c r="P439" s="11"/>
      <c r="R439" s="160" t="str">
        <f>IFERROR(INDEX($B$5:$B$172,MATCH(ROWS($R$5:R439),$X$5:$X$172,0)),"")</f>
        <v/>
      </c>
      <c r="S439" s="76" t="str">
        <f>IF($R439="","",INDEX($O$5:$O$172,MATCH(ROWS($R$5:R439),$X$5:$X$172,0)))</f>
        <v/>
      </c>
      <c r="U439" s="160" t="str">
        <f>IFERROR(INDEX($Z$5:$Z$448,MATCH(ROWS($U$5:U439),$AA$5:$AA$448,0)),"")</f>
        <v/>
      </c>
      <c r="V439" s="274" t="str">
        <f>IF(Dec!C31="","",Dec!C31)</f>
        <v/>
      </c>
      <c r="W439" s="274" t="str" cm="1">
        <f t="array" ref="W439">IF(V439="","",IF(COUNTIF($V$5:V439,V439)&gt;1,"",ROUND(1+SUMPRODUCT(($V$5:$V$448&lt;&gt;"")*($V$5:$V$448&lt;V439)/COUNTIF($V$5:$V$448,$V$5:$V$448&amp;"")),0)))</f>
        <v/>
      </c>
      <c r="X439" s="274"/>
      <c r="Z439" s="274" t="str">
        <f>IF(Dec!H31="Major Injury",Dec!C31,"")</f>
        <v/>
      </c>
      <c r="AA439" s="274" t="str" cm="1">
        <f t="array" ref="AA439">IF(Z439="","",IF(COUNTIF($Z$5:Z439,Z439)&gt;1,"",ROUND(1+SUMPRODUCT(($Z$5:$Z$448&lt;&gt;"")*($Z$5:$Z$448&lt;Z439)/COUNTIF($Z$5:$Z$448,$Z$5:$Z$448&amp;"")),0)))</f>
        <v/>
      </c>
    </row>
    <row r="440" spans="2:27" x14ac:dyDescent="0.25">
      <c r="B440" s="160" t="str">
        <f>IFERROR(INDEX($V$5:$V$448,MATCH(ROWS($B$5:B440),$W$5:$W$448,0)),"")</f>
        <v/>
      </c>
      <c r="C440" s="265" t="str">
        <f>IF($B440="","",COUNTIF(Jan[Resident Name],$B440))</f>
        <v/>
      </c>
      <c r="D440" s="265" t="str">
        <f>IF($B440="","",COUNTIF(Feb[Resident Name],$B440))</f>
        <v/>
      </c>
      <c r="E440" s="265" t="str">
        <f>IF($B440="","",COUNTIF(Mar[Resident Name],$B440))</f>
        <v/>
      </c>
      <c r="F440" s="265" t="str">
        <f>IF($B440="","",COUNTIF(Apr[Resident Name],$B440))</f>
        <v/>
      </c>
      <c r="G440" s="265" t="str">
        <f>IF($B440="","",COUNTIF(May[Resident Name],$B440))</f>
        <v/>
      </c>
      <c r="H440" s="265" t="str">
        <f>IF($B440="","",COUNTIF(June[Resident Name],$B440))</f>
        <v/>
      </c>
      <c r="I440" s="265" t="str">
        <f>IF($B440="","",COUNTIF(July[Resident Name],$B440))</f>
        <v/>
      </c>
      <c r="J440" s="265" t="str">
        <f>IF($B440="","",COUNTIF(Aug[Resident Name],$B440))</f>
        <v/>
      </c>
      <c r="K440" s="265" t="str">
        <f>IF($B440="","",COUNTIF(Sept[Resident Name],$B440))</f>
        <v/>
      </c>
      <c r="L440" s="265" t="str">
        <f>IF($B440="","",COUNTIF(Oct[Resident Name],$B440))</f>
        <v/>
      </c>
      <c r="M440" s="265" t="str">
        <f>IF($B440="","",COUNTIF(Nov[Resident Name],$B440))</f>
        <v/>
      </c>
      <c r="N440" s="265" t="str">
        <f>IF($B440="","",COUNTIF(Dec[Resident Name],$B440))</f>
        <v/>
      </c>
      <c r="O440" s="265" t="str">
        <f t="shared" si="12"/>
        <v/>
      </c>
      <c r="P440" s="11"/>
      <c r="R440" s="160" t="str">
        <f>IFERROR(INDEX($B$5:$B$172,MATCH(ROWS($R$5:R440),$X$5:$X$172,0)),"")</f>
        <v/>
      </c>
      <c r="S440" s="76" t="str">
        <f>IF($R440="","",INDEX($O$5:$O$172,MATCH(ROWS($R$5:R440),$X$5:$X$172,0)))</f>
        <v/>
      </c>
      <c r="U440" s="160" t="str">
        <f>IFERROR(INDEX($Z$5:$Z$448,MATCH(ROWS($U$5:U440),$AA$5:$AA$448,0)),"")</f>
        <v/>
      </c>
      <c r="V440" s="274" t="str">
        <f>IF(Dec!C32="","",Dec!C32)</f>
        <v/>
      </c>
      <c r="W440" s="274" t="str" cm="1">
        <f t="array" ref="W440">IF(V440="","",IF(COUNTIF($V$5:V440,V440)&gt;1,"",ROUND(1+SUMPRODUCT(($V$5:$V$448&lt;&gt;"")*($V$5:$V$448&lt;V440)/COUNTIF($V$5:$V$448,$V$5:$V$448&amp;"")),0)))</f>
        <v/>
      </c>
      <c r="X440" s="274"/>
      <c r="Z440" s="274" t="str">
        <f>IF(Dec!H32="Major Injury",Dec!C32,"")</f>
        <v/>
      </c>
      <c r="AA440" s="274" t="str" cm="1">
        <f t="array" ref="AA440">IF(Z440="","",IF(COUNTIF($Z$5:Z440,Z440)&gt;1,"",ROUND(1+SUMPRODUCT(($Z$5:$Z$448&lt;&gt;"")*($Z$5:$Z$448&lt;Z440)/COUNTIF($Z$5:$Z$448,$Z$5:$Z$448&amp;"")),0)))</f>
        <v/>
      </c>
    </row>
    <row r="441" spans="2:27" x14ac:dyDescent="0.25">
      <c r="B441" s="160" t="str">
        <f>IFERROR(INDEX($V$5:$V$448,MATCH(ROWS($B$5:B441),$W$5:$W$448,0)),"")</f>
        <v/>
      </c>
      <c r="C441" s="265" t="str">
        <f>IF($B441="","",COUNTIF(Jan[Resident Name],$B441))</f>
        <v/>
      </c>
      <c r="D441" s="265" t="str">
        <f>IF($B441="","",COUNTIF(Feb[Resident Name],$B441))</f>
        <v/>
      </c>
      <c r="E441" s="265" t="str">
        <f>IF($B441="","",COUNTIF(Mar[Resident Name],$B441))</f>
        <v/>
      </c>
      <c r="F441" s="265" t="str">
        <f>IF($B441="","",COUNTIF(Apr[Resident Name],$B441))</f>
        <v/>
      </c>
      <c r="G441" s="265" t="str">
        <f>IF($B441="","",COUNTIF(May[Resident Name],$B441))</f>
        <v/>
      </c>
      <c r="H441" s="265" t="str">
        <f>IF($B441="","",COUNTIF(June[Resident Name],$B441))</f>
        <v/>
      </c>
      <c r="I441" s="265" t="str">
        <f>IF($B441="","",COUNTIF(July[Resident Name],$B441))</f>
        <v/>
      </c>
      <c r="J441" s="265" t="str">
        <f>IF($B441="","",COUNTIF(Aug[Resident Name],$B441))</f>
        <v/>
      </c>
      <c r="K441" s="265" t="str">
        <f>IF($B441="","",COUNTIF(Sept[Resident Name],$B441))</f>
        <v/>
      </c>
      <c r="L441" s="265" t="str">
        <f>IF($B441="","",COUNTIF(Oct[Resident Name],$B441))</f>
        <v/>
      </c>
      <c r="M441" s="265" t="str">
        <f>IF($B441="","",COUNTIF(Nov[Resident Name],$B441))</f>
        <v/>
      </c>
      <c r="N441" s="265" t="str">
        <f>IF($B441="","",COUNTIF(Dec[Resident Name],$B441))</f>
        <v/>
      </c>
      <c r="O441" s="265" t="str">
        <f t="shared" si="12"/>
        <v/>
      </c>
      <c r="P441" s="11"/>
      <c r="R441" s="160" t="str">
        <f>IFERROR(INDEX($B$5:$B$172,MATCH(ROWS($R$5:R441),$X$5:$X$172,0)),"")</f>
        <v/>
      </c>
      <c r="S441" s="76" t="str">
        <f>IF($R441="","",INDEX($O$5:$O$172,MATCH(ROWS($R$5:R441),$X$5:$X$172,0)))</f>
        <v/>
      </c>
      <c r="U441" s="160" t="str">
        <f>IFERROR(INDEX($Z$5:$Z$448,MATCH(ROWS($U$5:U441),$AA$5:$AA$448,0)),"")</f>
        <v/>
      </c>
      <c r="V441" s="274" t="str">
        <f>IF(Dec!C33="","",Dec!C33)</f>
        <v/>
      </c>
      <c r="W441" s="274" t="str" cm="1">
        <f t="array" ref="W441">IF(V441="","",IF(COUNTIF($V$5:V441,V441)&gt;1,"",ROUND(1+SUMPRODUCT(($V$5:$V$448&lt;&gt;"")*($V$5:$V$448&lt;V441)/COUNTIF($V$5:$V$448,$V$5:$V$448&amp;"")),0)))</f>
        <v/>
      </c>
      <c r="X441" s="274"/>
      <c r="Z441" s="274" t="str">
        <f>IF(Dec!H33="Major Injury",Dec!C33,"")</f>
        <v/>
      </c>
      <c r="AA441" s="274" t="str" cm="1">
        <f t="array" ref="AA441">IF(Z441="","",IF(COUNTIF($Z$5:Z441,Z441)&gt;1,"",ROUND(1+SUMPRODUCT(($Z$5:$Z$448&lt;&gt;"")*($Z$5:$Z$448&lt;Z441)/COUNTIF($Z$5:$Z$448,$Z$5:$Z$448&amp;"")),0)))</f>
        <v/>
      </c>
    </row>
    <row r="442" spans="2:27" x14ac:dyDescent="0.25">
      <c r="B442" s="160" t="str">
        <f>IFERROR(INDEX($V$5:$V$448,MATCH(ROWS($B$5:B442),$W$5:$W$448,0)),"")</f>
        <v/>
      </c>
      <c r="C442" s="265" t="str">
        <f>IF($B442="","",COUNTIF(Jan[Resident Name],$B442))</f>
        <v/>
      </c>
      <c r="D442" s="265" t="str">
        <f>IF($B442="","",COUNTIF(Feb[Resident Name],$B442))</f>
        <v/>
      </c>
      <c r="E442" s="265" t="str">
        <f>IF($B442="","",COUNTIF(Mar[Resident Name],$B442))</f>
        <v/>
      </c>
      <c r="F442" s="265" t="str">
        <f>IF($B442="","",COUNTIF(Apr[Resident Name],$B442))</f>
        <v/>
      </c>
      <c r="G442" s="265" t="str">
        <f>IF($B442="","",COUNTIF(May[Resident Name],$B442))</f>
        <v/>
      </c>
      <c r="H442" s="265" t="str">
        <f>IF($B442="","",COUNTIF(June[Resident Name],$B442))</f>
        <v/>
      </c>
      <c r="I442" s="265" t="str">
        <f>IF($B442="","",COUNTIF(July[Resident Name],$B442))</f>
        <v/>
      </c>
      <c r="J442" s="265" t="str">
        <f>IF($B442="","",COUNTIF(Aug[Resident Name],$B442))</f>
        <v/>
      </c>
      <c r="K442" s="265" t="str">
        <f>IF($B442="","",COUNTIF(Sept[Resident Name],$B442))</f>
        <v/>
      </c>
      <c r="L442" s="265" t="str">
        <f>IF($B442="","",COUNTIF(Oct[Resident Name],$B442))</f>
        <v/>
      </c>
      <c r="M442" s="265" t="str">
        <f>IF($B442="","",COUNTIF(Nov[Resident Name],$B442))</f>
        <v/>
      </c>
      <c r="N442" s="265" t="str">
        <f>IF($B442="","",COUNTIF(Dec[Resident Name],$B442))</f>
        <v/>
      </c>
      <c r="O442" s="265" t="str">
        <f t="shared" si="12"/>
        <v/>
      </c>
      <c r="P442" s="11"/>
      <c r="R442" s="160" t="str">
        <f>IFERROR(INDEX($B$5:$B$172,MATCH(ROWS($R$5:R442),$X$5:$X$172,0)),"")</f>
        <v/>
      </c>
      <c r="S442" s="76" t="str">
        <f>IF($R442="","",INDEX($O$5:$O$172,MATCH(ROWS($R$5:R442),$X$5:$X$172,0)))</f>
        <v/>
      </c>
      <c r="U442" s="160" t="str">
        <f>IFERROR(INDEX($Z$5:$Z$448,MATCH(ROWS($U$5:U442),$AA$5:$AA$448,0)),"")</f>
        <v/>
      </c>
      <c r="V442" s="274" t="str">
        <f>IF(Dec!C34="","",Dec!C34)</f>
        <v/>
      </c>
      <c r="W442" s="274" t="str" cm="1">
        <f t="array" ref="W442">IF(V442="","",IF(COUNTIF($V$5:V442,V442)&gt;1,"",ROUND(1+SUMPRODUCT(($V$5:$V$448&lt;&gt;"")*($V$5:$V$448&lt;V442)/COUNTIF($V$5:$V$448,$V$5:$V$448&amp;"")),0)))</f>
        <v/>
      </c>
      <c r="X442" s="274"/>
      <c r="Z442" s="274" t="str">
        <f>IF(Dec!H34="Major Injury",Dec!C34,"")</f>
        <v/>
      </c>
      <c r="AA442" s="274" t="str" cm="1">
        <f t="array" ref="AA442">IF(Z442="","",IF(COUNTIF($Z$5:Z442,Z442)&gt;1,"",ROUND(1+SUMPRODUCT(($Z$5:$Z$448&lt;&gt;"")*($Z$5:$Z$448&lt;Z442)/COUNTIF($Z$5:$Z$448,$Z$5:$Z$448&amp;"")),0)))</f>
        <v/>
      </c>
    </row>
    <row r="443" spans="2:27" x14ac:dyDescent="0.25">
      <c r="B443" s="160" t="str">
        <f>IFERROR(INDEX($V$5:$V$448,MATCH(ROWS($B$5:B443),$W$5:$W$448,0)),"")</f>
        <v/>
      </c>
      <c r="C443" s="265" t="str">
        <f>IF($B443="","",COUNTIF(Jan[Resident Name],$B443))</f>
        <v/>
      </c>
      <c r="D443" s="265" t="str">
        <f>IF($B443="","",COUNTIF(Feb[Resident Name],$B443))</f>
        <v/>
      </c>
      <c r="E443" s="265" t="str">
        <f>IF($B443="","",COUNTIF(Mar[Resident Name],$B443))</f>
        <v/>
      </c>
      <c r="F443" s="265" t="str">
        <f>IF($B443="","",COUNTIF(Apr[Resident Name],$B443))</f>
        <v/>
      </c>
      <c r="G443" s="265" t="str">
        <f>IF($B443="","",COUNTIF(May[Resident Name],$B443))</f>
        <v/>
      </c>
      <c r="H443" s="265" t="str">
        <f>IF($B443="","",COUNTIF(June[Resident Name],$B443))</f>
        <v/>
      </c>
      <c r="I443" s="265" t="str">
        <f>IF($B443="","",COUNTIF(July[Resident Name],$B443))</f>
        <v/>
      </c>
      <c r="J443" s="265" t="str">
        <f>IF($B443="","",COUNTIF(Aug[Resident Name],$B443))</f>
        <v/>
      </c>
      <c r="K443" s="265" t="str">
        <f>IF($B443="","",COUNTIF(Sept[Resident Name],$B443))</f>
        <v/>
      </c>
      <c r="L443" s="265" t="str">
        <f>IF($B443="","",COUNTIF(Oct[Resident Name],$B443))</f>
        <v/>
      </c>
      <c r="M443" s="265" t="str">
        <f>IF($B443="","",COUNTIF(Nov[Resident Name],$B443))</f>
        <v/>
      </c>
      <c r="N443" s="265" t="str">
        <f>IF($B443="","",COUNTIF(Dec[Resident Name],$B443))</f>
        <v/>
      </c>
      <c r="O443" s="265" t="str">
        <f t="shared" si="12"/>
        <v/>
      </c>
      <c r="P443" s="11"/>
      <c r="R443" s="160" t="str">
        <f>IFERROR(INDEX($B$5:$B$172,MATCH(ROWS($R$5:R443),$X$5:$X$172,0)),"")</f>
        <v/>
      </c>
      <c r="S443" s="76" t="str">
        <f>IF($R443="","",INDEX($O$5:$O$172,MATCH(ROWS($R$5:R443),$X$5:$X$172,0)))</f>
        <v/>
      </c>
      <c r="U443" s="160" t="str">
        <f>IFERROR(INDEX($Z$5:$Z$448,MATCH(ROWS($U$5:U443),$AA$5:$AA$448,0)),"")</f>
        <v/>
      </c>
      <c r="V443" s="274" t="str">
        <f>IF(Dec!C35="","",Dec!C35)</f>
        <v/>
      </c>
      <c r="W443" s="274" t="str" cm="1">
        <f t="array" ref="W443">IF(V443="","",IF(COUNTIF($V$5:V443,V443)&gt;1,"",ROUND(1+SUMPRODUCT(($V$5:$V$448&lt;&gt;"")*($V$5:$V$448&lt;V443)/COUNTIF($V$5:$V$448,$V$5:$V$448&amp;"")),0)))</f>
        <v/>
      </c>
      <c r="X443" s="274"/>
      <c r="Z443" s="274" t="str">
        <f>IF(Dec!H35="Major Injury",Dec!C35,"")</f>
        <v/>
      </c>
      <c r="AA443" s="274" t="str" cm="1">
        <f t="array" ref="AA443">IF(Z443="","",IF(COUNTIF($Z$5:Z443,Z443)&gt;1,"",ROUND(1+SUMPRODUCT(($Z$5:$Z$448&lt;&gt;"")*($Z$5:$Z$448&lt;Z443)/COUNTIF($Z$5:$Z$448,$Z$5:$Z$448&amp;"")),0)))</f>
        <v/>
      </c>
    </row>
    <row r="444" spans="2:27" x14ac:dyDescent="0.25">
      <c r="B444" s="160" t="str">
        <f>IFERROR(INDEX($V$5:$V$448,MATCH(ROWS($B$5:B444),$W$5:$W$448,0)),"")</f>
        <v/>
      </c>
      <c r="C444" s="265" t="str">
        <f>IF($B444="","",COUNTIF(Jan[Resident Name],$B444))</f>
        <v/>
      </c>
      <c r="D444" s="265" t="str">
        <f>IF($B444="","",COUNTIF(Feb[Resident Name],$B444))</f>
        <v/>
      </c>
      <c r="E444" s="265" t="str">
        <f>IF($B444="","",COUNTIF(Mar[Resident Name],$B444))</f>
        <v/>
      </c>
      <c r="F444" s="265" t="str">
        <f>IF($B444="","",COUNTIF(Apr[Resident Name],$B444))</f>
        <v/>
      </c>
      <c r="G444" s="265" t="str">
        <f>IF($B444="","",COUNTIF(May[Resident Name],$B444))</f>
        <v/>
      </c>
      <c r="H444" s="265" t="str">
        <f>IF($B444="","",COUNTIF(June[Resident Name],$B444))</f>
        <v/>
      </c>
      <c r="I444" s="265" t="str">
        <f>IF($B444="","",COUNTIF(July[Resident Name],$B444))</f>
        <v/>
      </c>
      <c r="J444" s="265" t="str">
        <f>IF($B444="","",COUNTIF(Aug[Resident Name],$B444))</f>
        <v/>
      </c>
      <c r="K444" s="265" t="str">
        <f>IF($B444="","",COUNTIF(Sept[Resident Name],$B444))</f>
        <v/>
      </c>
      <c r="L444" s="265" t="str">
        <f>IF($B444="","",COUNTIF(Oct[Resident Name],$B444))</f>
        <v/>
      </c>
      <c r="M444" s="265" t="str">
        <f>IF($B444="","",COUNTIF(Nov[Resident Name],$B444))</f>
        <v/>
      </c>
      <c r="N444" s="265" t="str">
        <f>IF($B444="","",COUNTIF(Dec[Resident Name],$B444))</f>
        <v/>
      </c>
      <c r="O444" s="265" t="str">
        <f t="shared" si="12"/>
        <v/>
      </c>
      <c r="P444" s="11"/>
      <c r="R444" s="160" t="str">
        <f>IFERROR(INDEX($B$5:$B$172,MATCH(ROWS($R$5:R444),$X$5:$X$172,0)),"")</f>
        <v/>
      </c>
      <c r="S444" s="76" t="str">
        <f>IF($R444="","",INDEX($O$5:$O$172,MATCH(ROWS($R$5:R444),$X$5:$X$172,0)))</f>
        <v/>
      </c>
      <c r="U444" s="160" t="str">
        <f>IFERROR(INDEX($Z$5:$Z$448,MATCH(ROWS($U$5:U444),$AA$5:$AA$448,0)),"")</f>
        <v/>
      </c>
      <c r="V444" s="274" t="str">
        <f>IF(Dec!C36="","",Dec!C36)</f>
        <v/>
      </c>
      <c r="W444" s="274" t="str" cm="1">
        <f t="array" ref="W444">IF(V444="","",IF(COUNTIF($V$5:V444,V444)&gt;1,"",ROUND(1+SUMPRODUCT(($V$5:$V$448&lt;&gt;"")*($V$5:$V$448&lt;V444)/COUNTIF($V$5:$V$448,$V$5:$V$448&amp;"")),0)))</f>
        <v/>
      </c>
      <c r="X444" s="274"/>
      <c r="Z444" s="274" t="str">
        <f>IF(Dec!H36="Major Injury",Dec!C36,"")</f>
        <v/>
      </c>
      <c r="AA444" s="274" t="str" cm="1">
        <f t="array" ref="AA444">IF(Z444="","",IF(COUNTIF($Z$5:Z444,Z444)&gt;1,"",ROUND(1+SUMPRODUCT(($Z$5:$Z$448&lt;&gt;"")*($Z$5:$Z$448&lt;Z444)/COUNTIF($Z$5:$Z$448,$Z$5:$Z$448&amp;"")),0)))</f>
        <v/>
      </c>
    </row>
    <row r="445" spans="2:27" x14ac:dyDescent="0.25">
      <c r="B445" s="160" t="str">
        <f>IFERROR(INDEX($V$5:$V$448,MATCH(ROWS($B$5:B445),$W$5:$W$448,0)),"")</f>
        <v/>
      </c>
      <c r="C445" s="265" t="str">
        <f>IF($B445="","",COUNTIF(Jan[Resident Name],$B445))</f>
        <v/>
      </c>
      <c r="D445" s="265" t="str">
        <f>IF($B445="","",COUNTIF(Feb[Resident Name],$B445))</f>
        <v/>
      </c>
      <c r="E445" s="265" t="str">
        <f>IF($B445="","",COUNTIF(Mar[Resident Name],$B445))</f>
        <v/>
      </c>
      <c r="F445" s="265" t="str">
        <f>IF($B445="","",COUNTIF(Apr[Resident Name],$B445))</f>
        <v/>
      </c>
      <c r="G445" s="265" t="str">
        <f>IF($B445="","",COUNTIF(May[Resident Name],$B445))</f>
        <v/>
      </c>
      <c r="H445" s="265" t="str">
        <f>IF($B445="","",COUNTIF(June[Resident Name],$B445))</f>
        <v/>
      </c>
      <c r="I445" s="265" t="str">
        <f>IF($B445="","",COUNTIF(July[Resident Name],$B445))</f>
        <v/>
      </c>
      <c r="J445" s="265" t="str">
        <f>IF($B445="","",COUNTIF(Aug[Resident Name],$B445))</f>
        <v/>
      </c>
      <c r="K445" s="265" t="str">
        <f>IF($B445="","",COUNTIF(Sept[Resident Name],$B445))</f>
        <v/>
      </c>
      <c r="L445" s="265" t="str">
        <f>IF($B445="","",COUNTIF(Oct[Resident Name],$B445))</f>
        <v/>
      </c>
      <c r="M445" s="265" t="str">
        <f>IF($B445="","",COUNTIF(Nov[Resident Name],$B445))</f>
        <v/>
      </c>
      <c r="N445" s="265" t="str">
        <f>IF($B445="","",COUNTIF(Dec[Resident Name],$B445))</f>
        <v/>
      </c>
      <c r="O445" s="265" t="str">
        <f t="shared" si="12"/>
        <v/>
      </c>
      <c r="P445" s="11"/>
      <c r="R445" s="160" t="str">
        <f>IFERROR(INDEX($B$5:$B$172,MATCH(ROWS($R$5:R445),$X$5:$X$172,0)),"")</f>
        <v/>
      </c>
      <c r="S445" s="76" t="str">
        <f>IF($R445="","",INDEX($O$5:$O$172,MATCH(ROWS($R$5:R445),$X$5:$X$172,0)))</f>
        <v/>
      </c>
      <c r="U445" s="160" t="str">
        <f>IFERROR(INDEX($Z$5:$Z$448,MATCH(ROWS($U$5:U445),$AA$5:$AA$448,0)),"")</f>
        <v/>
      </c>
      <c r="V445" s="274" t="str">
        <f>IF(Dec!C37="","",Dec!C37)</f>
        <v/>
      </c>
      <c r="W445" s="274" t="str" cm="1">
        <f t="array" ref="W445">IF(V445="","",IF(COUNTIF($V$5:V445,V445)&gt;1,"",ROUND(1+SUMPRODUCT(($V$5:$V$448&lt;&gt;"")*($V$5:$V$448&lt;V445)/COUNTIF($V$5:$V$448,$V$5:$V$448&amp;"")),0)))</f>
        <v/>
      </c>
      <c r="X445" s="274"/>
      <c r="Z445" s="274" t="str">
        <f>IF(Dec!H37="Major Injury",Dec!C37,"")</f>
        <v/>
      </c>
      <c r="AA445" s="274" t="str" cm="1">
        <f t="array" ref="AA445">IF(Z445="","",IF(COUNTIF($Z$5:Z445,Z445)&gt;1,"",ROUND(1+SUMPRODUCT(($Z$5:$Z$448&lt;&gt;"")*($Z$5:$Z$448&lt;Z445)/COUNTIF($Z$5:$Z$448,$Z$5:$Z$448&amp;"")),0)))</f>
        <v/>
      </c>
    </row>
    <row r="446" spans="2:27" x14ac:dyDescent="0.25">
      <c r="B446" s="160" t="str">
        <f>IFERROR(INDEX($V$5:$V$448,MATCH(ROWS($B$5:B446),$W$5:$W$448,0)),"")</f>
        <v/>
      </c>
      <c r="C446" s="265" t="str">
        <f>IF($B446="","",COUNTIF(Jan[Resident Name],$B446))</f>
        <v/>
      </c>
      <c r="D446" s="265" t="str">
        <f>IF($B446="","",COUNTIF(Feb[Resident Name],$B446))</f>
        <v/>
      </c>
      <c r="E446" s="265" t="str">
        <f>IF($B446="","",COUNTIF(Mar[Resident Name],$B446))</f>
        <v/>
      </c>
      <c r="F446" s="265" t="str">
        <f>IF($B446="","",COUNTIF(Apr[Resident Name],$B446))</f>
        <v/>
      </c>
      <c r="G446" s="265" t="str">
        <f>IF($B446="","",COUNTIF(May[Resident Name],$B446))</f>
        <v/>
      </c>
      <c r="H446" s="265" t="str">
        <f>IF($B446="","",COUNTIF(June[Resident Name],$B446))</f>
        <v/>
      </c>
      <c r="I446" s="265" t="str">
        <f>IF($B446="","",COUNTIF(July[Resident Name],$B446))</f>
        <v/>
      </c>
      <c r="J446" s="265" t="str">
        <f>IF($B446="","",COUNTIF(Aug[Resident Name],$B446))</f>
        <v/>
      </c>
      <c r="K446" s="265" t="str">
        <f>IF($B446="","",COUNTIF(Sept[Resident Name],$B446))</f>
        <v/>
      </c>
      <c r="L446" s="265" t="str">
        <f>IF($B446="","",COUNTIF(Oct[Resident Name],$B446))</f>
        <v/>
      </c>
      <c r="M446" s="265" t="str">
        <f>IF($B446="","",COUNTIF(Nov[Resident Name],$B446))</f>
        <v/>
      </c>
      <c r="N446" s="265" t="str">
        <f>IF($B446="","",COUNTIF(Dec[Resident Name],$B446))</f>
        <v/>
      </c>
      <c r="O446" s="265" t="str">
        <f t="shared" si="12"/>
        <v/>
      </c>
      <c r="P446" s="11"/>
      <c r="R446" s="160" t="str">
        <f>IFERROR(INDEX($B$5:$B$172,MATCH(ROWS($R$5:R446),$X$5:$X$172,0)),"")</f>
        <v/>
      </c>
      <c r="S446" s="76" t="str">
        <f>IF($R446="","",INDEX($O$5:$O$172,MATCH(ROWS($R$5:R446),$X$5:$X$172,0)))</f>
        <v/>
      </c>
      <c r="U446" s="160" t="str">
        <f>IFERROR(INDEX($Z$5:$Z$448,MATCH(ROWS($U$5:U446),$AA$5:$AA$448,0)),"")</f>
        <v/>
      </c>
      <c r="V446" s="274" t="str">
        <f>IF(Dec!C38="","",Dec!C38)</f>
        <v/>
      </c>
      <c r="W446" s="274" t="str" cm="1">
        <f t="array" ref="W446">IF(V446="","",IF(COUNTIF($V$5:V446,V446)&gt;1,"",ROUND(1+SUMPRODUCT(($V$5:$V$448&lt;&gt;"")*($V$5:$V$448&lt;V446)/COUNTIF($V$5:$V$448,$V$5:$V$448&amp;"")),0)))</f>
        <v/>
      </c>
      <c r="X446" s="274"/>
      <c r="Z446" s="274" t="str">
        <f>IF(Dec!H38="Major Injury",Dec!C38,"")</f>
        <v/>
      </c>
      <c r="AA446" s="274" t="str" cm="1">
        <f t="array" ref="AA446">IF(Z446="","",IF(COUNTIF($Z$5:Z446,Z446)&gt;1,"",ROUND(1+SUMPRODUCT(($Z$5:$Z$448&lt;&gt;"")*($Z$5:$Z$448&lt;Z446)/COUNTIF($Z$5:$Z$448,$Z$5:$Z$448&amp;"")),0)))</f>
        <v/>
      </c>
    </row>
    <row r="447" spans="2:27" x14ac:dyDescent="0.25">
      <c r="B447" s="160" t="str">
        <f>IFERROR(INDEX($V$5:$V$448,MATCH(ROWS($B$5:B447),$W$5:$W$448,0)),"")</f>
        <v/>
      </c>
      <c r="C447" s="265" t="str">
        <f>IF($B447="","",COUNTIF(Jan[Resident Name],$B447))</f>
        <v/>
      </c>
      <c r="D447" s="265" t="str">
        <f>IF($B447="","",COUNTIF(Feb[Resident Name],$B447))</f>
        <v/>
      </c>
      <c r="E447" s="265" t="str">
        <f>IF($B447="","",COUNTIF(Mar[Resident Name],$B447))</f>
        <v/>
      </c>
      <c r="F447" s="265" t="str">
        <f>IF($B447="","",COUNTIF(Apr[Resident Name],$B447))</f>
        <v/>
      </c>
      <c r="G447" s="265" t="str">
        <f>IF($B447="","",COUNTIF(May[Resident Name],$B447))</f>
        <v/>
      </c>
      <c r="H447" s="265" t="str">
        <f>IF($B447="","",COUNTIF(June[Resident Name],$B447))</f>
        <v/>
      </c>
      <c r="I447" s="265" t="str">
        <f>IF($B447="","",COUNTIF(July[Resident Name],$B447))</f>
        <v/>
      </c>
      <c r="J447" s="265" t="str">
        <f>IF($B447="","",COUNTIF(Aug[Resident Name],$B447))</f>
        <v/>
      </c>
      <c r="K447" s="265" t="str">
        <f>IF($B447="","",COUNTIF(Sept[Resident Name],$B447))</f>
        <v/>
      </c>
      <c r="L447" s="265" t="str">
        <f>IF($B447="","",COUNTIF(Oct[Resident Name],$B447))</f>
        <v/>
      </c>
      <c r="M447" s="265" t="str">
        <f>IF($B447="","",COUNTIF(Nov[Resident Name],$B447))</f>
        <v/>
      </c>
      <c r="N447" s="265" t="str">
        <f>IF($B447="","",COUNTIF(Dec[Resident Name],$B447))</f>
        <v/>
      </c>
      <c r="O447" s="265" t="str">
        <f t="shared" si="12"/>
        <v/>
      </c>
      <c r="P447" s="11"/>
      <c r="R447" s="160" t="str">
        <f>IFERROR(INDEX($B$5:$B$172,MATCH(ROWS($R$5:R447),$X$5:$X$172,0)),"")</f>
        <v/>
      </c>
      <c r="S447" s="76" t="str">
        <f>IF($R447="","",INDEX($O$5:$O$172,MATCH(ROWS($R$5:R447),$X$5:$X$172,0)))</f>
        <v/>
      </c>
      <c r="U447" s="160" t="str">
        <f>IFERROR(INDEX($Z$5:$Z$448,MATCH(ROWS($U$5:U447),$AA$5:$AA$448,0)),"")</f>
        <v/>
      </c>
      <c r="V447" s="274" t="str">
        <f>IF(Dec!C39="","",Dec!C39)</f>
        <v/>
      </c>
      <c r="W447" s="274" t="str" cm="1">
        <f t="array" ref="W447">IF(V447="","",IF(COUNTIF($V$5:V447,V447)&gt;1,"",ROUND(1+SUMPRODUCT(($V$5:$V$448&lt;&gt;"")*($V$5:$V$448&lt;V447)/COUNTIF($V$5:$V$448,$V$5:$V$448&amp;"")),0)))</f>
        <v/>
      </c>
      <c r="X447" s="274"/>
      <c r="Z447" s="274" t="str">
        <f>IF(Dec!H39="Major Injury",Dec!C39,"")</f>
        <v/>
      </c>
      <c r="AA447" s="274" t="str" cm="1">
        <f t="array" ref="AA447">IF(Z447="","",IF(COUNTIF($Z$5:Z447,Z447)&gt;1,"",ROUND(1+SUMPRODUCT(($Z$5:$Z$448&lt;&gt;"")*($Z$5:$Z$448&lt;Z447)/COUNTIF($Z$5:$Z$448,$Z$5:$Z$448&amp;"")),0)))</f>
        <v/>
      </c>
    </row>
    <row r="448" spans="2:27" x14ac:dyDescent="0.25">
      <c r="B448" s="160" t="str">
        <f>IFERROR(INDEX($V$5:$V$448,MATCH(ROWS($B$5:B448),$W$5:$W$448,0)),"")</f>
        <v/>
      </c>
      <c r="C448" s="265" t="str">
        <f>IF($B448="","",COUNTIF(Jan[Resident Name],$B448))</f>
        <v/>
      </c>
      <c r="D448" s="265" t="str">
        <f>IF($B448="","",COUNTIF(Feb[Resident Name],$B448))</f>
        <v/>
      </c>
      <c r="E448" s="265" t="str">
        <f>IF($B448="","",COUNTIF(Mar[Resident Name],$B448))</f>
        <v/>
      </c>
      <c r="F448" s="265" t="str">
        <f>IF($B448="","",COUNTIF(Apr[Resident Name],$B448))</f>
        <v/>
      </c>
      <c r="G448" s="265" t="str">
        <f>IF($B448="","",COUNTIF(May[Resident Name],$B448))</f>
        <v/>
      </c>
      <c r="H448" s="265" t="str">
        <f>IF($B448="","",COUNTIF(June[Resident Name],$B448))</f>
        <v/>
      </c>
      <c r="I448" s="265" t="str">
        <f>IF($B448="","",COUNTIF(July[Resident Name],$B448))</f>
        <v/>
      </c>
      <c r="J448" s="265" t="str">
        <f>IF($B448="","",COUNTIF(Aug[Resident Name],$B448))</f>
        <v/>
      </c>
      <c r="K448" s="265" t="str">
        <f>IF($B448="","",COUNTIF(Sept[Resident Name],$B448))</f>
        <v/>
      </c>
      <c r="L448" s="265" t="str">
        <f>IF($B448="","",COUNTIF(Oct[Resident Name],$B448))</f>
        <v/>
      </c>
      <c r="M448" s="265" t="str">
        <f>IF($B448="","",COUNTIF(Nov[Resident Name],$B448))</f>
        <v/>
      </c>
      <c r="N448" s="265" t="str">
        <f>IF($B448="","",COUNTIF(Dec[Resident Name],$B448))</f>
        <v/>
      </c>
      <c r="O448" s="265" t="str">
        <f t="shared" si="12"/>
        <v/>
      </c>
      <c r="P448" s="11"/>
      <c r="R448" s="160" t="str">
        <f>IFERROR(INDEX($B$5:$B$172,MATCH(ROWS($R$5:R448),$X$5:$X$172,0)),"")</f>
        <v/>
      </c>
      <c r="S448" s="76" t="str">
        <f>IF($R448="","",INDEX($O$5:$O$172,MATCH(ROWS($R$5:R448),$X$5:$X$172,0)))</f>
        <v/>
      </c>
      <c r="U448" s="160" t="str">
        <f>IFERROR(INDEX($Z$5:$Z$448,MATCH(ROWS($U$5:U448),$AA$5:$AA$448,0)),"")</f>
        <v/>
      </c>
      <c r="V448" s="274" t="str">
        <f>IF(Dec!C40="","",Dec!C40)</f>
        <v/>
      </c>
      <c r="W448" s="274" t="str" cm="1">
        <f t="array" ref="W448">IF(V448="","",IF(COUNTIF($V$5:V448,V448)&gt;1,"",ROUND(1+SUMPRODUCT(($V$5:$V$448&lt;&gt;"")*($V$5:$V$448&lt;V448)/COUNTIF($V$5:$V$448,$V$5:$V$448&amp;"")),0)))</f>
        <v/>
      </c>
      <c r="X448" s="274"/>
      <c r="Z448" s="274" t="str">
        <f>IF(Dec!H40="Major Injury",Dec!C40,"")</f>
        <v/>
      </c>
      <c r="AA448" s="274" t="str" cm="1">
        <f t="array" ref="AA448">IF(Z448="","",IF(COUNTIF($Z$5:Z448,Z448)&gt;1,"",ROUND(1+SUMPRODUCT(($Z$5:$Z$448&lt;&gt;"")*($Z$5:$Z$448&lt;Z448)/COUNTIF($Z$5:$Z$448,$Z$5:$Z$448&amp;"")),0)))</f>
        <v/>
      </c>
    </row>
  </sheetData>
  <sheetProtection algorithmName="SHA-512" hashValue="FWpNNDUmsZyBBfp4dLYAEESU+DWo56NbeqXM7T09QbRkZeLbdsvZpSNXBxhFVuqlETHT3bgqGuI8e4YnpYo/XQ==" saltValue="8+RNAz16XjTiZHFERHs36g==" spinCount="100000" sheet="1" formatCells="0" formatColumns="0" formatRows="0"/>
  <conditionalFormatting sqref="C5:P448">
    <cfRule type="cellIs" dxfId="9" priority="6" operator="equal">
      <formula>""</formula>
    </cfRule>
    <cfRule type="cellIs" dxfId="8" priority="7" operator="greaterThanOrEqual">
      <formula>4</formula>
    </cfRule>
    <cfRule type="cellIs" dxfId="7" priority="8" operator="equal">
      <formula>3</formula>
    </cfRule>
    <cfRule type="cellIs" dxfId="6" priority="9" operator="equal">
      <formula>2</formula>
    </cfRule>
    <cfRule type="cellIs" dxfId="5" priority="10" operator="equal">
      <formula>1</formula>
    </cfRule>
  </conditionalFormatting>
  <conditionalFormatting sqref="S5:S448">
    <cfRule type="cellIs" dxfId="4" priority="2" operator="equal">
      <formula>""</formula>
    </cfRule>
    <cfRule type="cellIs" dxfId="3" priority="3" operator="greaterThanOrEqual">
      <formula>4</formula>
    </cfRule>
    <cfRule type="cellIs" dxfId="2" priority="4" operator="equal">
      <formula>2</formula>
    </cfRule>
    <cfRule type="cellIs" dxfId="1" priority="5" operator="greaterThanOrEqual">
      <formula>3</formula>
    </cfRule>
  </conditionalFormatting>
  <conditionalFormatting sqref="U5:U448">
    <cfRule type="cellIs" dxfId="0" priority="1" operator="notEqual">
      <formula>""""""</formula>
    </cfRule>
  </conditionalFormatting>
  <printOptions horizontalCentered="1"/>
  <pageMargins left="0.25" right="0.25" top="0.25" bottom="0.25" header="0.3" footer="0.3"/>
  <pageSetup scale="99" fitToHeight="0" orientation="landscape" r:id="rId1"/>
  <colBreaks count="1" manualBreakCount="1">
    <brk id="17"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I36"/>
  <sheetViews>
    <sheetView zoomScaleNormal="100" workbookViewId="0">
      <pane ySplit="2" topLeftCell="A3" activePane="bottomLeft" state="frozen"/>
      <selection pane="bottomLeft" activeCell="B3" sqref="B3"/>
    </sheetView>
  </sheetViews>
  <sheetFormatPr defaultRowHeight="15" x14ac:dyDescent="0.25"/>
  <cols>
    <col min="1" max="1" width="11.28515625" customWidth="1"/>
    <col min="2" max="2" width="10.7109375" customWidth="1"/>
    <col min="3" max="3" width="1.7109375" customWidth="1"/>
    <col min="4" max="4" width="11.28515625" customWidth="1"/>
    <col min="5" max="5" width="10.7109375" customWidth="1"/>
    <col min="6" max="6" width="1.7109375" customWidth="1"/>
    <col min="7" max="7" width="11.28515625" customWidth="1"/>
    <col min="8" max="8" width="10.7109375" customWidth="1"/>
    <col min="9" max="9" width="1.7109375" customWidth="1"/>
    <col min="10" max="10" width="11.28515625" customWidth="1"/>
    <col min="11" max="11" width="10.7109375" customWidth="1"/>
    <col min="12" max="12" width="1.7109375" customWidth="1"/>
    <col min="13" max="13" width="11.28515625" customWidth="1"/>
    <col min="14" max="14" width="10.7109375" customWidth="1"/>
    <col min="15" max="15" width="1.7109375" customWidth="1"/>
    <col min="16" max="16" width="11.28515625" customWidth="1"/>
    <col min="17" max="17" width="10.7109375" customWidth="1"/>
    <col min="18" max="18" width="1.7109375" customWidth="1"/>
    <col min="19" max="19" width="11.28515625" customWidth="1"/>
    <col min="20" max="20" width="10.7109375" customWidth="1"/>
    <col min="21" max="21" width="1.7109375" customWidth="1"/>
    <col min="22" max="22" width="11.28515625" customWidth="1"/>
    <col min="23" max="23" width="10.7109375" customWidth="1"/>
    <col min="24" max="24" width="1.7109375" customWidth="1"/>
    <col min="25" max="25" width="11.28515625" customWidth="1"/>
    <col min="26" max="26" width="10.7109375" customWidth="1"/>
    <col min="27" max="27" width="1.7109375" customWidth="1"/>
    <col min="28" max="28" width="11.28515625" customWidth="1"/>
    <col min="29" max="29" width="10.7109375" customWidth="1"/>
    <col min="30" max="30" width="1.7109375" customWidth="1"/>
    <col min="31" max="31" width="11.28515625" customWidth="1"/>
    <col min="32" max="32" width="10.7109375" customWidth="1"/>
    <col min="33" max="33" width="1.7109375" customWidth="1"/>
    <col min="34" max="34" width="11.28515625" customWidth="1"/>
    <col min="35" max="35" width="10.7109375" customWidth="1"/>
  </cols>
  <sheetData>
    <row r="1" spans="1:35" s="13" customFormat="1" ht="15.75" x14ac:dyDescent="0.25">
      <c r="A1" s="207" t="s">
        <v>28</v>
      </c>
      <c r="B1" s="208" t="str">
        <f>IF(Jan!$C$1=0,"",Jan!$C$1)</f>
        <v/>
      </c>
      <c r="D1" s="207" t="s">
        <v>28</v>
      </c>
      <c r="E1" s="208" t="str">
        <f>IF(Jan!$C$1=0,"",Jan!$C$1)</f>
        <v/>
      </c>
      <c r="G1" s="207" t="s">
        <v>28</v>
      </c>
      <c r="H1" s="208" t="str">
        <f>IF(Jan!$C$1=0,"",Jan!$C$1)</f>
        <v/>
      </c>
      <c r="J1" s="207" t="s">
        <v>28</v>
      </c>
      <c r="K1" s="208" t="str">
        <f>IF(Jan!$C$1=0,"",Jan!$C$1)</f>
        <v/>
      </c>
      <c r="M1" s="207" t="s">
        <v>28</v>
      </c>
      <c r="N1" s="208" t="str">
        <f>IF(Jan!$C$1=0,"",Jan!$C$1)</f>
        <v/>
      </c>
      <c r="P1" s="207" t="s">
        <v>28</v>
      </c>
      <c r="Q1" s="208" t="str">
        <f>IF(Jan!$C$1=0,"",Jan!$C$1)</f>
        <v/>
      </c>
      <c r="S1" s="207" t="s">
        <v>28</v>
      </c>
      <c r="T1" s="208" t="str">
        <f>IF(Jan!$C$1=0,"",Jan!$C$1)</f>
        <v/>
      </c>
      <c r="V1" s="207" t="s">
        <v>28</v>
      </c>
      <c r="W1" s="208" t="str">
        <f>IF(Jan!$C$1=0,"",Jan!$C$1)</f>
        <v/>
      </c>
      <c r="Y1" s="207" t="s">
        <v>28</v>
      </c>
      <c r="Z1" s="208" t="str">
        <f>IF(Jan!$C$1=0,"",Jan!$C$1)</f>
        <v/>
      </c>
      <c r="AB1" s="207" t="s">
        <v>28</v>
      </c>
      <c r="AC1" s="208" t="str">
        <f>IF(Jan!$C$1=0,"",Jan!$C$1)</f>
        <v/>
      </c>
      <c r="AE1" s="207" t="s">
        <v>28</v>
      </c>
      <c r="AF1" s="208" t="str">
        <f>IF(Jan!$C$1=0,"",Jan!$C$1)</f>
        <v/>
      </c>
      <c r="AH1" s="207" t="s">
        <v>28</v>
      </c>
      <c r="AI1" s="208" t="str">
        <f>IF(Jan!$C$1=0,"",Jan!$C$1)</f>
        <v/>
      </c>
    </row>
    <row r="2" spans="1:35" x14ac:dyDescent="0.25">
      <c r="A2" t="s">
        <v>58</v>
      </c>
      <c r="B2" t="s">
        <v>55</v>
      </c>
      <c r="D2" t="s">
        <v>5</v>
      </c>
      <c r="E2" t="s">
        <v>55</v>
      </c>
      <c r="G2" t="s">
        <v>6</v>
      </c>
      <c r="H2" t="s">
        <v>55</v>
      </c>
      <c r="J2" t="s">
        <v>7</v>
      </c>
      <c r="K2" t="s">
        <v>55</v>
      </c>
      <c r="M2" t="s">
        <v>8</v>
      </c>
      <c r="N2" t="s">
        <v>55</v>
      </c>
      <c r="P2" t="s">
        <v>9</v>
      </c>
      <c r="Q2" t="s">
        <v>55</v>
      </c>
      <c r="S2" t="s">
        <v>10</v>
      </c>
      <c r="T2" t="s">
        <v>55</v>
      </c>
      <c r="V2" t="s">
        <v>11</v>
      </c>
      <c r="W2" t="s">
        <v>55</v>
      </c>
      <c r="Y2" t="s">
        <v>12</v>
      </c>
      <c r="Z2" t="s">
        <v>55</v>
      </c>
      <c r="AB2" t="s">
        <v>13</v>
      </c>
      <c r="AC2" t="s">
        <v>55</v>
      </c>
      <c r="AE2" t="s">
        <v>14</v>
      </c>
      <c r="AF2" t="s">
        <v>55</v>
      </c>
      <c r="AH2" t="s">
        <v>15</v>
      </c>
      <c r="AI2" t="s">
        <v>55</v>
      </c>
    </row>
    <row r="3" spans="1:35" x14ac:dyDescent="0.25">
      <c r="A3" s="209">
        <v>1</v>
      </c>
      <c r="B3" s="259"/>
      <c r="D3" s="209">
        <v>1</v>
      </c>
      <c r="E3" s="259"/>
      <c r="G3" s="209">
        <v>1</v>
      </c>
      <c r="H3" s="259"/>
      <c r="J3" s="209">
        <v>1</v>
      </c>
      <c r="K3" s="259"/>
      <c r="M3" s="209">
        <v>1</v>
      </c>
      <c r="N3" s="259"/>
      <c r="P3" s="209">
        <v>1</v>
      </c>
      <c r="Q3" s="259"/>
      <c r="S3" s="209">
        <v>1</v>
      </c>
      <c r="T3" s="259"/>
      <c r="V3" s="209">
        <v>1</v>
      </c>
      <c r="W3" s="259"/>
      <c r="Y3" s="209">
        <v>1</v>
      </c>
      <c r="Z3" s="259"/>
      <c r="AB3" s="209">
        <v>1</v>
      </c>
      <c r="AC3" s="259"/>
      <c r="AE3" s="209">
        <v>1</v>
      </c>
      <c r="AF3" s="259"/>
      <c r="AH3" s="209">
        <v>1</v>
      </c>
      <c r="AI3" s="259"/>
    </row>
    <row r="4" spans="1:35" x14ac:dyDescent="0.25">
      <c r="A4" s="209">
        <v>2</v>
      </c>
      <c r="B4" s="259"/>
      <c r="D4" s="209">
        <v>2</v>
      </c>
      <c r="E4" s="259"/>
      <c r="G4" s="209">
        <v>2</v>
      </c>
      <c r="H4" s="259"/>
      <c r="J4" s="209">
        <v>2</v>
      </c>
      <c r="K4" s="259"/>
      <c r="M4" s="209">
        <v>2</v>
      </c>
      <c r="N4" s="259"/>
      <c r="P4" s="209">
        <v>2</v>
      </c>
      <c r="Q4" s="259"/>
      <c r="S4" s="209">
        <v>2</v>
      </c>
      <c r="T4" s="259"/>
      <c r="V4" s="209">
        <v>2</v>
      </c>
      <c r="W4" s="259"/>
      <c r="Y4" s="209">
        <v>2</v>
      </c>
      <c r="Z4" s="259"/>
      <c r="AB4" s="209">
        <v>2</v>
      </c>
      <c r="AC4" s="259"/>
      <c r="AE4" s="209">
        <v>2</v>
      </c>
      <c r="AF4" s="259"/>
      <c r="AH4" s="209">
        <v>2</v>
      </c>
      <c r="AI4" s="259"/>
    </row>
    <row r="5" spans="1:35" x14ac:dyDescent="0.25">
      <c r="A5" s="209">
        <v>3</v>
      </c>
      <c r="B5" s="259"/>
      <c r="D5" s="209">
        <v>3</v>
      </c>
      <c r="E5" s="259"/>
      <c r="G5" s="209">
        <v>3</v>
      </c>
      <c r="H5" s="259"/>
      <c r="J5" s="209">
        <v>3</v>
      </c>
      <c r="K5" s="259"/>
      <c r="M5" s="209">
        <v>3</v>
      </c>
      <c r="N5" s="259"/>
      <c r="P5" s="209">
        <v>3</v>
      </c>
      <c r="Q5" s="259"/>
      <c r="S5" s="209">
        <v>3</v>
      </c>
      <c r="T5" s="259"/>
      <c r="V5" s="209">
        <v>3</v>
      </c>
      <c r="W5" s="259"/>
      <c r="Y5" s="209">
        <v>3</v>
      </c>
      <c r="Z5" s="259"/>
      <c r="AB5" s="209">
        <v>3</v>
      </c>
      <c r="AC5" s="259"/>
      <c r="AE5" s="209">
        <v>3</v>
      </c>
      <c r="AF5" s="259"/>
      <c r="AH5" s="209">
        <v>3</v>
      </c>
      <c r="AI5" s="259"/>
    </row>
    <row r="6" spans="1:35" x14ac:dyDescent="0.25">
      <c r="A6" s="209">
        <v>4</v>
      </c>
      <c r="B6" s="259"/>
      <c r="D6" s="209">
        <v>4</v>
      </c>
      <c r="E6" s="259"/>
      <c r="G6" s="209">
        <v>4</v>
      </c>
      <c r="H6" s="259"/>
      <c r="J6" s="209">
        <v>4</v>
      </c>
      <c r="K6" s="259"/>
      <c r="M6" s="209">
        <v>4</v>
      </c>
      <c r="N6" s="259"/>
      <c r="P6" s="209">
        <v>4</v>
      </c>
      <c r="Q6" s="259"/>
      <c r="S6" s="209">
        <v>4</v>
      </c>
      <c r="T6" s="259"/>
      <c r="V6" s="209">
        <v>4</v>
      </c>
      <c r="W6" s="259"/>
      <c r="Y6" s="209">
        <v>4</v>
      </c>
      <c r="Z6" s="259"/>
      <c r="AB6" s="209">
        <v>4</v>
      </c>
      <c r="AC6" s="259"/>
      <c r="AE6" s="209">
        <v>4</v>
      </c>
      <c r="AF6" s="259"/>
      <c r="AH6" s="209">
        <v>4</v>
      </c>
      <c r="AI6" s="259"/>
    </row>
    <row r="7" spans="1:35" x14ac:dyDescent="0.25">
      <c r="A7" s="209">
        <v>5</v>
      </c>
      <c r="B7" s="259"/>
      <c r="D7" s="209">
        <v>5</v>
      </c>
      <c r="E7" s="259"/>
      <c r="G7" s="209">
        <v>5</v>
      </c>
      <c r="H7" s="259"/>
      <c r="J7" s="209">
        <v>5</v>
      </c>
      <c r="K7" s="259"/>
      <c r="M7" s="209">
        <v>5</v>
      </c>
      <c r="N7" s="259"/>
      <c r="P7" s="209">
        <v>5</v>
      </c>
      <c r="Q7" s="259"/>
      <c r="S7" s="209">
        <v>5</v>
      </c>
      <c r="T7" s="259"/>
      <c r="V7" s="209">
        <v>5</v>
      </c>
      <c r="W7" s="259"/>
      <c r="Y7" s="209">
        <v>5</v>
      </c>
      <c r="Z7" s="259"/>
      <c r="AB7" s="209">
        <v>5</v>
      </c>
      <c r="AC7" s="259"/>
      <c r="AE7" s="209">
        <v>5</v>
      </c>
      <c r="AF7" s="259"/>
      <c r="AH7" s="209">
        <v>5</v>
      </c>
      <c r="AI7" s="259"/>
    </row>
    <row r="8" spans="1:35" x14ac:dyDescent="0.25">
      <c r="A8" s="209">
        <v>6</v>
      </c>
      <c r="B8" s="259"/>
      <c r="D8" s="209">
        <v>6</v>
      </c>
      <c r="E8" s="259"/>
      <c r="G8" s="209">
        <v>6</v>
      </c>
      <c r="H8" s="259"/>
      <c r="J8" s="209">
        <v>6</v>
      </c>
      <c r="K8" s="259"/>
      <c r="M8" s="209">
        <v>6</v>
      </c>
      <c r="N8" s="259"/>
      <c r="P8" s="209">
        <v>6</v>
      </c>
      <c r="Q8" s="259"/>
      <c r="S8" s="209">
        <v>6</v>
      </c>
      <c r="T8" s="259"/>
      <c r="V8" s="209">
        <v>6</v>
      </c>
      <c r="W8" s="259"/>
      <c r="Y8" s="209">
        <v>6</v>
      </c>
      <c r="Z8" s="259"/>
      <c r="AB8" s="209">
        <v>6</v>
      </c>
      <c r="AC8" s="259"/>
      <c r="AE8" s="209">
        <v>6</v>
      </c>
      <c r="AF8" s="259"/>
      <c r="AH8" s="209">
        <v>6</v>
      </c>
      <c r="AI8" s="259"/>
    </row>
    <row r="9" spans="1:35" x14ac:dyDescent="0.25">
      <c r="A9" s="209">
        <v>7</v>
      </c>
      <c r="B9" s="259"/>
      <c r="D9" s="209">
        <v>7</v>
      </c>
      <c r="E9" s="259"/>
      <c r="G9" s="209">
        <v>7</v>
      </c>
      <c r="H9" s="259"/>
      <c r="J9" s="209">
        <v>7</v>
      </c>
      <c r="K9" s="259"/>
      <c r="M9" s="209">
        <v>7</v>
      </c>
      <c r="N9" s="259"/>
      <c r="P9" s="209">
        <v>7</v>
      </c>
      <c r="Q9" s="259"/>
      <c r="S9" s="209">
        <v>7</v>
      </c>
      <c r="T9" s="259"/>
      <c r="V9" s="209">
        <v>7</v>
      </c>
      <c r="W9" s="259"/>
      <c r="Y9" s="209">
        <v>7</v>
      </c>
      <c r="Z9" s="259"/>
      <c r="AB9" s="209">
        <v>7</v>
      </c>
      <c r="AC9" s="259"/>
      <c r="AE9" s="209">
        <v>7</v>
      </c>
      <c r="AF9" s="259"/>
      <c r="AH9" s="209">
        <v>7</v>
      </c>
      <c r="AI9" s="259"/>
    </row>
    <row r="10" spans="1:35" x14ac:dyDescent="0.25">
      <c r="A10" s="209">
        <v>8</v>
      </c>
      <c r="B10" s="259"/>
      <c r="D10" s="209">
        <v>8</v>
      </c>
      <c r="E10" s="259"/>
      <c r="G10" s="209">
        <v>8</v>
      </c>
      <c r="H10" s="259"/>
      <c r="J10" s="209">
        <v>8</v>
      </c>
      <c r="K10" s="259"/>
      <c r="M10" s="209">
        <v>8</v>
      </c>
      <c r="N10" s="259"/>
      <c r="P10" s="209">
        <v>8</v>
      </c>
      <c r="Q10" s="259"/>
      <c r="S10" s="209">
        <v>8</v>
      </c>
      <c r="T10" s="259"/>
      <c r="V10" s="209">
        <v>8</v>
      </c>
      <c r="W10" s="259"/>
      <c r="Y10" s="209">
        <v>8</v>
      </c>
      <c r="Z10" s="259"/>
      <c r="AB10" s="209">
        <v>8</v>
      </c>
      <c r="AC10" s="259"/>
      <c r="AE10" s="209">
        <v>8</v>
      </c>
      <c r="AF10" s="259"/>
      <c r="AH10" s="209">
        <v>8</v>
      </c>
      <c r="AI10" s="259"/>
    </row>
    <row r="11" spans="1:35" x14ac:dyDescent="0.25">
      <c r="A11" s="209">
        <v>9</v>
      </c>
      <c r="B11" s="259"/>
      <c r="D11" s="209">
        <v>9</v>
      </c>
      <c r="E11" s="259"/>
      <c r="G11" s="209">
        <v>9</v>
      </c>
      <c r="H11" s="259"/>
      <c r="J11" s="209">
        <v>9</v>
      </c>
      <c r="K11" s="259"/>
      <c r="M11" s="209">
        <v>9</v>
      </c>
      <c r="N11" s="259"/>
      <c r="P11" s="209">
        <v>9</v>
      </c>
      <c r="Q11" s="259"/>
      <c r="S11" s="209">
        <v>9</v>
      </c>
      <c r="T11" s="259"/>
      <c r="V11" s="209">
        <v>9</v>
      </c>
      <c r="W11" s="259"/>
      <c r="Y11" s="209">
        <v>9</v>
      </c>
      <c r="Z11" s="259"/>
      <c r="AB11" s="209">
        <v>9</v>
      </c>
      <c r="AC11" s="259"/>
      <c r="AE11" s="209">
        <v>9</v>
      </c>
      <c r="AF11" s="259"/>
      <c r="AH11" s="209">
        <v>9</v>
      </c>
      <c r="AI11" s="259"/>
    </row>
    <row r="12" spans="1:35" x14ac:dyDescent="0.25">
      <c r="A12" s="209">
        <v>10</v>
      </c>
      <c r="B12" s="259"/>
      <c r="D12" s="209">
        <v>10</v>
      </c>
      <c r="E12" s="259"/>
      <c r="G12" s="209">
        <v>10</v>
      </c>
      <c r="H12" s="259"/>
      <c r="J12" s="209">
        <v>10</v>
      </c>
      <c r="K12" s="259"/>
      <c r="M12" s="209">
        <v>10</v>
      </c>
      <c r="N12" s="259"/>
      <c r="P12" s="209">
        <v>10</v>
      </c>
      <c r="Q12" s="259"/>
      <c r="S12" s="209">
        <v>10</v>
      </c>
      <c r="T12" s="259"/>
      <c r="V12" s="209">
        <v>10</v>
      </c>
      <c r="W12" s="259"/>
      <c r="Y12" s="209">
        <v>10</v>
      </c>
      <c r="Z12" s="259"/>
      <c r="AB12" s="209">
        <v>10</v>
      </c>
      <c r="AC12" s="259"/>
      <c r="AE12" s="209">
        <v>10</v>
      </c>
      <c r="AF12" s="259"/>
      <c r="AH12" s="209">
        <v>10</v>
      </c>
      <c r="AI12" s="259"/>
    </row>
    <row r="13" spans="1:35" x14ac:dyDescent="0.25">
      <c r="A13" s="209">
        <v>11</v>
      </c>
      <c r="B13" s="259"/>
      <c r="D13" s="209">
        <v>11</v>
      </c>
      <c r="E13" s="259"/>
      <c r="G13" s="209">
        <v>11</v>
      </c>
      <c r="H13" s="259"/>
      <c r="J13" s="209">
        <v>11</v>
      </c>
      <c r="K13" s="259"/>
      <c r="M13" s="209">
        <v>11</v>
      </c>
      <c r="N13" s="259"/>
      <c r="P13" s="209">
        <v>11</v>
      </c>
      <c r="Q13" s="259"/>
      <c r="S13" s="209">
        <v>11</v>
      </c>
      <c r="T13" s="259"/>
      <c r="V13" s="209">
        <v>11</v>
      </c>
      <c r="W13" s="259"/>
      <c r="Y13" s="209">
        <v>11</v>
      </c>
      <c r="Z13" s="259"/>
      <c r="AB13" s="209">
        <v>11</v>
      </c>
      <c r="AC13" s="259"/>
      <c r="AE13" s="209">
        <v>11</v>
      </c>
      <c r="AF13" s="259"/>
      <c r="AH13" s="209">
        <v>11</v>
      </c>
      <c r="AI13" s="259"/>
    </row>
    <row r="14" spans="1:35" x14ac:dyDescent="0.25">
      <c r="A14" s="209">
        <v>12</v>
      </c>
      <c r="B14" s="259"/>
      <c r="D14" s="209">
        <v>12</v>
      </c>
      <c r="E14" s="259"/>
      <c r="G14" s="209">
        <v>12</v>
      </c>
      <c r="H14" s="259"/>
      <c r="J14" s="209">
        <v>12</v>
      </c>
      <c r="K14" s="259"/>
      <c r="M14" s="209">
        <v>12</v>
      </c>
      <c r="N14" s="259"/>
      <c r="P14" s="209">
        <v>12</v>
      </c>
      <c r="Q14" s="259"/>
      <c r="S14" s="209">
        <v>12</v>
      </c>
      <c r="T14" s="259"/>
      <c r="V14" s="209">
        <v>12</v>
      </c>
      <c r="W14" s="259"/>
      <c r="Y14" s="209">
        <v>12</v>
      </c>
      <c r="Z14" s="259"/>
      <c r="AB14" s="209">
        <v>12</v>
      </c>
      <c r="AC14" s="259"/>
      <c r="AE14" s="209">
        <v>12</v>
      </c>
      <c r="AF14" s="259"/>
      <c r="AH14" s="209">
        <v>12</v>
      </c>
      <c r="AI14" s="259"/>
    </row>
    <row r="15" spans="1:35" x14ac:dyDescent="0.25">
      <c r="A15" s="209">
        <v>13</v>
      </c>
      <c r="B15" s="259"/>
      <c r="D15" s="209">
        <v>13</v>
      </c>
      <c r="E15" s="259"/>
      <c r="G15" s="209">
        <v>13</v>
      </c>
      <c r="H15" s="259"/>
      <c r="J15" s="209">
        <v>13</v>
      </c>
      <c r="K15" s="259"/>
      <c r="M15" s="209">
        <v>13</v>
      </c>
      <c r="N15" s="259"/>
      <c r="P15" s="209">
        <v>13</v>
      </c>
      <c r="Q15" s="259"/>
      <c r="S15" s="209">
        <v>13</v>
      </c>
      <c r="T15" s="259"/>
      <c r="V15" s="209">
        <v>13</v>
      </c>
      <c r="W15" s="259"/>
      <c r="Y15" s="209">
        <v>13</v>
      </c>
      <c r="Z15" s="259"/>
      <c r="AB15" s="209">
        <v>13</v>
      </c>
      <c r="AC15" s="259"/>
      <c r="AE15" s="209">
        <v>13</v>
      </c>
      <c r="AF15" s="259"/>
      <c r="AH15" s="209">
        <v>13</v>
      </c>
      <c r="AI15" s="259"/>
    </row>
    <row r="16" spans="1:35" x14ac:dyDescent="0.25">
      <c r="A16" s="209">
        <v>14</v>
      </c>
      <c r="B16" s="259"/>
      <c r="D16" s="209">
        <v>14</v>
      </c>
      <c r="E16" s="259"/>
      <c r="G16" s="209">
        <v>14</v>
      </c>
      <c r="H16" s="259"/>
      <c r="J16" s="209">
        <v>14</v>
      </c>
      <c r="K16" s="259"/>
      <c r="M16" s="209">
        <v>14</v>
      </c>
      <c r="N16" s="259"/>
      <c r="P16" s="209">
        <v>14</v>
      </c>
      <c r="Q16" s="259"/>
      <c r="S16" s="209">
        <v>14</v>
      </c>
      <c r="T16" s="259"/>
      <c r="V16" s="209">
        <v>14</v>
      </c>
      <c r="W16" s="259"/>
      <c r="Y16" s="209">
        <v>14</v>
      </c>
      <c r="Z16" s="259"/>
      <c r="AB16" s="209">
        <v>14</v>
      </c>
      <c r="AC16" s="259"/>
      <c r="AE16" s="209">
        <v>14</v>
      </c>
      <c r="AF16" s="259"/>
      <c r="AH16" s="209">
        <v>14</v>
      </c>
      <c r="AI16" s="259"/>
    </row>
    <row r="17" spans="1:35" x14ac:dyDescent="0.25">
      <c r="A17" s="209">
        <v>15</v>
      </c>
      <c r="B17" s="259"/>
      <c r="D17" s="209">
        <v>15</v>
      </c>
      <c r="E17" s="259"/>
      <c r="G17" s="209">
        <v>15</v>
      </c>
      <c r="H17" s="259"/>
      <c r="J17" s="209">
        <v>15</v>
      </c>
      <c r="K17" s="259"/>
      <c r="M17" s="209">
        <v>15</v>
      </c>
      <c r="N17" s="259"/>
      <c r="P17" s="209">
        <v>15</v>
      </c>
      <c r="Q17" s="259"/>
      <c r="S17" s="209">
        <v>15</v>
      </c>
      <c r="T17" s="259"/>
      <c r="V17" s="209">
        <v>15</v>
      </c>
      <c r="W17" s="259"/>
      <c r="Y17" s="209">
        <v>15</v>
      </c>
      <c r="Z17" s="259"/>
      <c r="AB17" s="209">
        <v>15</v>
      </c>
      <c r="AC17" s="259"/>
      <c r="AE17" s="209">
        <v>15</v>
      </c>
      <c r="AF17" s="259"/>
      <c r="AH17" s="209">
        <v>15</v>
      </c>
      <c r="AI17" s="259"/>
    </row>
    <row r="18" spans="1:35" x14ac:dyDescent="0.25">
      <c r="A18" s="209">
        <v>16</v>
      </c>
      <c r="B18" s="259"/>
      <c r="D18" s="209">
        <v>16</v>
      </c>
      <c r="E18" s="259"/>
      <c r="G18" s="209">
        <v>16</v>
      </c>
      <c r="H18" s="259"/>
      <c r="J18" s="209">
        <v>16</v>
      </c>
      <c r="K18" s="259"/>
      <c r="M18" s="209">
        <v>16</v>
      </c>
      <c r="N18" s="259"/>
      <c r="P18" s="209">
        <v>16</v>
      </c>
      <c r="Q18" s="259"/>
      <c r="S18" s="209">
        <v>16</v>
      </c>
      <c r="T18" s="259"/>
      <c r="V18" s="209">
        <v>16</v>
      </c>
      <c r="W18" s="259"/>
      <c r="Y18" s="209">
        <v>16</v>
      </c>
      <c r="Z18" s="259"/>
      <c r="AB18" s="209">
        <v>16</v>
      </c>
      <c r="AC18" s="259"/>
      <c r="AE18" s="209">
        <v>16</v>
      </c>
      <c r="AF18" s="259"/>
      <c r="AH18" s="209">
        <v>16</v>
      </c>
      <c r="AI18" s="259"/>
    </row>
    <row r="19" spans="1:35" x14ac:dyDescent="0.25">
      <c r="A19" s="209">
        <v>17</v>
      </c>
      <c r="B19" s="259"/>
      <c r="D19" s="209">
        <v>17</v>
      </c>
      <c r="E19" s="259"/>
      <c r="G19" s="209">
        <v>17</v>
      </c>
      <c r="H19" s="259"/>
      <c r="J19" s="209">
        <v>17</v>
      </c>
      <c r="K19" s="259"/>
      <c r="M19" s="209">
        <v>17</v>
      </c>
      <c r="N19" s="259"/>
      <c r="P19" s="209">
        <v>17</v>
      </c>
      <c r="Q19" s="259"/>
      <c r="S19" s="209">
        <v>17</v>
      </c>
      <c r="T19" s="259"/>
      <c r="V19" s="209">
        <v>17</v>
      </c>
      <c r="W19" s="259"/>
      <c r="Y19" s="209">
        <v>17</v>
      </c>
      <c r="Z19" s="259"/>
      <c r="AB19" s="209">
        <v>17</v>
      </c>
      <c r="AC19" s="259"/>
      <c r="AE19" s="209">
        <v>17</v>
      </c>
      <c r="AF19" s="259"/>
      <c r="AH19" s="209">
        <v>17</v>
      </c>
      <c r="AI19" s="259"/>
    </row>
    <row r="20" spans="1:35" x14ac:dyDescent="0.25">
      <c r="A20" s="209">
        <v>18</v>
      </c>
      <c r="B20" s="259"/>
      <c r="D20" s="209">
        <v>18</v>
      </c>
      <c r="E20" s="259"/>
      <c r="G20" s="209">
        <v>18</v>
      </c>
      <c r="H20" s="259"/>
      <c r="J20" s="209">
        <v>18</v>
      </c>
      <c r="K20" s="259"/>
      <c r="M20" s="209">
        <v>18</v>
      </c>
      <c r="N20" s="259"/>
      <c r="P20" s="209">
        <v>18</v>
      </c>
      <c r="Q20" s="259"/>
      <c r="S20" s="209">
        <v>18</v>
      </c>
      <c r="T20" s="259"/>
      <c r="V20" s="209">
        <v>18</v>
      </c>
      <c r="W20" s="259"/>
      <c r="Y20" s="209">
        <v>18</v>
      </c>
      <c r="Z20" s="259"/>
      <c r="AB20" s="209">
        <v>18</v>
      </c>
      <c r="AC20" s="259"/>
      <c r="AE20" s="209">
        <v>18</v>
      </c>
      <c r="AF20" s="259"/>
      <c r="AH20" s="209">
        <v>18</v>
      </c>
      <c r="AI20" s="259"/>
    </row>
    <row r="21" spans="1:35" x14ac:dyDescent="0.25">
      <c r="A21" s="209">
        <v>19</v>
      </c>
      <c r="B21" s="259"/>
      <c r="D21" s="209">
        <v>19</v>
      </c>
      <c r="E21" s="259"/>
      <c r="G21" s="209">
        <v>19</v>
      </c>
      <c r="H21" s="259"/>
      <c r="J21" s="209">
        <v>19</v>
      </c>
      <c r="K21" s="259"/>
      <c r="M21" s="209">
        <v>19</v>
      </c>
      <c r="N21" s="259"/>
      <c r="P21" s="209">
        <v>19</v>
      </c>
      <c r="Q21" s="259"/>
      <c r="S21" s="209">
        <v>19</v>
      </c>
      <c r="T21" s="259"/>
      <c r="V21" s="209">
        <v>19</v>
      </c>
      <c r="W21" s="259"/>
      <c r="Y21" s="209">
        <v>19</v>
      </c>
      <c r="Z21" s="259"/>
      <c r="AB21" s="209">
        <v>19</v>
      </c>
      <c r="AC21" s="259"/>
      <c r="AE21" s="209">
        <v>19</v>
      </c>
      <c r="AF21" s="259"/>
      <c r="AH21" s="209">
        <v>19</v>
      </c>
      <c r="AI21" s="259"/>
    </row>
    <row r="22" spans="1:35" x14ac:dyDescent="0.25">
      <c r="A22" s="209">
        <v>20</v>
      </c>
      <c r="B22" s="259"/>
      <c r="D22" s="209">
        <v>20</v>
      </c>
      <c r="E22" s="259"/>
      <c r="G22" s="209">
        <v>20</v>
      </c>
      <c r="H22" s="259"/>
      <c r="J22" s="209">
        <v>20</v>
      </c>
      <c r="K22" s="259"/>
      <c r="M22" s="209">
        <v>20</v>
      </c>
      <c r="N22" s="259"/>
      <c r="P22" s="209">
        <v>20</v>
      </c>
      <c r="Q22" s="259"/>
      <c r="S22" s="209">
        <v>20</v>
      </c>
      <c r="T22" s="259"/>
      <c r="V22" s="209">
        <v>20</v>
      </c>
      <c r="W22" s="259"/>
      <c r="Y22" s="209">
        <v>20</v>
      </c>
      <c r="Z22" s="259"/>
      <c r="AB22" s="209">
        <v>20</v>
      </c>
      <c r="AC22" s="259"/>
      <c r="AE22" s="209">
        <v>20</v>
      </c>
      <c r="AF22" s="259"/>
      <c r="AH22" s="209">
        <v>20</v>
      </c>
      <c r="AI22" s="259"/>
    </row>
    <row r="23" spans="1:35" x14ac:dyDescent="0.25">
      <c r="A23" s="209">
        <v>21</v>
      </c>
      <c r="B23" s="259"/>
      <c r="D23" s="209">
        <v>21</v>
      </c>
      <c r="E23" s="259"/>
      <c r="G23" s="209">
        <v>21</v>
      </c>
      <c r="H23" s="259"/>
      <c r="J23" s="209">
        <v>21</v>
      </c>
      <c r="K23" s="259"/>
      <c r="M23" s="209">
        <v>21</v>
      </c>
      <c r="N23" s="259"/>
      <c r="P23" s="209">
        <v>21</v>
      </c>
      <c r="Q23" s="259"/>
      <c r="S23" s="209">
        <v>21</v>
      </c>
      <c r="T23" s="259"/>
      <c r="V23" s="209">
        <v>21</v>
      </c>
      <c r="W23" s="259"/>
      <c r="Y23" s="209">
        <v>21</v>
      </c>
      <c r="Z23" s="259"/>
      <c r="AB23" s="209">
        <v>21</v>
      </c>
      <c r="AC23" s="259"/>
      <c r="AE23" s="209">
        <v>21</v>
      </c>
      <c r="AF23" s="259"/>
      <c r="AH23" s="209">
        <v>21</v>
      </c>
      <c r="AI23" s="259"/>
    </row>
    <row r="24" spans="1:35" x14ac:dyDescent="0.25">
      <c r="A24" s="209">
        <v>22</v>
      </c>
      <c r="B24" s="259"/>
      <c r="D24" s="209">
        <v>22</v>
      </c>
      <c r="E24" s="259"/>
      <c r="G24" s="209">
        <v>22</v>
      </c>
      <c r="H24" s="259"/>
      <c r="J24" s="209">
        <v>22</v>
      </c>
      <c r="K24" s="259"/>
      <c r="M24" s="209">
        <v>22</v>
      </c>
      <c r="N24" s="259"/>
      <c r="P24" s="209">
        <v>22</v>
      </c>
      <c r="Q24" s="259"/>
      <c r="S24" s="209">
        <v>22</v>
      </c>
      <c r="T24" s="259"/>
      <c r="V24" s="209">
        <v>22</v>
      </c>
      <c r="W24" s="259"/>
      <c r="Y24" s="209">
        <v>22</v>
      </c>
      <c r="Z24" s="259"/>
      <c r="AB24" s="209">
        <v>22</v>
      </c>
      <c r="AC24" s="259"/>
      <c r="AE24" s="209">
        <v>22</v>
      </c>
      <c r="AF24" s="259"/>
      <c r="AH24" s="209">
        <v>22</v>
      </c>
      <c r="AI24" s="259"/>
    </row>
    <row r="25" spans="1:35" x14ac:dyDescent="0.25">
      <c r="A25" s="209">
        <v>23</v>
      </c>
      <c r="B25" s="259"/>
      <c r="D25" s="209">
        <v>23</v>
      </c>
      <c r="E25" s="259"/>
      <c r="G25" s="209">
        <v>23</v>
      </c>
      <c r="H25" s="259"/>
      <c r="J25" s="209">
        <v>23</v>
      </c>
      <c r="K25" s="259"/>
      <c r="M25" s="209">
        <v>23</v>
      </c>
      <c r="N25" s="259"/>
      <c r="P25" s="209">
        <v>23</v>
      </c>
      <c r="Q25" s="259"/>
      <c r="S25" s="209">
        <v>23</v>
      </c>
      <c r="T25" s="259"/>
      <c r="V25" s="209">
        <v>23</v>
      </c>
      <c r="W25" s="259"/>
      <c r="Y25" s="209">
        <v>23</v>
      </c>
      <c r="Z25" s="259"/>
      <c r="AB25" s="209">
        <v>23</v>
      </c>
      <c r="AC25" s="259"/>
      <c r="AE25" s="209">
        <v>23</v>
      </c>
      <c r="AF25" s="259"/>
      <c r="AH25" s="209">
        <v>23</v>
      </c>
      <c r="AI25" s="259"/>
    </row>
    <row r="26" spans="1:35" x14ac:dyDescent="0.25">
      <c r="A26" s="209">
        <v>24</v>
      </c>
      <c r="B26" s="259"/>
      <c r="D26" s="209">
        <v>24</v>
      </c>
      <c r="E26" s="259"/>
      <c r="G26" s="209">
        <v>24</v>
      </c>
      <c r="H26" s="259"/>
      <c r="J26" s="209">
        <v>24</v>
      </c>
      <c r="K26" s="259"/>
      <c r="M26" s="209">
        <v>24</v>
      </c>
      <c r="N26" s="259"/>
      <c r="P26" s="209">
        <v>24</v>
      </c>
      <c r="Q26" s="259"/>
      <c r="S26" s="209">
        <v>24</v>
      </c>
      <c r="T26" s="259"/>
      <c r="V26" s="209">
        <v>24</v>
      </c>
      <c r="W26" s="259"/>
      <c r="Y26" s="209">
        <v>24</v>
      </c>
      <c r="Z26" s="259"/>
      <c r="AB26" s="209">
        <v>24</v>
      </c>
      <c r="AC26" s="259"/>
      <c r="AE26" s="209">
        <v>24</v>
      </c>
      <c r="AF26" s="259"/>
      <c r="AH26" s="209">
        <v>24</v>
      </c>
      <c r="AI26" s="259"/>
    </row>
    <row r="27" spans="1:35" x14ac:dyDescent="0.25">
      <c r="A27" s="209">
        <v>25</v>
      </c>
      <c r="B27" s="259"/>
      <c r="D27" s="209">
        <v>25</v>
      </c>
      <c r="E27" s="259"/>
      <c r="G27" s="209">
        <v>25</v>
      </c>
      <c r="H27" s="259"/>
      <c r="J27" s="209">
        <v>25</v>
      </c>
      <c r="K27" s="259"/>
      <c r="M27" s="209">
        <v>25</v>
      </c>
      <c r="N27" s="259"/>
      <c r="P27" s="209">
        <v>25</v>
      </c>
      <c r="Q27" s="259"/>
      <c r="S27" s="209">
        <v>25</v>
      </c>
      <c r="T27" s="259"/>
      <c r="V27" s="209">
        <v>25</v>
      </c>
      <c r="W27" s="259"/>
      <c r="Y27" s="209">
        <v>25</v>
      </c>
      <c r="Z27" s="259"/>
      <c r="AB27" s="209">
        <v>25</v>
      </c>
      <c r="AC27" s="259"/>
      <c r="AE27" s="209">
        <v>25</v>
      </c>
      <c r="AF27" s="259"/>
      <c r="AH27" s="209">
        <v>25</v>
      </c>
      <c r="AI27" s="259"/>
    </row>
    <row r="28" spans="1:35" x14ac:dyDescent="0.25">
      <c r="A28" s="209">
        <v>26</v>
      </c>
      <c r="B28" s="259"/>
      <c r="D28" s="209">
        <v>26</v>
      </c>
      <c r="E28" s="259"/>
      <c r="G28" s="209">
        <v>26</v>
      </c>
      <c r="H28" s="259"/>
      <c r="J28" s="209">
        <v>26</v>
      </c>
      <c r="K28" s="259"/>
      <c r="M28" s="209">
        <v>26</v>
      </c>
      <c r="N28" s="259"/>
      <c r="P28" s="209">
        <v>26</v>
      </c>
      <c r="Q28" s="259"/>
      <c r="S28" s="209">
        <v>26</v>
      </c>
      <c r="T28" s="259"/>
      <c r="V28" s="209">
        <v>26</v>
      </c>
      <c r="W28" s="259"/>
      <c r="Y28" s="209">
        <v>26</v>
      </c>
      <c r="Z28" s="259"/>
      <c r="AB28" s="209">
        <v>26</v>
      </c>
      <c r="AC28" s="259"/>
      <c r="AE28" s="209">
        <v>26</v>
      </c>
      <c r="AF28" s="259"/>
      <c r="AH28" s="209">
        <v>26</v>
      </c>
      <c r="AI28" s="259"/>
    </row>
    <row r="29" spans="1:35" x14ac:dyDescent="0.25">
      <c r="A29" s="209">
        <v>27</v>
      </c>
      <c r="B29" s="259"/>
      <c r="D29" s="209">
        <v>27</v>
      </c>
      <c r="E29" s="259"/>
      <c r="G29" s="209">
        <v>27</v>
      </c>
      <c r="H29" s="259"/>
      <c r="J29" s="209">
        <v>27</v>
      </c>
      <c r="K29" s="259"/>
      <c r="M29" s="209">
        <v>27</v>
      </c>
      <c r="N29" s="259"/>
      <c r="P29" s="209">
        <v>27</v>
      </c>
      <c r="Q29" s="259"/>
      <c r="S29" s="209">
        <v>27</v>
      </c>
      <c r="T29" s="259"/>
      <c r="V29" s="209">
        <v>27</v>
      </c>
      <c r="W29" s="259"/>
      <c r="Y29" s="209">
        <v>27</v>
      </c>
      <c r="Z29" s="259"/>
      <c r="AB29" s="209">
        <v>27</v>
      </c>
      <c r="AC29" s="259"/>
      <c r="AE29" s="209">
        <v>27</v>
      </c>
      <c r="AF29" s="259"/>
      <c r="AH29" s="209">
        <v>27</v>
      </c>
      <c r="AI29" s="259"/>
    </row>
    <row r="30" spans="1:35" ht="15.75" thickBot="1" x14ac:dyDescent="0.3">
      <c r="A30" s="209">
        <v>28</v>
      </c>
      <c r="B30" s="259"/>
      <c r="D30" s="210">
        <v>28</v>
      </c>
      <c r="E30" s="260"/>
      <c r="G30" s="209">
        <v>28</v>
      </c>
      <c r="H30" s="259"/>
      <c r="J30" s="209">
        <v>28</v>
      </c>
      <c r="K30" s="259"/>
      <c r="M30" s="209">
        <v>28</v>
      </c>
      <c r="N30" s="259"/>
      <c r="P30" s="209">
        <v>28</v>
      </c>
      <c r="Q30" s="259"/>
      <c r="S30" s="209">
        <v>28</v>
      </c>
      <c r="T30" s="259"/>
      <c r="V30" s="209">
        <v>28</v>
      </c>
      <c r="W30" s="259"/>
      <c r="Y30" s="209">
        <v>28</v>
      </c>
      <c r="Z30" s="259"/>
      <c r="AB30" s="209">
        <v>28</v>
      </c>
      <c r="AC30" s="259"/>
      <c r="AE30" s="209">
        <v>28</v>
      </c>
      <c r="AF30" s="259"/>
      <c r="AH30" s="209">
        <v>28</v>
      </c>
      <c r="AI30" s="259"/>
    </row>
    <row r="31" spans="1:35" x14ac:dyDescent="0.25">
      <c r="A31" s="209">
        <v>29</v>
      </c>
      <c r="B31" s="259"/>
      <c r="D31" s="209" t="s">
        <v>35</v>
      </c>
      <c r="E31" s="261">
        <f>SUM(E3:E30)</f>
        <v>0</v>
      </c>
      <c r="G31" s="209">
        <v>29</v>
      </c>
      <c r="H31" s="259"/>
      <c r="J31" s="209">
        <v>29</v>
      </c>
      <c r="K31" s="259"/>
      <c r="M31" s="209">
        <v>29</v>
      </c>
      <c r="N31" s="259"/>
      <c r="P31" s="209">
        <v>29</v>
      </c>
      <c r="Q31" s="259"/>
      <c r="S31" s="209">
        <v>29</v>
      </c>
      <c r="T31" s="259"/>
      <c r="V31" s="209">
        <v>29</v>
      </c>
      <c r="W31" s="259"/>
      <c r="Y31" s="209">
        <v>29</v>
      </c>
      <c r="Z31" s="259"/>
      <c r="AB31" s="209">
        <v>29</v>
      </c>
      <c r="AC31" s="259"/>
      <c r="AE31" s="209">
        <v>29</v>
      </c>
      <c r="AF31" s="259"/>
      <c r="AH31" s="209">
        <v>29</v>
      </c>
      <c r="AI31" s="259"/>
    </row>
    <row r="32" spans="1:35" ht="15.75" thickBot="1" x14ac:dyDescent="0.3">
      <c r="A32" s="209">
        <v>30</v>
      </c>
      <c r="B32" s="259"/>
      <c r="D32" s="211" t="s">
        <v>56</v>
      </c>
      <c r="E32" s="261">
        <f>COUNTIFS(Feb[Resident Name],"&lt;&gt;")</f>
        <v>0</v>
      </c>
      <c r="G32" s="209">
        <v>30</v>
      </c>
      <c r="H32" s="259"/>
      <c r="J32" s="210">
        <v>30</v>
      </c>
      <c r="K32" s="260"/>
      <c r="M32" s="209">
        <v>30</v>
      </c>
      <c r="N32" s="259"/>
      <c r="P32" s="210">
        <v>30</v>
      </c>
      <c r="Q32" s="260"/>
      <c r="S32" s="209">
        <v>30</v>
      </c>
      <c r="T32" s="259"/>
      <c r="V32" s="209">
        <v>30</v>
      </c>
      <c r="W32" s="259"/>
      <c r="Y32" s="210">
        <v>30</v>
      </c>
      <c r="Z32" s="260"/>
      <c r="AB32" s="209">
        <v>30</v>
      </c>
      <c r="AC32" s="259"/>
      <c r="AE32" s="210">
        <v>30</v>
      </c>
      <c r="AF32" s="260"/>
      <c r="AH32" s="209">
        <v>30</v>
      </c>
      <c r="AI32" s="259"/>
    </row>
    <row r="33" spans="1:35" ht="15.75" thickBot="1" x14ac:dyDescent="0.3">
      <c r="A33" s="210">
        <v>31</v>
      </c>
      <c r="B33" s="260"/>
      <c r="D33" s="210" t="s">
        <v>57</v>
      </c>
      <c r="E33" s="262" t="str">
        <f>IFERROR(IF(ROUND(SUM((E32/E31)*1000),1)=0,"No Data",ROUND(SUM((E32/E31)*1000),1)),"No Data")</f>
        <v>No Data</v>
      </c>
      <c r="G33" s="210">
        <v>31</v>
      </c>
      <c r="H33" s="260"/>
      <c r="J33" s="211" t="s">
        <v>35</v>
      </c>
      <c r="K33" s="261">
        <f>SUM(K3:K32)</f>
        <v>0</v>
      </c>
      <c r="M33" s="210">
        <v>31</v>
      </c>
      <c r="N33" s="260"/>
      <c r="P33" s="211" t="s">
        <v>35</v>
      </c>
      <c r="Q33" s="261">
        <f>SUM(Q3:Q32)</f>
        <v>0</v>
      </c>
      <c r="S33" s="210">
        <v>31</v>
      </c>
      <c r="T33" s="260"/>
      <c r="V33" s="210">
        <v>31</v>
      </c>
      <c r="W33" s="260"/>
      <c r="Y33" s="211" t="s">
        <v>35</v>
      </c>
      <c r="Z33" s="261">
        <f>SUM(Z3:Z32)</f>
        <v>0</v>
      </c>
      <c r="AB33" s="210">
        <v>31</v>
      </c>
      <c r="AC33" s="260"/>
      <c r="AE33" s="211" t="s">
        <v>35</v>
      </c>
      <c r="AF33" s="261">
        <f>SUM(AF3:AF32)</f>
        <v>0</v>
      </c>
      <c r="AH33" s="210">
        <v>31</v>
      </c>
      <c r="AI33" s="260"/>
    </row>
    <row r="34" spans="1:35" x14ac:dyDescent="0.25">
      <c r="A34" s="211" t="s">
        <v>35</v>
      </c>
      <c r="B34" s="261">
        <f>SUM(B3:B33)</f>
        <v>0</v>
      </c>
      <c r="G34" s="211" t="s">
        <v>35</v>
      </c>
      <c r="H34" s="261">
        <f>SUM(H3:H33)</f>
        <v>0</v>
      </c>
      <c r="J34" s="211" t="s">
        <v>56</v>
      </c>
      <c r="K34" s="261">
        <f>COUNTIFS(Apr[Resident Name],"&lt;&gt;")</f>
        <v>0</v>
      </c>
      <c r="M34" s="211" t="s">
        <v>35</v>
      </c>
      <c r="N34" s="261">
        <f>SUM(N3:N33)</f>
        <v>0</v>
      </c>
      <c r="P34" s="211" t="s">
        <v>56</v>
      </c>
      <c r="Q34" s="261">
        <f>COUNTIFS(June[Resident Name],"&lt;&gt;")</f>
        <v>0</v>
      </c>
      <c r="S34" s="211" t="s">
        <v>35</v>
      </c>
      <c r="T34" s="261">
        <f>SUM(T3:T33)</f>
        <v>0</v>
      </c>
      <c r="V34" s="211" t="s">
        <v>35</v>
      </c>
      <c r="W34" s="261">
        <f>SUM(W3:W33)</f>
        <v>0</v>
      </c>
      <c r="Y34" s="211" t="s">
        <v>56</v>
      </c>
      <c r="Z34" s="261">
        <f>COUNTIFS(Sept[Resident Name],"&lt;&gt;")</f>
        <v>0</v>
      </c>
      <c r="AB34" s="211" t="s">
        <v>35</v>
      </c>
      <c r="AC34" s="261">
        <f>SUM(AC3:AC33)</f>
        <v>0</v>
      </c>
      <c r="AE34" s="211" t="s">
        <v>56</v>
      </c>
      <c r="AF34" s="261">
        <f>COUNTIFS(Nov[Resident Name],"&lt;&gt;")</f>
        <v>0</v>
      </c>
      <c r="AH34" s="211" t="s">
        <v>35</v>
      </c>
      <c r="AI34" s="261">
        <f>SUM(AI3:AI33)</f>
        <v>0</v>
      </c>
    </row>
    <row r="35" spans="1:35" ht="15.75" thickBot="1" x14ac:dyDescent="0.3">
      <c r="A35" s="211" t="s">
        <v>56</v>
      </c>
      <c r="B35" s="261">
        <f>COUNTIFS(Jan[Resident Name],"&lt;&gt;")</f>
        <v>0</v>
      </c>
      <c r="G35" s="211" t="s">
        <v>56</v>
      </c>
      <c r="H35" s="261">
        <f>COUNTIFS(Mar[Resident Name],"&lt;&gt;")</f>
        <v>0</v>
      </c>
      <c r="J35" s="212" t="s">
        <v>57</v>
      </c>
      <c r="K35" s="262" t="str">
        <f>IFERROR(IF(ROUND(SUM((K34/K33)*1000),1)=0,"No Data",ROUND(SUM((K34/K33)*1000),1)),"No Data")</f>
        <v>No Data</v>
      </c>
      <c r="M35" s="211" t="s">
        <v>56</v>
      </c>
      <c r="N35" s="261">
        <f>COUNTIFS(May[Resident Name],"&lt;&gt;")</f>
        <v>0</v>
      </c>
      <c r="P35" s="212" t="s">
        <v>57</v>
      </c>
      <c r="Q35" s="262" t="str">
        <f>IFERROR(IF(ROUND(SUM((Q34/Q33)*1000),1)=0,"No Data",ROUND(SUM((Q34/Q33)*1000),1)),"No Data")</f>
        <v>No Data</v>
      </c>
      <c r="S35" s="211" t="s">
        <v>56</v>
      </c>
      <c r="T35" s="261">
        <f>COUNTIFS(July[Resident Name],"&lt;&gt;")</f>
        <v>0</v>
      </c>
      <c r="V35" s="211" t="s">
        <v>56</v>
      </c>
      <c r="W35" s="261">
        <f>COUNTIFS(Aug[Resident Name],"&lt;&gt;")</f>
        <v>0</v>
      </c>
      <c r="Y35" s="212" t="s">
        <v>57</v>
      </c>
      <c r="Z35" s="262" t="str">
        <f>IFERROR(IF(ROUND(SUM((Z34/Z33)*1000),1)=0,"No Data",ROUND(SUM((Z34/Z33)*1000),1)),"No Data")</f>
        <v>No Data</v>
      </c>
      <c r="AB35" s="211" t="s">
        <v>56</v>
      </c>
      <c r="AC35" s="261">
        <f>COUNTIFS(Oct[Resident Name],"&lt;&gt;")</f>
        <v>0</v>
      </c>
      <c r="AE35" s="212" t="s">
        <v>57</v>
      </c>
      <c r="AF35" s="262" t="str">
        <f>IFERROR(IF(ROUND(SUM((AF34/AF33)*1000),1)=0,"No Data",ROUND(SUM((AF34/AF33)*1000),1)),"No Data")</f>
        <v>No Data</v>
      </c>
      <c r="AH35" s="211" t="s">
        <v>56</v>
      </c>
      <c r="AI35" s="261">
        <f>COUNTIFS(Dec[Resident Name],"&lt;&gt;")</f>
        <v>0</v>
      </c>
    </row>
    <row r="36" spans="1:35" ht="15.75" thickBot="1" x14ac:dyDescent="0.3">
      <c r="A36" s="212" t="s">
        <v>57</v>
      </c>
      <c r="B36" s="262" t="str">
        <f>IFERROR(IF(ROUND(SUM((B35/B34)*1000),1)=0,"No Data",ROUND(SUM((B35/B34)*1000),1)),"No Data")</f>
        <v>No Data</v>
      </c>
      <c r="G36" s="212" t="s">
        <v>57</v>
      </c>
      <c r="H36" s="262" t="str">
        <f>IFERROR(IF(ROUND(SUM((H35/H34)*1000),1)=0,"No Data",ROUND(SUM((H35/H34)*1000),1)),"No Data")</f>
        <v>No Data</v>
      </c>
      <c r="M36" s="212" t="s">
        <v>57</v>
      </c>
      <c r="N36" s="262" t="str">
        <f>IFERROR(IF(ROUND(SUM((N35/N34)*1000),1)=0,"No Data",ROUND(SUM((N35/N34)*1000),1)),"No Data")</f>
        <v>No Data</v>
      </c>
      <c r="S36" s="212" t="s">
        <v>57</v>
      </c>
      <c r="T36" s="262" t="str">
        <f>IFERROR(IF(ROUND(SUM((T35/T34)*1000),1)=0,"No Data",ROUND(SUM((T35/T34)*1000),1)),"No Data")</f>
        <v>No Data</v>
      </c>
      <c r="V36" s="212" t="s">
        <v>57</v>
      </c>
      <c r="W36" s="262" t="str">
        <f>IFERROR(IF(ROUND(SUM((W35/W34)*1000),1)=0,"No Data",ROUND(SUM((W35/W34)*1000),1)),"No Data")</f>
        <v>No Data</v>
      </c>
      <c r="AB36" s="212" t="s">
        <v>57</v>
      </c>
      <c r="AC36" s="262" t="str">
        <f>IFERROR(IF(ROUND(SUM((AC35/AC34)*1000),1)=0,"No Data",ROUND(SUM((AC35/AC34)*1000),1)),"No Data")</f>
        <v>No Data</v>
      </c>
      <c r="AH36" s="212" t="s">
        <v>57</v>
      </c>
      <c r="AI36" s="262" t="str">
        <f>IFERROR(IF(ROUND(SUM((AI35/AI34)*1000),1)=0,"No Data",ROUND(SUM((AI35/AI34)*1000),1)),"No Data")</f>
        <v>No Data</v>
      </c>
    </row>
  </sheetData>
  <sheetProtection algorithmName="SHA-512" hashValue="94gfsB73GwRxM5UywF81zoDfYoqMIpwYUat5wE+qKwON7nDEUXeB2SuDWqezKRxpnmmLhOKMw5THcJ9msp6PWg==" saltValue="usKWPe9RXQDLl0yl+FnuwA==" spinCount="100000" sheet="1" formatCells="0" formatColumns="0" formatRows="0"/>
  <pageMargins left="0.7" right="0.7" top="0.75" bottom="0.75" header="0.3" footer="0.3"/>
  <pageSetup scale="94" orientation="landscape" r:id="rId1"/>
  <colBreaks count="2" manualBreakCount="2">
    <brk id="14" max="1048575" man="1"/>
    <brk id="29" max="1048575" man="1"/>
  </colBreaks>
  <tableParts count="12">
    <tablePart r:id="rId2"/>
    <tablePart r:id="rId3"/>
    <tablePart r:id="rId4"/>
    <tablePart r:id="rId5"/>
    <tablePart r:id="rId6"/>
    <tablePart r:id="rId7"/>
    <tablePart r:id="rId8"/>
    <tablePart r:id="rId9"/>
    <tablePart r:id="rId10"/>
    <tablePart r:id="rId11"/>
    <tablePart r:id="rId12"/>
    <tablePart r:id="rId1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E96"/>
  <sheetViews>
    <sheetView showGridLines="0" zoomScaleNormal="100" workbookViewId="0"/>
  </sheetViews>
  <sheetFormatPr defaultColWidth="0" defaultRowHeight="15" x14ac:dyDescent="0.25"/>
  <cols>
    <col min="1" max="1" width="1.42578125" customWidth="1"/>
    <col min="2" max="2" width="13.140625" customWidth="1"/>
    <col min="3" max="3" width="2" customWidth="1"/>
    <col min="4" max="4" width="12.5703125" customWidth="1"/>
    <col min="5" max="5" width="2.7109375" customWidth="1"/>
    <col min="6" max="6" width="11" customWidth="1"/>
    <col min="7" max="7" width="14" customWidth="1"/>
    <col min="8" max="8" width="2.42578125" customWidth="1"/>
    <col min="9" max="9" width="8" customWidth="1"/>
    <col min="10" max="10" width="12.140625" customWidth="1"/>
    <col min="11" max="11" width="4.140625" customWidth="1"/>
    <col min="12" max="12" width="9.28515625" customWidth="1"/>
    <col min="13" max="13" width="2.85546875" customWidth="1"/>
    <col min="14" max="14" width="5.42578125" customWidth="1"/>
    <col min="15" max="15" width="8.28515625" customWidth="1"/>
    <col min="16" max="16" width="5.7109375" customWidth="1"/>
    <col min="17" max="17" width="8.42578125" customWidth="1"/>
    <col min="18" max="18" width="5" customWidth="1"/>
    <col min="19" max="19" width="6.140625" customWidth="1"/>
    <col min="20" max="20" width="10.7109375" bestFit="1" customWidth="1"/>
    <col min="21" max="22" width="20.7109375" customWidth="1"/>
    <col min="23" max="23" width="11.42578125" customWidth="1"/>
    <col min="24" max="24" width="20.7109375" customWidth="1"/>
    <col min="25" max="27" width="13.140625" customWidth="1"/>
    <col min="28" max="28" width="14.28515625" customWidth="1"/>
    <col min="29" max="31" width="8.85546875" customWidth="1"/>
    <col min="32" max="16384" width="8.85546875" hidden="1"/>
  </cols>
  <sheetData>
    <row r="1" spans="2:17" ht="6.4" customHeight="1" x14ac:dyDescent="0.25"/>
    <row r="2" spans="2:17" ht="15.75" x14ac:dyDescent="0.25">
      <c r="B2" s="214" t="s">
        <v>110</v>
      </c>
      <c r="Q2" s="13"/>
    </row>
    <row r="3" spans="2:17" ht="5.45" customHeight="1" x14ac:dyDescent="0.25">
      <c r="B3" s="215"/>
      <c r="Q3" s="174"/>
    </row>
    <row r="4" spans="2:17" x14ac:dyDescent="0.25">
      <c r="B4" s="303" t="s">
        <v>112</v>
      </c>
      <c r="C4" s="303"/>
      <c r="D4" s="303"/>
      <c r="E4" s="303"/>
      <c r="F4" s="303"/>
      <c r="G4" s="303"/>
      <c r="H4" s="216"/>
      <c r="I4" s="216"/>
      <c r="J4" s="216"/>
      <c r="K4" s="216"/>
      <c r="L4" s="216"/>
      <c r="M4" s="216"/>
      <c r="N4" s="216"/>
      <c r="O4" s="216"/>
    </row>
    <row r="6" spans="2:17" ht="24.4" customHeight="1" x14ac:dyDescent="0.25">
      <c r="B6" s="337" t="s">
        <v>63</v>
      </c>
      <c r="C6" s="338"/>
      <c r="D6" s="322" t="s">
        <v>160</v>
      </c>
      <c r="E6" s="323"/>
      <c r="F6" s="323"/>
      <c r="G6" s="324"/>
      <c r="J6" s="217" t="s">
        <v>159</v>
      </c>
    </row>
    <row r="7" spans="2:17" x14ac:dyDescent="0.25">
      <c r="J7" s="174"/>
    </row>
    <row r="8" spans="2:17" ht="18.75" customHeight="1" x14ac:dyDescent="0.25">
      <c r="B8" s="218" t="s">
        <v>28</v>
      </c>
      <c r="C8" s="322">
        <v>2027</v>
      </c>
      <c r="D8" s="323"/>
      <c r="E8" s="323"/>
      <c r="F8" s="323"/>
      <c r="G8" s="324"/>
      <c r="J8" s="217" t="s">
        <v>111</v>
      </c>
    </row>
    <row r="10" spans="2:17" ht="15" customHeight="1" x14ac:dyDescent="0.25">
      <c r="B10" s="170" t="s">
        <v>109</v>
      </c>
      <c r="D10" s="170" t="s">
        <v>109</v>
      </c>
      <c r="F10" s="280" t="s">
        <v>109</v>
      </c>
      <c r="G10" s="280"/>
      <c r="I10" s="332" t="s">
        <v>109</v>
      </c>
      <c r="J10" s="332"/>
      <c r="K10" s="332"/>
      <c r="L10" s="332"/>
      <c r="N10" s="280" t="s">
        <v>65</v>
      </c>
      <c r="O10" s="280"/>
      <c r="P10" s="280"/>
    </row>
    <row r="11" spans="2:17" ht="30" customHeight="1" x14ac:dyDescent="0.25">
      <c r="B11" s="219" t="s">
        <v>1</v>
      </c>
      <c r="D11" s="220" t="s">
        <v>64</v>
      </c>
      <c r="F11" s="331" t="s">
        <v>148</v>
      </c>
      <c r="G11" s="331"/>
      <c r="I11" s="331" t="s">
        <v>148</v>
      </c>
      <c r="J11" s="331"/>
      <c r="K11" s="331"/>
      <c r="L11" s="331"/>
      <c r="N11" s="341" t="s">
        <v>33</v>
      </c>
      <c r="O11" s="341"/>
      <c r="P11" s="221" t="s">
        <v>34</v>
      </c>
    </row>
    <row r="12" spans="2:17" ht="43.5" customHeight="1" x14ac:dyDescent="0.25">
      <c r="B12" s="222" t="s">
        <v>39</v>
      </c>
      <c r="D12" s="222">
        <v>1</v>
      </c>
      <c r="F12" s="330" t="s">
        <v>72</v>
      </c>
      <c r="G12" s="330"/>
      <c r="I12" s="330" t="s">
        <v>149</v>
      </c>
      <c r="J12" s="330"/>
      <c r="K12" s="330"/>
      <c r="L12" s="330"/>
      <c r="N12" s="340" t="s">
        <v>115</v>
      </c>
      <c r="O12" s="340"/>
      <c r="P12" s="223" t="s">
        <v>139</v>
      </c>
    </row>
    <row r="13" spans="2:17" ht="24" customHeight="1" x14ac:dyDescent="0.25">
      <c r="B13" s="222" t="s">
        <v>17</v>
      </c>
      <c r="D13" s="222">
        <v>2</v>
      </c>
      <c r="F13" s="330" t="s">
        <v>71</v>
      </c>
      <c r="G13" s="330"/>
      <c r="I13" s="330" t="s">
        <v>150</v>
      </c>
      <c r="J13" s="330"/>
      <c r="K13" s="330"/>
      <c r="L13" s="330"/>
      <c r="N13" s="340" t="s">
        <v>116</v>
      </c>
      <c r="O13" s="340"/>
      <c r="P13" s="223" t="s">
        <v>139</v>
      </c>
    </row>
    <row r="14" spans="2:17" ht="26.25" customHeight="1" x14ac:dyDescent="0.25">
      <c r="B14" s="222" t="s">
        <v>18</v>
      </c>
      <c r="D14" s="222">
        <v>3</v>
      </c>
      <c r="F14" s="330" t="s">
        <v>73</v>
      </c>
      <c r="G14" s="330"/>
      <c r="I14" s="330" t="s">
        <v>151</v>
      </c>
      <c r="J14" s="330"/>
      <c r="K14" s="330"/>
      <c r="L14" s="330"/>
      <c r="N14" s="340" t="s">
        <v>117</v>
      </c>
      <c r="O14" s="340"/>
      <c r="P14" s="223" t="s">
        <v>139</v>
      </c>
    </row>
    <row r="15" spans="2:17" ht="32.25" customHeight="1" x14ac:dyDescent="0.25">
      <c r="B15" s="222" t="s">
        <v>19</v>
      </c>
      <c r="D15" s="222">
        <v>4</v>
      </c>
      <c r="F15" s="330" t="s">
        <v>74</v>
      </c>
      <c r="G15" s="330"/>
      <c r="I15" s="330" t="s">
        <v>152</v>
      </c>
      <c r="J15" s="330"/>
      <c r="K15" s="330"/>
      <c r="L15" s="330"/>
      <c r="N15" s="340" t="s">
        <v>118</v>
      </c>
      <c r="O15" s="340"/>
      <c r="P15" s="223" t="s">
        <v>139</v>
      </c>
    </row>
    <row r="16" spans="2:17" ht="27.75" customHeight="1" x14ac:dyDescent="0.25">
      <c r="B16" s="222" t="s">
        <v>91</v>
      </c>
      <c r="D16" s="222">
        <v>5</v>
      </c>
      <c r="F16" s="330" t="s">
        <v>70</v>
      </c>
      <c r="G16" s="330"/>
      <c r="I16" s="330" t="s">
        <v>153</v>
      </c>
      <c r="J16" s="330"/>
      <c r="K16" s="330"/>
      <c r="L16" s="330"/>
      <c r="N16" s="340" t="s">
        <v>119</v>
      </c>
      <c r="O16" s="340"/>
      <c r="P16" s="223" t="s">
        <v>139</v>
      </c>
    </row>
    <row r="17" spans="2:27" ht="19.7" customHeight="1" x14ac:dyDescent="0.25">
      <c r="B17" s="222" t="s">
        <v>97</v>
      </c>
      <c r="D17" s="222"/>
      <c r="F17" s="330" t="s">
        <v>69</v>
      </c>
      <c r="G17" s="330"/>
      <c r="I17" s="330" t="s">
        <v>154</v>
      </c>
      <c r="J17" s="330"/>
      <c r="K17" s="330"/>
      <c r="L17" s="330"/>
      <c r="N17" s="340" t="s">
        <v>120</v>
      </c>
      <c r="O17" s="340"/>
      <c r="P17" s="223" t="s">
        <v>139</v>
      </c>
    </row>
    <row r="18" spans="2:27" ht="19.7" customHeight="1" x14ac:dyDescent="0.25">
      <c r="B18" s="222" t="s">
        <v>98</v>
      </c>
      <c r="D18" s="222"/>
      <c r="E18" s="188"/>
      <c r="F18" s="330" t="s">
        <v>66</v>
      </c>
      <c r="G18" s="330"/>
      <c r="I18" s="330" t="s">
        <v>155</v>
      </c>
      <c r="J18" s="330"/>
      <c r="K18" s="330"/>
      <c r="L18" s="330"/>
      <c r="N18" s="340" t="s">
        <v>121</v>
      </c>
      <c r="O18" s="340"/>
      <c r="P18" s="223" t="s">
        <v>139</v>
      </c>
    </row>
    <row r="19" spans="2:27" ht="19.7" customHeight="1" x14ac:dyDescent="0.25">
      <c r="B19" s="222"/>
      <c r="D19" s="222"/>
      <c r="F19" s="330" t="s">
        <v>67</v>
      </c>
      <c r="G19" s="330"/>
      <c r="I19" s="330" t="s">
        <v>156</v>
      </c>
      <c r="J19" s="330"/>
      <c r="K19" s="330"/>
      <c r="L19" s="330"/>
      <c r="N19" s="340" t="s">
        <v>122</v>
      </c>
      <c r="O19" s="340"/>
      <c r="P19" s="223" t="s">
        <v>140</v>
      </c>
    </row>
    <row r="20" spans="2:27" ht="19.7" customHeight="1" x14ac:dyDescent="0.25">
      <c r="B20" s="222"/>
      <c r="D20" s="222"/>
      <c r="F20" s="330" t="s">
        <v>68</v>
      </c>
      <c r="G20" s="330"/>
      <c r="I20" s="330" t="s">
        <v>99</v>
      </c>
      <c r="J20" s="330"/>
      <c r="K20" s="330"/>
      <c r="L20" s="330"/>
      <c r="N20" s="340" t="s">
        <v>123</v>
      </c>
      <c r="O20" s="340"/>
      <c r="P20" s="223" t="s">
        <v>140</v>
      </c>
    </row>
    <row r="21" spans="2:27" ht="19.7" customHeight="1" x14ac:dyDescent="0.25">
      <c r="B21" s="222"/>
      <c r="D21" s="222"/>
      <c r="F21" s="330" t="s">
        <v>75</v>
      </c>
      <c r="G21" s="330"/>
      <c r="I21" s="330" t="s">
        <v>157</v>
      </c>
      <c r="J21" s="330"/>
      <c r="K21" s="330"/>
      <c r="L21" s="330"/>
      <c r="N21" s="340" t="s">
        <v>124</v>
      </c>
      <c r="O21" s="340"/>
      <c r="P21" s="223" t="s">
        <v>140</v>
      </c>
    </row>
    <row r="22" spans="2:27" ht="19.7" customHeight="1" x14ac:dyDescent="0.25">
      <c r="B22" s="224"/>
      <c r="D22" s="224"/>
      <c r="F22" s="330" t="s">
        <v>76</v>
      </c>
      <c r="G22" s="330"/>
      <c r="I22" s="330" t="s">
        <v>93</v>
      </c>
      <c r="J22" s="330"/>
      <c r="K22" s="330"/>
      <c r="L22" s="330"/>
      <c r="N22" s="340" t="s">
        <v>125</v>
      </c>
      <c r="O22" s="340"/>
      <c r="P22" s="223" t="s">
        <v>140</v>
      </c>
    </row>
    <row r="28" spans="2:27" x14ac:dyDescent="0.25">
      <c r="B28" s="303" t="s">
        <v>145</v>
      </c>
      <c r="C28" s="303"/>
      <c r="D28" s="303"/>
      <c r="E28" s="303"/>
      <c r="F28" s="303"/>
      <c r="G28" s="303"/>
      <c r="H28" s="216"/>
      <c r="I28" s="216"/>
      <c r="J28" s="216"/>
      <c r="K28" s="216"/>
      <c r="L28" s="216"/>
      <c r="M28" s="216"/>
      <c r="N28" s="216"/>
      <c r="O28" s="216"/>
    </row>
    <row r="29" spans="2:27" ht="15.75" thickBot="1" x14ac:dyDescent="0.3">
      <c r="B29" s="13" t="s">
        <v>28</v>
      </c>
      <c r="C29" s="339">
        <v>2025</v>
      </c>
      <c r="D29" s="339"/>
      <c r="E29" s="15"/>
      <c r="F29" s="15"/>
      <c r="G29" s="15"/>
      <c r="H29" s="15"/>
      <c r="I29" s="15"/>
      <c r="J29" s="15"/>
      <c r="K29" s="15"/>
      <c r="L29" s="15"/>
      <c r="M29" s="15"/>
      <c r="N29" s="15"/>
      <c r="O29" s="15"/>
      <c r="P29" s="15"/>
      <c r="Q29" s="15"/>
      <c r="R29" s="15"/>
      <c r="S29" s="15"/>
      <c r="T29" s="15"/>
      <c r="U29" s="15"/>
      <c r="V29" s="162"/>
      <c r="W29" s="17" t="s">
        <v>59</v>
      </c>
      <c r="X29" s="14">
        <v>18</v>
      </c>
      <c r="Y29" s="17" t="s">
        <v>62</v>
      </c>
      <c r="Z29" s="14">
        <v>4</v>
      </c>
    </row>
    <row r="30" spans="2:27" ht="24.6" customHeight="1" thickBot="1" x14ac:dyDescent="0.3">
      <c r="B30" s="225" t="s">
        <v>104</v>
      </c>
      <c r="C30" s="320" t="s">
        <v>105</v>
      </c>
      <c r="D30" s="325"/>
      <c r="E30" s="325"/>
      <c r="F30" s="226" t="s">
        <v>0</v>
      </c>
      <c r="G30" s="226" t="s">
        <v>89</v>
      </c>
      <c r="H30" s="320" t="s">
        <v>84</v>
      </c>
      <c r="I30" s="321"/>
      <c r="J30" s="227" t="s">
        <v>100</v>
      </c>
      <c r="K30" s="320" t="s">
        <v>90</v>
      </c>
      <c r="L30" s="321"/>
      <c r="M30" s="320" t="s">
        <v>1</v>
      </c>
      <c r="N30" s="321"/>
      <c r="O30" s="228" t="s">
        <v>2</v>
      </c>
      <c r="P30" s="228" t="s">
        <v>3</v>
      </c>
      <c r="Q30" s="228" t="s">
        <v>33</v>
      </c>
      <c r="R30" s="228" t="s">
        <v>34</v>
      </c>
      <c r="S30" s="228" t="s">
        <v>26</v>
      </c>
      <c r="T30" s="228" t="s">
        <v>30</v>
      </c>
      <c r="U30" s="228" t="s">
        <v>174</v>
      </c>
      <c r="V30" s="229" t="s">
        <v>80</v>
      </c>
      <c r="W30" s="228" t="s">
        <v>81</v>
      </c>
      <c r="X30" s="228" t="s">
        <v>92</v>
      </c>
      <c r="Y30" s="230" t="s">
        <v>95</v>
      </c>
      <c r="Z30" s="230" t="s">
        <v>169</v>
      </c>
      <c r="AA30" s="231" t="s">
        <v>96</v>
      </c>
    </row>
    <row r="31" spans="2:27" ht="19.7" customHeight="1" x14ac:dyDescent="0.25">
      <c r="B31" s="232" t="s">
        <v>161</v>
      </c>
      <c r="C31" s="328" t="s">
        <v>175</v>
      </c>
      <c r="D31" s="329"/>
      <c r="E31" s="329"/>
      <c r="F31" s="233">
        <v>45659</v>
      </c>
      <c r="G31" s="233">
        <v>45662</v>
      </c>
      <c r="H31" s="318" t="s">
        <v>42</v>
      </c>
      <c r="I31" s="319"/>
      <c r="J31" s="234" t="s">
        <v>102</v>
      </c>
      <c r="K31" s="335" t="s">
        <v>88</v>
      </c>
      <c r="L31" s="336"/>
      <c r="M31" s="335" t="s">
        <v>19</v>
      </c>
      <c r="N31" s="336"/>
      <c r="O31" s="235">
        <v>1</v>
      </c>
      <c r="P31" s="236" t="s">
        <v>51</v>
      </c>
      <c r="Q31" s="237" t="s">
        <v>135</v>
      </c>
      <c r="R31" s="236" t="s">
        <v>141</v>
      </c>
      <c r="S31" s="235">
        <v>2</v>
      </c>
      <c r="T31" s="236" t="s">
        <v>142</v>
      </c>
      <c r="U31" s="235" t="s">
        <v>67</v>
      </c>
      <c r="V31" s="238"/>
      <c r="W31" s="235" t="s">
        <v>42</v>
      </c>
      <c r="X31" s="239" t="s">
        <v>162</v>
      </c>
      <c r="Y31" s="240" t="s">
        <v>163</v>
      </c>
      <c r="Z31" s="240" t="s">
        <v>164</v>
      </c>
      <c r="AA31" s="240" t="s">
        <v>96</v>
      </c>
    </row>
    <row r="32" spans="2:27" ht="19.7" customHeight="1" x14ac:dyDescent="0.25">
      <c r="B32" s="241" t="s">
        <v>165</v>
      </c>
      <c r="C32" s="326" t="s">
        <v>176</v>
      </c>
      <c r="D32" s="327"/>
      <c r="E32" s="327"/>
      <c r="F32" s="242">
        <v>45659</v>
      </c>
      <c r="G32" s="242">
        <v>45660</v>
      </c>
      <c r="H32" s="316" t="s">
        <v>42</v>
      </c>
      <c r="I32" s="317"/>
      <c r="J32" s="243" t="s">
        <v>102</v>
      </c>
      <c r="K32" s="333" t="s">
        <v>77</v>
      </c>
      <c r="L32" s="334"/>
      <c r="M32" s="333" t="s">
        <v>97</v>
      </c>
      <c r="N32" s="334"/>
      <c r="O32" s="235">
        <v>1</v>
      </c>
      <c r="P32" s="236" t="s">
        <v>51</v>
      </c>
      <c r="Q32" s="237" t="s">
        <v>115</v>
      </c>
      <c r="R32" s="236" t="s">
        <v>139</v>
      </c>
      <c r="S32" s="235">
        <v>9</v>
      </c>
      <c r="T32" s="236" t="s">
        <v>143</v>
      </c>
      <c r="U32" s="235" t="s">
        <v>68</v>
      </c>
      <c r="V32" s="238"/>
      <c r="W32" s="235" t="s">
        <v>42</v>
      </c>
      <c r="X32" s="239" t="s">
        <v>166</v>
      </c>
      <c r="Y32" s="240" t="s">
        <v>163</v>
      </c>
      <c r="Z32" s="240" t="s">
        <v>164</v>
      </c>
      <c r="AA32" s="240" t="s">
        <v>96</v>
      </c>
    </row>
    <row r="33" spans="2:27" ht="19.7" customHeight="1" x14ac:dyDescent="0.25">
      <c r="B33" s="232" t="s">
        <v>167</v>
      </c>
      <c r="C33" s="326" t="s">
        <v>177</v>
      </c>
      <c r="D33" s="327"/>
      <c r="E33" s="327"/>
      <c r="F33" s="242">
        <v>45663</v>
      </c>
      <c r="G33" s="242">
        <v>45671</v>
      </c>
      <c r="H33" s="316" t="s">
        <v>42</v>
      </c>
      <c r="I33" s="317"/>
      <c r="J33" s="243" t="s">
        <v>102</v>
      </c>
      <c r="K33" s="333" t="s">
        <v>77</v>
      </c>
      <c r="L33" s="334"/>
      <c r="M33" s="333" t="s">
        <v>17</v>
      </c>
      <c r="N33" s="334"/>
      <c r="O33" s="235">
        <v>1</v>
      </c>
      <c r="P33" s="236" t="s">
        <v>47</v>
      </c>
      <c r="Q33" s="237" t="s">
        <v>133</v>
      </c>
      <c r="R33" s="236" t="s">
        <v>141</v>
      </c>
      <c r="S33" s="235">
        <v>15</v>
      </c>
      <c r="T33" s="236" t="s">
        <v>144</v>
      </c>
      <c r="U33" s="235" t="s">
        <v>69</v>
      </c>
      <c r="V33" s="238"/>
      <c r="W33" s="235" t="s">
        <v>42</v>
      </c>
      <c r="X33" s="239" t="s">
        <v>168</v>
      </c>
      <c r="Y33" s="240" t="s">
        <v>163</v>
      </c>
      <c r="Z33" s="240" t="s">
        <v>164</v>
      </c>
      <c r="AA33" s="240" t="s">
        <v>96</v>
      </c>
    </row>
    <row r="45" spans="2:27" x14ac:dyDescent="0.25">
      <c r="B45" s="303" t="s">
        <v>113</v>
      </c>
      <c r="C45" s="303"/>
      <c r="D45" s="303"/>
      <c r="E45" s="303"/>
      <c r="F45" s="303"/>
      <c r="G45" s="303"/>
      <c r="H45" s="216"/>
      <c r="I45" s="216"/>
      <c r="J45" s="216"/>
      <c r="K45" s="216"/>
      <c r="L45" s="216"/>
      <c r="M45" s="216"/>
      <c r="N45" s="216"/>
      <c r="O45" s="216"/>
    </row>
    <row r="60" spans="2:7" x14ac:dyDescent="0.25">
      <c r="B60" s="303" t="s">
        <v>114</v>
      </c>
      <c r="C60" s="303"/>
      <c r="D60" s="303"/>
      <c r="E60" s="303"/>
      <c r="F60" s="303"/>
      <c r="G60" s="303"/>
    </row>
    <row r="61" spans="2:7" ht="16.5" thickBot="1" x14ac:dyDescent="0.3">
      <c r="B61" s="302" t="s">
        <v>178</v>
      </c>
      <c r="C61" s="302"/>
      <c r="D61" s="302"/>
      <c r="F61" s="302" t="s">
        <v>178</v>
      </c>
      <c r="G61" s="302"/>
    </row>
    <row r="62" spans="2:7" ht="15.75" thickBot="1" x14ac:dyDescent="0.3">
      <c r="B62" s="244" t="s">
        <v>5</v>
      </c>
      <c r="C62" s="306" t="s">
        <v>55</v>
      </c>
      <c r="D62" s="307"/>
      <c r="F62" s="245" t="s">
        <v>6</v>
      </c>
      <c r="G62" s="246" t="s">
        <v>55</v>
      </c>
    </row>
    <row r="63" spans="2:7" x14ac:dyDescent="0.25">
      <c r="B63" s="247">
        <v>1</v>
      </c>
      <c r="C63" s="342">
        <v>120</v>
      </c>
      <c r="D63" s="343"/>
      <c r="F63" s="248">
        <v>1</v>
      </c>
      <c r="G63" s="249"/>
    </row>
    <row r="64" spans="2:7" x14ac:dyDescent="0.25">
      <c r="B64" s="250">
        <v>2</v>
      </c>
      <c r="C64" s="304">
        <v>125</v>
      </c>
      <c r="D64" s="305"/>
      <c r="F64" s="250">
        <v>2</v>
      </c>
      <c r="G64" s="251"/>
    </row>
    <row r="65" spans="2:7" x14ac:dyDescent="0.25">
      <c r="B65" s="250">
        <v>3</v>
      </c>
      <c r="C65" s="304">
        <v>130</v>
      </c>
      <c r="D65" s="305"/>
      <c r="F65" s="250">
        <v>3</v>
      </c>
      <c r="G65" s="251"/>
    </row>
    <row r="66" spans="2:7" x14ac:dyDescent="0.25">
      <c r="B66" s="250">
        <v>4</v>
      </c>
      <c r="C66" s="304">
        <v>140</v>
      </c>
      <c r="D66" s="305"/>
      <c r="F66" s="250">
        <v>4</v>
      </c>
      <c r="G66" s="251"/>
    </row>
    <row r="67" spans="2:7" x14ac:dyDescent="0.25">
      <c r="B67" s="250">
        <v>5</v>
      </c>
      <c r="C67" s="304">
        <v>142</v>
      </c>
      <c r="D67" s="305"/>
      <c r="F67" s="250">
        <v>5</v>
      </c>
      <c r="G67" s="251"/>
    </row>
    <row r="68" spans="2:7" x14ac:dyDescent="0.25">
      <c r="B68" s="250">
        <v>6</v>
      </c>
      <c r="C68" s="304">
        <v>141</v>
      </c>
      <c r="D68" s="305"/>
      <c r="F68" s="250">
        <v>6</v>
      </c>
      <c r="G68" s="251"/>
    </row>
    <row r="69" spans="2:7" x14ac:dyDescent="0.25">
      <c r="B69" s="250">
        <v>7</v>
      </c>
      <c r="C69" s="304">
        <v>136</v>
      </c>
      <c r="D69" s="305"/>
      <c r="F69" s="250">
        <v>7</v>
      </c>
      <c r="G69" s="251"/>
    </row>
    <row r="70" spans="2:7" x14ac:dyDescent="0.25">
      <c r="B70" s="250">
        <v>8</v>
      </c>
      <c r="C70" s="304">
        <v>150</v>
      </c>
      <c r="D70" s="305"/>
      <c r="F70" s="250">
        <v>8</v>
      </c>
      <c r="G70" s="251"/>
    </row>
    <row r="71" spans="2:7" x14ac:dyDescent="0.25">
      <c r="B71" s="250">
        <v>9</v>
      </c>
      <c r="C71" s="304">
        <v>152</v>
      </c>
      <c r="D71" s="305"/>
      <c r="F71" s="250">
        <v>9</v>
      </c>
      <c r="G71" s="251"/>
    </row>
    <row r="72" spans="2:7" x14ac:dyDescent="0.25">
      <c r="B72" s="250">
        <v>10</v>
      </c>
      <c r="C72" s="304">
        <v>156</v>
      </c>
      <c r="D72" s="305"/>
      <c r="F72" s="250">
        <v>10</v>
      </c>
      <c r="G72" s="251"/>
    </row>
    <row r="73" spans="2:7" x14ac:dyDescent="0.25">
      <c r="B73" s="250">
        <v>11</v>
      </c>
      <c r="C73" s="304">
        <v>160</v>
      </c>
      <c r="D73" s="305"/>
      <c r="F73" s="250">
        <v>11</v>
      </c>
      <c r="G73" s="251"/>
    </row>
    <row r="74" spans="2:7" x14ac:dyDescent="0.25">
      <c r="B74" s="250">
        <v>12</v>
      </c>
      <c r="C74" s="304">
        <v>155</v>
      </c>
      <c r="D74" s="305"/>
      <c r="F74" s="250">
        <v>12</v>
      </c>
      <c r="G74" s="251"/>
    </row>
    <row r="75" spans="2:7" x14ac:dyDescent="0.25">
      <c r="B75" s="250">
        <v>13</v>
      </c>
      <c r="C75" s="304">
        <v>151</v>
      </c>
      <c r="D75" s="305"/>
      <c r="F75" s="250">
        <v>13</v>
      </c>
      <c r="G75" s="251"/>
    </row>
    <row r="76" spans="2:7" x14ac:dyDescent="0.25">
      <c r="B76" s="250">
        <v>14</v>
      </c>
      <c r="C76" s="304">
        <v>153</v>
      </c>
      <c r="D76" s="305"/>
      <c r="F76" s="250">
        <v>14</v>
      </c>
      <c r="G76" s="251"/>
    </row>
    <row r="77" spans="2:7" x14ac:dyDescent="0.25">
      <c r="B77" s="250">
        <v>15</v>
      </c>
      <c r="C77" s="304">
        <v>150</v>
      </c>
      <c r="D77" s="305"/>
      <c r="F77" s="250">
        <v>15</v>
      </c>
      <c r="G77" s="251"/>
    </row>
    <row r="78" spans="2:7" x14ac:dyDescent="0.25">
      <c r="B78" s="250">
        <v>16</v>
      </c>
      <c r="C78" s="304">
        <v>152</v>
      </c>
      <c r="D78" s="305"/>
      <c r="F78" s="250">
        <v>16</v>
      </c>
      <c r="G78" s="251"/>
    </row>
    <row r="79" spans="2:7" x14ac:dyDescent="0.25">
      <c r="B79" s="250">
        <v>17</v>
      </c>
      <c r="C79" s="304">
        <v>156</v>
      </c>
      <c r="D79" s="305"/>
      <c r="F79" s="250">
        <v>17</v>
      </c>
      <c r="G79" s="251"/>
    </row>
    <row r="80" spans="2:7" x14ac:dyDescent="0.25">
      <c r="B80" s="250">
        <v>18</v>
      </c>
      <c r="C80" s="304">
        <v>160</v>
      </c>
      <c r="D80" s="305"/>
      <c r="F80" s="250">
        <v>18</v>
      </c>
      <c r="G80" s="251"/>
    </row>
    <row r="81" spans="2:7" x14ac:dyDescent="0.25">
      <c r="B81" s="250">
        <v>19</v>
      </c>
      <c r="C81" s="304">
        <v>155</v>
      </c>
      <c r="D81" s="305"/>
      <c r="F81" s="250">
        <v>19</v>
      </c>
      <c r="G81" s="251"/>
    </row>
    <row r="82" spans="2:7" x14ac:dyDescent="0.25">
      <c r="B82" s="250">
        <v>20</v>
      </c>
      <c r="C82" s="304">
        <v>160</v>
      </c>
      <c r="D82" s="305"/>
      <c r="F82" s="250">
        <v>20</v>
      </c>
      <c r="G82" s="251"/>
    </row>
    <row r="83" spans="2:7" x14ac:dyDescent="0.25">
      <c r="B83" s="250">
        <v>21</v>
      </c>
      <c r="C83" s="304">
        <v>155</v>
      </c>
      <c r="D83" s="305"/>
      <c r="F83" s="250">
        <v>21</v>
      </c>
      <c r="G83" s="251"/>
    </row>
    <row r="84" spans="2:7" x14ac:dyDescent="0.25">
      <c r="B84" s="250">
        <v>22</v>
      </c>
      <c r="C84" s="304">
        <v>151</v>
      </c>
      <c r="D84" s="305"/>
      <c r="F84" s="250">
        <v>22</v>
      </c>
      <c r="G84" s="251"/>
    </row>
    <row r="85" spans="2:7" x14ac:dyDescent="0.25">
      <c r="B85" s="250">
        <v>23</v>
      </c>
      <c r="C85" s="304">
        <v>152</v>
      </c>
      <c r="D85" s="305"/>
      <c r="F85" s="250">
        <v>23</v>
      </c>
      <c r="G85" s="251"/>
    </row>
    <row r="86" spans="2:7" x14ac:dyDescent="0.25">
      <c r="B86" s="250">
        <v>24</v>
      </c>
      <c r="C86" s="304">
        <v>160</v>
      </c>
      <c r="D86" s="305"/>
      <c r="F86" s="250">
        <v>24</v>
      </c>
      <c r="G86" s="251"/>
    </row>
    <row r="87" spans="2:7" x14ac:dyDescent="0.25">
      <c r="B87" s="250">
        <v>25</v>
      </c>
      <c r="C87" s="304">
        <v>160</v>
      </c>
      <c r="D87" s="305"/>
      <c r="F87" s="250">
        <v>25</v>
      </c>
      <c r="G87" s="251"/>
    </row>
    <row r="88" spans="2:7" x14ac:dyDescent="0.25">
      <c r="B88" s="250">
        <v>26</v>
      </c>
      <c r="C88" s="304">
        <v>155</v>
      </c>
      <c r="D88" s="305"/>
      <c r="F88" s="250">
        <v>26</v>
      </c>
      <c r="G88" s="251"/>
    </row>
    <row r="89" spans="2:7" x14ac:dyDescent="0.25">
      <c r="B89" s="250">
        <v>27</v>
      </c>
      <c r="C89" s="304">
        <v>151</v>
      </c>
      <c r="D89" s="305"/>
      <c r="F89" s="250">
        <v>27</v>
      </c>
      <c r="G89" s="251"/>
    </row>
    <row r="90" spans="2:7" ht="15.75" thickBot="1" x14ac:dyDescent="0.3">
      <c r="B90" s="250">
        <v>28</v>
      </c>
      <c r="C90" s="314">
        <v>145</v>
      </c>
      <c r="D90" s="315"/>
      <c r="F90" s="250">
        <v>28</v>
      </c>
      <c r="G90" s="251"/>
    </row>
    <row r="91" spans="2:7" x14ac:dyDescent="0.25">
      <c r="B91" s="252" t="s">
        <v>35</v>
      </c>
      <c r="C91" s="312">
        <v>4477</v>
      </c>
      <c r="D91" s="313"/>
      <c r="F91" s="250">
        <v>29</v>
      </c>
      <c r="G91" s="251"/>
    </row>
    <row r="92" spans="2:7" x14ac:dyDescent="0.25">
      <c r="B92" s="253" t="s">
        <v>56</v>
      </c>
      <c r="C92" s="310">
        <v>18</v>
      </c>
      <c r="D92" s="311"/>
      <c r="F92" s="250">
        <v>30</v>
      </c>
      <c r="G92" s="251"/>
    </row>
    <row r="93" spans="2:7" ht="15.75" thickBot="1" x14ac:dyDescent="0.3">
      <c r="B93" s="254" t="s">
        <v>57</v>
      </c>
      <c r="C93" s="308">
        <v>4</v>
      </c>
      <c r="D93" s="309"/>
      <c r="F93" s="205">
        <v>31</v>
      </c>
      <c r="G93" s="213">
        <v>4235</v>
      </c>
    </row>
    <row r="94" spans="2:7" x14ac:dyDescent="0.25">
      <c r="F94" s="255" t="s">
        <v>35</v>
      </c>
      <c r="G94" s="256">
        <v>4235</v>
      </c>
    </row>
    <row r="95" spans="2:7" x14ac:dyDescent="0.25">
      <c r="F95" s="257" t="s">
        <v>56</v>
      </c>
      <c r="G95" s="258">
        <v>22</v>
      </c>
    </row>
    <row r="96" spans="2:7" ht="15.75" thickBot="1" x14ac:dyDescent="0.3">
      <c r="F96" s="254" t="s">
        <v>57</v>
      </c>
      <c r="G96" s="206">
        <v>5.2</v>
      </c>
    </row>
  </sheetData>
  <sheetProtection algorithmName="SHA-512" hashValue="BLvExFaTFg9oVq7u4GdD0hy7SK29KB3eeVKPmUsTrDyyb1R/HSptxQrx7gq/tOXKsozPcAonvU7KgDp61+iMyA==" saltValue="UkvH35kYld0UQNSg8Yc+SA==" spinCount="100000" sheet="1"/>
  <mergeCells count="97">
    <mergeCell ref="B61:D61"/>
    <mergeCell ref="C67:D67"/>
    <mergeCell ref="C66:D66"/>
    <mergeCell ref="C65:D65"/>
    <mergeCell ref="C64:D64"/>
    <mergeCell ref="C63:D63"/>
    <mergeCell ref="N14:O14"/>
    <mergeCell ref="N13:O13"/>
    <mergeCell ref="N12:O12"/>
    <mergeCell ref="N10:P10"/>
    <mergeCell ref="N11:O11"/>
    <mergeCell ref="N22:O22"/>
    <mergeCell ref="N21:O21"/>
    <mergeCell ref="N20:O20"/>
    <mergeCell ref="N19:O19"/>
    <mergeCell ref="I22:L22"/>
    <mergeCell ref="I21:L21"/>
    <mergeCell ref="I20:L20"/>
    <mergeCell ref="I19:L19"/>
    <mergeCell ref="N18:O18"/>
    <mergeCell ref="N17:O17"/>
    <mergeCell ref="N16:O16"/>
    <mergeCell ref="N15:O15"/>
    <mergeCell ref="I18:L18"/>
    <mergeCell ref="I17:L17"/>
    <mergeCell ref="I16:L16"/>
    <mergeCell ref="I15:L15"/>
    <mergeCell ref="B6:C6"/>
    <mergeCell ref="B4:G4"/>
    <mergeCell ref="C33:E33"/>
    <mergeCell ref="D6:G6"/>
    <mergeCell ref="C29:D29"/>
    <mergeCell ref="F22:G22"/>
    <mergeCell ref="F21:G21"/>
    <mergeCell ref="F20:G20"/>
    <mergeCell ref="F12:G12"/>
    <mergeCell ref="F11:G11"/>
    <mergeCell ref="F10:G10"/>
    <mergeCell ref="F18:G18"/>
    <mergeCell ref="F17:G17"/>
    <mergeCell ref="F16:G16"/>
    <mergeCell ref="F15:G15"/>
    <mergeCell ref="F14:G14"/>
    <mergeCell ref="M33:N33"/>
    <mergeCell ref="M32:N32"/>
    <mergeCell ref="M31:N31"/>
    <mergeCell ref="M30:N30"/>
    <mergeCell ref="K33:L33"/>
    <mergeCell ref="K32:L32"/>
    <mergeCell ref="K31:L31"/>
    <mergeCell ref="K30:L30"/>
    <mergeCell ref="H33:I33"/>
    <mergeCell ref="H32:I32"/>
    <mergeCell ref="H31:I31"/>
    <mergeCell ref="H30:I30"/>
    <mergeCell ref="C8:G8"/>
    <mergeCell ref="C30:E30"/>
    <mergeCell ref="C32:E32"/>
    <mergeCell ref="C31:E31"/>
    <mergeCell ref="F13:G13"/>
    <mergeCell ref="F19:G19"/>
    <mergeCell ref="I11:L11"/>
    <mergeCell ref="I14:L14"/>
    <mergeCell ref="I13:L13"/>
    <mergeCell ref="I12:L12"/>
    <mergeCell ref="I10:L10"/>
    <mergeCell ref="C93:D93"/>
    <mergeCell ref="C92:D92"/>
    <mergeCell ref="C91:D91"/>
    <mergeCell ref="C90:D90"/>
    <mergeCell ref="C89:D89"/>
    <mergeCell ref="C88:D88"/>
    <mergeCell ref="C87:D87"/>
    <mergeCell ref="C86:D86"/>
    <mergeCell ref="C85:D85"/>
    <mergeCell ref="C84:D84"/>
    <mergeCell ref="C83:D83"/>
    <mergeCell ref="C82:D82"/>
    <mergeCell ref="C81:D81"/>
    <mergeCell ref="C80:D80"/>
    <mergeCell ref="C79:D79"/>
    <mergeCell ref="F61:G61"/>
    <mergeCell ref="B28:G28"/>
    <mergeCell ref="B45:G45"/>
    <mergeCell ref="B60:G60"/>
    <mergeCell ref="C78:D78"/>
    <mergeCell ref="C77:D77"/>
    <mergeCell ref="C76:D76"/>
    <mergeCell ref="C75:D75"/>
    <mergeCell ref="C74:D74"/>
    <mergeCell ref="C62:D62"/>
    <mergeCell ref="C73:D73"/>
    <mergeCell ref="C72:D72"/>
    <mergeCell ref="C71:D71"/>
    <mergeCell ref="C70:D70"/>
    <mergeCell ref="C69:D69"/>
    <mergeCell ref="C68:D68"/>
  </mergeCells>
  <pageMargins left="0.7" right="0.7" top="0.75" bottom="0.75" header="0.3" footer="0.3"/>
  <pageSetup orientation="portrait" r:id="rId1"/>
  <drawing r:id="rId2"/>
  <tableParts count="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3b0fedd3-30af-4e6b-b251-0690992f764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46D77C0AAD29C49BE5938D91B2030C0" ma:contentTypeVersion="17" ma:contentTypeDescription="Create a new document." ma:contentTypeScope="" ma:versionID="48b29a9e0b03571f5f14e64a62c44004">
  <xsd:schema xmlns:xsd="http://www.w3.org/2001/XMLSchema" xmlns:xs="http://www.w3.org/2001/XMLSchema" xmlns:p="http://schemas.microsoft.com/office/2006/metadata/properties" xmlns:ns3="3b0fedd3-30af-4e6b-b251-0690992f7641" xmlns:ns4="4c598949-2939-4f0a-8195-15f55edbde17" targetNamespace="http://schemas.microsoft.com/office/2006/metadata/properties" ma:root="true" ma:fieldsID="4b8be12cce10000177f1862059e5656f" ns3:_="" ns4:_="">
    <xsd:import namespace="3b0fedd3-30af-4e6b-b251-0690992f7641"/>
    <xsd:import namespace="4c598949-2939-4f0a-8195-15f55edbde17"/>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DateTaken" minOccurs="0"/>
                <xsd:element ref="ns3:MediaLengthInSeconds" minOccurs="0"/>
                <xsd:element ref="ns3:MediaServiceAutoTags" minOccurs="0"/>
                <xsd:element ref="ns3:MediaServiceGenerationTime" minOccurs="0"/>
                <xsd:element ref="ns3:MediaServiceEventHashCode" minOccurs="0"/>
                <xsd:element ref="ns3:_activity" minOccurs="0"/>
                <xsd:element ref="ns3:MediaServiceOCR"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fedd3-30af-4e6b-b251-0690992f76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Tags" ma:index="17" nillable="true" ma:displayName="Tags" ma:internalName="MediaServiceAutoTag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activity" ma:index="20" nillable="true" ma:displayName="_activity" ma:hidden="true" ma:internalName="_activity">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c598949-2939-4f0a-8195-15f55edbde1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423D24-0078-483A-A05E-B879ED930654}">
  <ds:schemaRefs>
    <ds:schemaRef ds:uri="http://schemas.microsoft.com/office/infopath/2007/PartnerControls"/>
    <ds:schemaRef ds:uri="3b0fedd3-30af-4e6b-b251-0690992f7641"/>
    <ds:schemaRef ds:uri="http://purl.org/dc/terms/"/>
    <ds:schemaRef ds:uri="http://schemas.microsoft.com/office/2006/documentManagement/types"/>
    <ds:schemaRef ds:uri="4c598949-2939-4f0a-8195-15f55edbde17"/>
    <ds:schemaRef ds:uri="http://purl.org/dc/dcmitype/"/>
    <ds:schemaRef ds:uri="http://schemas.openxmlformats.org/package/2006/metadata/core-properties"/>
    <ds:schemaRef ds:uri="http://purl.org/dc/elements/1.1/"/>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41BF1945-DDE5-4051-9468-7AB88F349338}">
  <ds:schemaRefs>
    <ds:schemaRef ds:uri="http://schemas.microsoft.com/sharepoint/v3/contenttype/forms"/>
  </ds:schemaRefs>
</ds:datastoreItem>
</file>

<file path=customXml/itemProps3.xml><?xml version="1.0" encoding="utf-8"?>
<ds:datastoreItem xmlns:ds="http://schemas.openxmlformats.org/officeDocument/2006/customXml" ds:itemID="{9635C12A-F434-48E2-98C8-2DC68DAA75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0fedd3-30af-4e6b-b251-0690992f7641"/>
    <ds:schemaRef ds:uri="4c598949-2939-4f0a-8195-15f55edbde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188</vt:i4>
      </vt:variant>
    </vt:vector>
  </HeadingPairs>
  <TitlesOfParts>
    <vt:vector size="208" baseType="lpstr">
      <vt:lpstr>Tracker Description</vt:lpstr>
      <vt:lpstr>Data Validation</vt:lpstr>
      <vt:lpstr>Jan</vt:lpstr>
      <vt:lpstr>Feb</vt:lpstr>
      <vt:lpstr>Mar</vt:lpstr>
      <vt:lpstr>Apr</vt:lpstr>
      <vt:lpstr>May</vt:lpstr>
      <vt:lpstr>June</vt:lpstr>
      <vt:lpstr>July</vt:lpstr>
      <vt:lpstr>Aug</vt:lpstr>
      <vt:lpstr>Sept</vt:lpstr>
      <vt:lpstr>Oct</vt:lpstr>
      <vt:lpstr>Nov</vt:lpstr>
      <vt:lpstr>Dec</vt:lpstr>
      <vt:lpstr>Falls</vt:lpstr>
      <vt:lpstr>BIMS RCA</vt:lpstr>
      <vt:lpstr>Loc Hr</vt:lpstr>
      <vt:lpstr>Resident</vt:lpstr>
      <vt:lpstr>Fall Rate and Census</vt:lpstr>
      <vt:lpstr>Example</vt:lpstr>
      <vt:lpstr>Apr!DV_BIMSScore</vt:lpstr>
      <vt:lpstr>Aug!DV_BIMSScore</vt:lpstr>
      <vt:lpstr>'BIMS RCA'!DV_BIMSScore</vt:lpstr>
      <vt:lpstr>'Data Validation'!DV_BIMSScore</vt:lpstr>
      <vt:lpstr>Dec!DV_BIMSScore</vt:lpstr>
      <vt:lpstr>Falls!DV_BIMSScore</vt:lpstr>
      <vt:lpstr>Feb!DV_BIMSScore</vt:lpstr>
      <vt:lpstr>July!DV_BIMSScore</vt:lpstr>
      <vt:lpstr>June!DV_BIMSScore</vt:lpstr>
      <vt:lpstr>'Loc Hr'!DV_BIMSScore</vt:lpstr>
      <vt:lpstr>Mar!DV_BIMSScore</vt:lpstr>
      <vt:lpstr>May!DV_BIMSScore</vt:lpstr>
      <vt:lpstr>Nov!DV_BIMSScore</vt:lpstr>
      <vt:lpstr>Oct!DV_BIMSScore</vt:lpstr>
      <vt:lpstr>Resident!DV_BIMSScore</vt:lpstr>
      <vt:lpstr>Sept!DV_BIMSScore</vt:lpstr>
      <vt:lpstr>DV_BIMSScore</vt:lpstr>
      <vt:lpstr>Apr!DV_FallCircumstances</vt:lpstr>
      <vt:lpstr>Aug!DV_FallCircumstances</vt:lpstr>
      <vt:lpstr>Dec!DV_FallCircumstances</vt:lpstr>
      <vt:lpstr>Feb!DV_FallCircumstances</vt:lpstr>
      <vt:lpstr>July!DV_FallCircumstances</vt:lpstr>
      <vt:lpstr>June!DV_FallCircumstances</vt:lpstr>
      <vt:lpstr>Mar!DV_FallCircumstances</vt:lpstr>
      <vt:lpstr>May!DV_FallCircumstances</vt:lpstr>
      <vt:lpstr>Nov!DV_FallCircumstances</vt:lpstr>
      <vt:lpstr>Oct!DV_FallCircumstances</vt:lpstr>
      <vt:lpstr>Sept!DV_FallCircumstances</vt:lpstr>
      <vt:lpstr>DV_FallCircumstances</vt:lpstr>
      <vt:lpstr>Apr!DV_FallType</vt:lpstr>
      <vt:lpstr>Aug!DV_FallType</vt:lpstr>
      <vt:lpstr>'BIMS RCA'!DV_FallType</vt:lpstr>
      <vt:lpstr>'Data Validation'!DV_FallType</vt:lpstr>
      <vt:lpstr>Dec!DV_FallType</vt:lpstr>
      <vt:lpstr>Falls!DV_FallType</vt:lpstr>
      <vt:lpstr>Feb!DV_FallType</vt:lpstr>
      <vt:lpstr>July!DV_FallType</vt:lpstr>
      <vt:lpstr>June!DV_FallType</vt:lpstr>
      <vt:lpstr>'Loc Hr'!DV_FallType</vt:lpstr>
      <vt:lpstr>Mar!DV_FallType</vt:lpstr>
      <vt:lpstr>May!DV_FallType</vt:lpstr>
      <vt:lpstr>Nov!DV_FallType</vt:lpstr>
      <vt:lpstr>Oct!DV_FallType</vt:lpstr>
      <vt:lpstr>Resident!DV_FallType</vt:lpstr>
      <vt:lpstr>Sept!DV_FallType</vt:lpstr>
      <vt:lpstr>DV_FallType</vt:lpstr>
      <vt:lpstr>Apr!DV_Location</vt:lpstr>
      <vt:lpstr>Aug!DV_Location</vt:lpstr>
      <vt:lpstr>'BIMS RCA'!DV_Location</vt:lpstr>
      <vt:lpstr>'Data Validation'!DV_Location</vt:lpstr>
      <vt:lpstr>Dec!DV_Location</vt:lpstr>
      <vt:lpstr>Falls!DV_Location</vt:lpstr>
      <vt:lpstr>Feb!DV_Location</vt:lpstr>
      <vt:lpstr>July!DV_Location</vt:lpstr>
      <vt:lpstr>June!DV_Location</vt:lpstr>
      <vt:lpstr>'Loc Hr'!DV_Location</vt:lpstr>
      <vt:lpstr>Mar!DV_Location</vt:lpstr>
      <vt:lpstr>May!DV_Location</vt:lpstr>
      <vt:lpstr>Nov!DV_Location</vt:lpstr>
      <vt:lpstr>Oct!DV_Location</vt:lpstr>
      <vt:lpstr>Resident!DV_Location</vt:lpstr>
      <vt:lpstr>Sept!DV_Location</vt:lpstr>
      <vt:lpstr>DV_Location</vt:lpstr>
      <vt:lpstr>Apr!DV_PriortoFall</vt:lpstr>
      <vt:lpstr>Aug!DV_PriortoFall</vt:lpstr>
      <vt:lpstr>'BIMS RCA'!DV_PriortoFall</vt:lpstr>
      <vt:lpstr>Dec!DV_PriortoFall</vt:lpstr>
      <vt:lpstr>Feb!DV_PriortoFall</vt:lpstr>
      <vt:lpstr>July!DV_PriortoFall</vt:lpstr>
      <vt:lpstr>June!DV_PriortoFall</vt:lpstr>
      <vt:lpstr>'Loc Hr'!DV_PriortoFall</vt:lpstr>
      <vt:lpstr>Mar!DV_PriortoFall</vt:lpstr>
      <vt:lpstr>May!DV_PriortoFall</vt:lpstr>
      <vt:lpstr>Nov!DV_PriortoFall</vt:lpstr>
      <vt:lpstr>Oct!DV_PriortoFall</vt:lpstr>
      <vt:lpstr>Resident!DV_PriortoFall</vt:lpstr>
      <vt:lpstr>Sept!DV_PriortoFall</vt:lpstr>
      <vt:lpstr>DV_PriortoFall</vt:lpstr>
      <vt:lpstr>Apr!DV_RCA</vt:lpstr>
      <vt:lpstr>Aug!DV_RCA</vt:lpstr>
      <vt:lpstr>'BIMS RCA'!DV_RCA</vt:lpstr>
      <vt:lpstr>Dec!DV_RCA</vt:lpstr>
      <vt:lpstr>Feb!DV_RCA</vt:lpstr>
      <vt:lpstr>July!DV_RCA</vt:lpstr>
      <vt:lpstr>June!DV_RCA</vt:lpstr>
      <vt:lpstr>'Loc Hr'!DV_RCA</vt:lpstr>
      <vt:lpstr>Mar!DV_RCA</vt:lpstr>
      <vt:lpstr>May!DV_RCA</vt:lpstr>
      <vt:lpstr>Nov!DV_RCA</vt:lpstr>
      <vt:lpstr>Oct!DV_RCA</vt:lpstr>
      <vt:lpstr>Resident!DV_RCA</vt:lpstr>
      <vt:lpstr>Sept!DV_RCA</vt:lpstr>
      <vt:lpstr>DV_RCA</vt:lpstr>
      <vt:lpstr>Apr!DV_RCAComp</vt:lpstr>
      <vt:lpstr>Aug!DV_RCAComp</vt:lpstr>
      <vt:lpstr>'BIMS RCA'!DV_RCAComp</vt:lpstr>
      <vt:lpstr>Dec!DV_RCAComp</vt:lpstr>
      <vt:lpstr>Feb!DV_RCAComp</vt:lpstr>
      <vt:lpstr>July!DV_RCAComp</vt:lpstr>
      <vt:lpstr>June!DV_RCAComp</vt:lpstr>
      <vt:lpstr>'Loc Hr'!DV_RCAComp</vt:lpstr>
      <vt:lpstr>Mar!DV_RCAComp</vt:lpstr>
      <vt:lpstr>May!DV_RCAComp</vt:lpstr>
      <vt:lpstr>Nov!DV_RCAComp</vt:lpstr>
      <vt:lpstr>Oct!DV_RCAComp</vt:lpstr>
      <vt:lpstr>Resident!DV_RCAComp</vt:lpstr>
      <vt:lpstr>Sept!DV_RCAComp</vt:lpstr>
      <vt:lpstr>DV_RCAComp</vt:lpstr>
      <vt:lpstr>Apr!DV_RiskResult</vt:lpstr>
      <vt:lpstr>Aug!DV_RiskResult</vt:lpstr>
      <vt:lpstr>'BIMS RCA'!DV_RiskResult</vt:lpstr>
      <vt:lpstr>Dec!DV_RiskResult</vt:lpstr>
      <vt:lpstr>Feb!DV_RiskResult</vt:lpstr>
      <vt:lpstr>July!DV_RiskResult</vt:lpstr>
      <vt:lpstr>June!DV_RiskResult</vt:lpstr>
      <vt:lpstr>'Loc Hr'!DV_RiskResult</vt:lpstr>
      <vt:lpstr>Mar!DV_RiskResult</vt:lpstr>
      <vt:lpstr>May!DV_RiskResult</vt:lpstr>
      <vt:lpstr>Nov!DV_RiskResult</vt:lpstr>
      <vt:lpstr>Oct!DV_RiskResult</vt:lpstr>
      <vt:lpstr>Resident!DV_RiskResult</vt:lpstr>
      <vt:lpstr>Sept!DV_RiskResult</vt:lpstr>
      <vt:lpstr>DV_RiskResult</vt:lpstr>
      <vt:lpstr>Apr!DV_Shifts</vt:lpstr>
      <vt:lpstr>Aug!DV_Shifts</vt:lpstr>
      <vt:lpstr>'BIMS RCA'!DV_Shifts</vt:lpstr>
      <vt:lpstr>'Data Validation'!DV_Shifts</vt:lpstr>
      <vt:lpstr>Dec!DV_Shifts</vt:lpstr>
      <vt:lpstr>Falls!DV_Shifts</vt:lpstr>
      <vt:lpstr>Feb!DV_Shifts</vt:lpstr>
      <vt:lpstr>July!DV_Shifts</vt:lpstr>
      <vt:lpstr>June!DV_Shifts</vt:lpstr>
      <vt:lpstr>'Loc Hr'!DV_Shifts</vt:lpstr>
      <vt:lpstr>Mar!DV_Shifts</vt:lpstr>
      <vt:lpstr>May!DV_Shifts</vt:lpstr>
      <vt:lpstr>Nov!DV_Shifts</vt:lpstr>
      <vt:lpstr>Oct!DV_Shifts</vt:lpstr>
      <vt:lpstr>Resident!DV_Shifts</vt:lpstr>
      <vt:lpstr>Sept!DV_Shifts</vt:lpstr>
      <vt:lpstr>DV_Shifts</vt:lpstr>
      <vt:lpstr>Apr!DV_Station</vt:lpstr>
      <vt:lpstr>Aug!DV_Station</vt:lpstr>
      <vt:lpstr>'BIMS RCA'!DV_Station</vt:lpstr>
      <vt:lpstr>'Data Validation'!DV_Station</vt:lpstr>
      <vt:lpstr>Dec!DV_Station</vt:lpstr>
      <vt:lpstr>Falls!DV_Station</vt:lpstr>
      <vt:lpstr>Feb!DV_Station</vt:lpstr>
      <vt:lpstr>July!DV_Station</vt:lpstr>
      <vt:lpstr>June!DV_Station</vt:lpstr>
      <vt:lpstr>'Loc Hr'!DV_Station</vt:lpstr>
      <vt:lpstr>Mar!DV_Station</vt:lpstr>
      <vt:lpstr>May!DV_Station</vt:lpstr>
      <vt:lpstr>Nov!DV_Station</vt:lpstr>
      <vt:lpstr>Oct!DV_Station</vt:lpstr>
      <vt:lpstr>Resident!DV_Station</vt:lpstr>
      <vt:lpstr>Sept!DV_Station</vt:lpstr>
      <vt:lpstr>DV_Station</vt:lpstr>
      <vt:lpstr>Apr!DV_Witnessed</vt:lpstr>
      <vt:lpstr>Aug!DV_Witnessed</vt:lpstr>
      <vt:lpstr>'BIMS RCA'!DV_Witnessed</vt:lpstr>
      <vt:lpstr>'Data Validation'!DV_Witnessed</vt:lpstr>
      <vt:lpstr>Dec!DV_Witnessed</vt:lpstr>
      <vt:lpstr>Feb!DV_Witnessed</vt:lpstr>
      <vt:lpstr>July!DV_Witnessed</vt:lpstr>
      <vt:lpstr>June!DV_Witnessed</vt:lpstr>
      <vt:lpstr>'Loc Hr'!DV_Witnessed</vt:lpstr>
      <vt:lpstr>Mar!DV_Witnessed</vt:lpstr>
      <vt:lpstr>May!DV_Witnessed</vt:lpstr>
      <vt:lpstr>Nov!DV_Witnessed</vt:lpstr>
      <vt:lpstr>Oct!DV_Witnessed</vt:lpstr>
      <vt:lpstr>Resident!DV_Witnessed</vt:lpstr>
      <vt:lpstr>Sept!DV_Witnessed</vt:lpstr>
      <vt:lpstr>DV_Witnessed</vt:lpstr>
      <vt:lpstr>Falls!Print_Area</vt:lpstr>
      <vt:lpstr>Resident!Print_Area</vt:lpstr>
      <vt:lpstr>Apr!Print_Titles</vt:lpstr>
      <vt:lpstr>Aug!Print_Titles</vt:lpstr>
      <vt:lpstr>Dec!Print_Titles</vt:lpstr>
      <vt:lpstr>Feb!Print_Titles</vt:lpstr>
      <vt:lpstr>Jan!Print_Titles</vt:lpstr>
      <vt:lpstr>July!Print_Titles</vt:lpstr>
      <vt:lpstr>June!Print_Titles</vt:lpstr>
      <vt:lpstr>Mar!Print_Titles</vt:lpstr>
      <vt:lpstr>May!Print_Titles</vt:lpstr>
      <vt:lpstr>Nov!Print_Titles</vt:lpstr>
      <vt:lpstr>Oct!Print_Titles</vt:lpstr>
      <vt:lpstr>Resident!Print_Titles</vt:lpstr>
      <vt:lpstr>Sept!Print_Titles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Falls Data Tracker</dc:title>
  <dc:subject>Template</dc:subject>
  <dc:creator>Health Services Advisory Group (HSAG)</dc:creator>
  <cp:keywords>falls, data, validation</cp:keywords>
  <cp:lastModifiedBy>Melissa Carter</cp:lastModifiedBy>
  <cp:lastPrinted>2025-10-30T18:30:51Z</cp:lastPrinted>
  <dcterms:created xsi:type="dcterms:W3CDTF">2025-09-10T07:40:21Z</dcterms:created>
  <dcterms:modified xsi:type="dcterms:W3CDTF">2026-10-05T19:43:52Z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0x010100618F2453903A704FA4229CB8834D3D84</vt:lpwstr>
  </property>
</Properties>
</file>