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drawings/drawing2.xml" ContentType="application/vnd.openxmlformats-officedocument.drawing+xml"/>
  <Override PartName="/xl/tables/table1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3.xml" ContentType="application/vnd.openxmlformats-officedocument.drawing+xml"/>
  <Override PartName="/xl/tables/table12.xml" ContentType="application/vnd.openxmlformats-officedocument.spreadsheetml.tab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4.xml" ContentType="application/vnd.openxmlformats-officedocument.drawing+xml"/>
  <Override PartName="/xl/tables/table13.xml" ContentType="application/vnd.openxmlformats-officedocument.spreadsheetml.tab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drawings/drawing5.xml" ContentType="application/vnd.openxmlformats-officedocument.drawing+xml"/>
  <Override PartName="/xl/tables/table14.xml" ContentType="application/vnd.openxmlformats-officedocument.spreadsheetml.tab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drawings/drawing6.xml" ContentType="application/vnd.openxmlformats-officedocument.drawing+xml"/>
  <Override PartName="/xl/tables/table15.xml" ContentType="application/vnd.openxmlformats-officedocument.spreadsheetml.tab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drawings/drawing7.xml" ContentType="application/vnd.openxmlformats-officedocument.drawing+xml"/>
  <Override PartName="/xl/tables/table16.xml" ContentType="application/vnd.openxmlformats-officedocument.spreadsheetml.tabl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charts/chart55.xml" ContentType="application/vnd.openxmlformats-officedocument.drawingml.chart+xml"/>
  <Override PartName="/xl/charts/style55.xml" ContentType="application/vnd.ms-office.chartstyle+xml"/>
  <Override PartName="/xl/charts/colors55.xml" ContentType="application/vnd.ms-office.chartcolorstyle+xml"/>
  <Override PartName="/xl/charts/chart56.xml" ContentType="application/vnd.openxmlformats-officedocument.drawingml.chart+xml"/>
  <Override PartName="/xl/charts/style56.xml" ContentType="application/vnd.ms-office.chartstyle+xml"/>
  <Override PartName="/xl/charts/colors56.xml" ContentType="application/vnd.ms-office.chartcolorstyle+xml"/>
  <Override PartName="/xl/charts/chart57.xml" ContentType="application/vnd.openxmlformats-officedocument.drawingml.chart+xml"/>
  <Override PartName="/xl/charts/style57.xml" ContentType="application/vnd.ms-office.chartstyle+xml"/>
  <Override PartName="/xl/charts/colors57.xml" ContentType="application/vnd.ms-office.chartcolorstyle+xml"/>
  <Override PartName="/xl/charts/chart58.xml" ContentType="application/vnd.openxmlformats-officedocument.drawingml.chart+xml"/>
  <Override PartName="/xl/charts/style58.xml" ContentType="application/vnd.ms-office.chartstyle+xml"/>
  <Override PartName="/xl/charts/colors58.xml" ContentType="application/vnd.ms-office.chartcolorstyle+xml"/>
  <Override PartName="/xl/charts/chart59.xml" ContentType="application/vnd.openxmlformats-officedocument.drawingml.chart+xml"/>
  <Override PartName="/xl/charts/style59.xml" ContentType="application/vnd.ms-office.chartstyle+xml"/>
  <Override PartName="/xl/charts/colors59.xml" ContentType="application/vnd.ms-office.chartcolorstyle+xml"/>
  <Override PartName="/xl/charts/chart60.xml" ContentType="application/vnd.openxmlformats-officedocument.drawingml.chart+xml"/>
  <Override PartName="/xl/charts/style60.xml" ContentType="application/vnd.ms-office.chartstyle+xml"/>
  <Override PartName="/xl/charts/colors60.xml" ContentType="application/vnd.ms-office.chartcolorstyle+xml"/>
  <Override PartName="/xl/drawings/drawing8.xml" ContentType="application/vnd.openxmlformats-officedocument.drawing+xml"/>
  <Override PartName="/xl/tables/table17.xml" ContentType="application/vnd.openxmlformats-officedocument.spreadsheetml.table+xml"/>
  <Override PartName="/xl/charts/chart61.xml" ContentType="application/vnd.openxmlformats-officedocument.drawingml.chart+xml"/>
  <Override PartName="/xl/charts/style61.xml" ContentType="application/vnd.ms-office.chartstyle+xml"/>
  <Override PartName="/xl/charts/colors61.xml" ContentType="application/vnd.ms-office.chartcolorstyle+xml"/>
  <Override PartName="/xl/charts/chart62.xml" ContentType="application/vnd.openxmlformats-officedocument.drawingml.chart+xml"/>
  <Override PartName="/xl/charts/style62.xml" ContentType="application/vnd.ms-office.chartstyle+xml"/>
  <Override PartName="/xl/charts/colors62.xml" ContentType="application/vnd.ms-office.chartcolorstyle+xml"/>
  <Override PartName="/xl/charts/chart63.xml" ContentType="application/vnd.openxmlformats-officedocument.drawingml.chart+xml"/>
  <Override PartName="/xl/charts/style63.xml" ContentType="application/vnd.ms-office.chartstyle+xml"/>
  <Override PartName="/xl/charts/colors63.xml" ContentType="application/vnd.ms-office.chartcolorstyle+xml"/>
  <Override PartName="/xl/charts/chart64.xml" ContentType="application/vnd.openxmlformats-officedocument.drawingml.chart+xml"/>
  <Override PartName="/xl/charts/style64.xml" ContentType="application/vnd.ms-office.chartstyle+xml"/>
  <Override PartName="/xl/charts/colors64.xml" ContentType="application/vnd.ms-office.chartcolorstyle+xml"/>
  <Override PartName="/xl/charts/chart65.xml" ContentType="application/vnd.openxmlformats-officedocument.drawingml.chart+xml"/>
  <Override PartName="/xl/charts/style65.xml" ContentType="application/vnd.ms-office.chartstyle+xml"/>
  <Override PartName="/xl/charts/colors65.xml" ContentType="application/vnd.ms-office.chartcolorstyle+xml"/>
  <Override PartName="/xl/charts/chart66.xml" ContentType="application/vnd.openxmlformats-officedocument.drawingml.chart+xml"/>
  <Override PartName="/xl/charts/style66.xml" ContentType="application/vnd.ms-office.chartstyle+xml"/>
  <Override PartName="/xl/charts/colors66.xml" ContentType="application/vnd.ms-office.chartcolorstyle+xml"/>
  <Override PartName="/xl/charts/chart67.xml" ContentType="application/vnd.openxmlformats-officedocument.drawingml.chart+xml"/>
  <Override PartName="/xl/charts/style67.xml" ContentType="application/vnd.ms-office.chartstyle+xml"/>
  <Override PartName="/xl/charts/colors67.xml" ContentType="application/vnd.ms-office.chartcolorstyle+xml"/>
  <Override PartName="/xl/charts/chart68.xml" ContentType="application/vnd.openxmlformats-officedocument.drawingml.chart+xml"/>
  <Override PartName="/xl/charts/style68.xml" ContentType="application/vnd.ms-office.chartstyle+xml"/>
  <Override PartName="/xl/charts/colors68.xml" ContentType="application/vnd.ms-office.chartcolorstyle+xml"/>
  <Override PartName="/xl/charts/chart69.xml" ContentType="application/vnd.openxmlformats-officedocument.drawingml.chart+xml"/>
  <Override PartName="/xl/charts/style69.xml" ContentType="application/vnd.ms-office.chartstyle+xml"/>
  <Override PartName="/xl/charts/colors69.xml" ContentType="application/vnd.ms-office.chartcolorstyle+xml"/>
  <Override PartName="/xl/charts/chart70.xml" ContentType="application/vnd.openxmlformats-officedocument.drawingml.chart+xml"/>
  <Override PartName="/xl/charts/style70.xml" ContentType="application/vnd.ms-office.chartstyle+xml"/>
  <Override PartName="/xl/charts/colors70.xml" ContentType="application/vnd.ms-office.chartcolorstyle+xml"/>
  <Override PartName="/xl/drawings/drawing9.xml" ContentType="application/vnd.openxmlformats-officedocument.drawing+xml"/>
  <Override PartName="/xl/tables/table18.xml" ContentType="application/vnd.openxmlformats-officedocument.spreadsheetml.table+xml"/>
  <Override PartName="/xl/charts/chart71.xml" ContentType="application/vnd.openxmlformats-officedocument.drawingml.chart+xml"/>
  <Override PartName="/xl/charts/style71.xml" ContentType="application/vnd.ms-office.chartstyle+xml"/>
  <Override PartName="/xl/charts/colors71.xml" ContentType="application/vnd.ms-office.chartcolorstyle+xml"/>
  <Override PartName="/xl/charts/chart72.xml" ContentType="application/vnd.openxmlformats-officedocument.drawingml.chart+xml"/>
  <Override PartName="/xl/charts/style72.xml" ContentType="application/vnd.ms-office.chartstyle+xml"/>
  <Override PartName="/xl/charts/colors72.xml" ContentType="application/vnd.ms-office.chartcolorstyle+xml"/>
  <Override PartName="/xl/charts/chart73.xml" ContentType="application/vnd.openxmlformats-officedocument.drawingml.chart+xml"/>
  <Override PartName="/xl/charts/style73.xml" ContentType="application/vnd.ms-office.chartstyle+xml"/>
  <Override PartName="/xl/charts/colors73.xml" ContentType="application/vnd.ms-office.chartcolorstyle+xml"/>
  <Override PartName="/xl/charts/chart74.xml" ContentType="application/vnd.openxmlformats-officedocument.drawingml.chart+xml"/>
  <Override PartName="/xl/charts/style74.xml" ContentType="application/vnd.ms-office.chartstyle+xml"/>
  <Override PartName="/xl/charts/colors74.xml" ContentType="application/vnd.ms-office.chartcolorstyle+xml"/>
  <Override PartName="/xl/charts/chart75.xml" ContentType="application/vnd.openxmlformats-officedocument.drawingml.chart+xml"/>
  <Override PartName="/xl/charts/style75.xml" ContentType="application/vnd.ms-office.chartstyle+xml"/>
  <Override PartName="/xl/charts/colors75.xml" ContentType="application/vnd.ms-office.chartcolorstyle+xml"/>
  <Override PartName="/xl/charts/chart76.xml" ContentType="application/vnd.openxmlformats-officedocument.drawingml.chart+xml"/>
  <Override PartName="/xl/charts/style76.xml" ContentType="application/vnd.ms-office.chartstyle+xml"/>
  <Override PartName="/xl/charts/colors76.xml" ContentType="application/vnd.ms-office.chartcolorstyle+xml"/>
  <Override PartName="/xl/charts/chart77.xml" ContentType="application/vnd.openxmlformats-officedocument.drawingml.chart+xml"/>
  <Override PartName="/xl/charts/style77.xml" ContentType="application/vnd.ms-office.chartstyle+xml"/>
  <Override PartName="/xl/charts/colors77.xml" ContentType="application/vnd.ms-office.chartcolorstyle+xml"/>
  <Override PartName="/xl/charts/chart78.xml" ContentType="application/vnd.openxmlformats-officedocument.drawingml.chart+xml"/>
  <Override PartName="/xl/charts/style78.xml" ContentType="application/vnd.ms-office.chartstyle+xml"/>
  <Override PartName="/xl/charts/colors78.xml" ContentType="application/vnd.ms-office.chartcolorstyle+xml"/>
  <Override PartName="/xl/charts/chart79.xml" ContentType="application/vnd.openxmlformats-officedocument.drawingml.chart+xml"/>
  <Override PartName="/xl/charts/style79.xml" ContentType="application/vnd.ms-office.chartstyle+xml"/>
  <Override PartName="/xl/charts/colors79.xml" ContentType="application/vnd.ms-office.chartcolorstyle+xml"/>
  <Override PartName="/xl/charts/chart80.xml" ContentType="application/vnd.openxmlformats-officedocument.drawingml.chart+xml"/>
  <Override PartName="/xl/charts/style80.xml" ContentType="application/vnd.ms-office.chartstyle+xml"/>
  <Override PartName="/xl/charts/colors80.xml" ContentType="application/vnd.ms-office.chartcolorstyle+xml"/>
  <Override PartName="/xl/drawings/drawing10.xml" ContentType="application/vnd.openxmlformats-officedocument.drawing+xml"/>
  <Override PartName="/xl/tables/table19.xml" ContentType="application/vnd.openxmlformats-officedocument.spreadsheetml.table+xml"/>
  <Override PartName="/xl/charts/chart81.xml" ContentType="application/vnd.openxmlformats-officedocument.drawingml.chart+xml"/>
  <Override PartName="/xl/charts/style81.xml" ContentType="application/vnd.ms-office.chartstyle+xml"/>
  <Override PartName="/xl/charts/colors81.xml" ContentType="application/vnd.ms-office.chartcolorstyle+xml"/>
  <Override PartName="/xl/charts/chart82.xml" ContentType="application/vnd.openxmlformats-officedocument.drawingml.chart+xml"/>
  <Override PartName="/xl/charts/style82.xml" ContentType="application/vnd.ms-office.chartstyle+xml"/>
  <Override PartName="/xl/charts/colors82.xml" ContentType="application/vnd.ms-office.chartcolorstyle+xml"/>
  <Override PartName="/xl/charts/chart83.xml" ContentType="application/vnd.openxmlformats-officedocument.drawingml.chart+xml"/>
  <Override PartName="/xl/charts/style83.xml" ContentType="application/vnd.ms-office.chartstyle+xml"/>
  <Override PartName="/xl/charts/colors83.xml" ContentType="application/vnd.ms-office.chartcolorstyle+xml"/>
  <Override PartName="/xl/charts/chart84.xml" ContentType="application/vnd.openxmlformats-officedocument.drawingml.chart+xml"/>
  <Override PartName="/xl/charts/style84.xml" ContentType="application/vnd.ms-office.chartstyle+xml"/>
  <Override PartName="/xl/charts/colors84.xml" ContentType="application/vnd.ms-office.chartcolorstyle+xml"/>
  <Override PartName="/xl/charts/chart85.xml" ContentType="application/vnd.openxmlformats-officedocument.drawingml.chart+xml"/>
  <Override PartName="/xl/charts/style85.xml" ContentType="application/vnd.ms-office.chartstyle+xml"/>
  <Override PartName="/xl/charts/colors85.xml" ContentType="application/vnd.ms-office.chartcolorstyle+xml"/>
  <Override PartName="/xl/charts/chart86.xml" ContentType="application/vnd.openxmlformats-officedocument.drawingml.chart+xml"/>
  <Override PartName="/xl/charts/style86.xml" ContentType="application/vnd.ms-office.chartstyle+xml"/>
  <Override PartName="/xl/charts/colors86.xml" ContentType="application/vnd.ms-office.chartcolorstyle+xml"/>
  <Override PartName="/xl/charts/chart87.xml" ContentType="application/vnd.openxmlformats-officedocument.drawingml.chart+xml"/>
  <Override PartName="/xl/charts/style87.xml" ContentType="application/vnd.ms-office.chartstyle+xml"/>
  <Override PartName="/xl/charts/colors87.xml" ContentType="application/vnd.ms-office.chartcolorstyle+xml"/>
  <Override PartName="/xl/charts/chart88.xml" ContentType="application/vnd.openxmlformats-officedocument.drawingml.chart+xml"/>
  <Override PartName="/xl/charts/style88.xml" ContentType="application/vnd.ms-office.chartstyle+xml"/>
  <Override PartName="/xl/charts/colors88.xml" ContentType="application/vnd.ms-office.chartcolorstyle+xml"/>
  <Override PartName="/xl/charts/chart89.xml" ContentType="application/vnd.openxmlformats-officedocument.drawingml.chart+xml"/>
  <Override PartName="/xl/charts/style89.xml" ContentType="application/vnd.ms-office.chartstyle+xml"/>
  <Override PartName="/xl/charts/colors89.xml" ContentType="application/vnd.ms-office.chartcolorstyle+xml"/>
  <Override PartName="/xl/charts/chart90.xml" ContentType="application/vnd.openxmlformats-officedocument.drawingml.chart+xml"/>
  <Override PartName="/xl/charts/style90.xml" ContentType="application/vnd.ms-office.chartstyle+xml"/>
  <Override PartName="/xl/charts/colors90.xml" ContentType="application/vnd.ms-office.chartcolorstyle+xml"/>
  <Override PartName="/xl/drawings/drawing11.xml" ContentType="application/vnd.openxmlformats-officedocument.drawing+xml"/>
  <Override PartName="/xl/tables/table20.xml" ContentType="application/vnd.openxmlformats-officedocument.spreadsheetml.table+xml"/>
  <Override PartName="/xl/charts/chart91.xml" ContentType="application/vnd.openxmlformats-officedocument.drawingml.chart+xml"/>
  <Override PartName="/xl/charts/style91.xml" ContentType="application/vnd.ms-office.chartstyle+xml"/>
  <Override PartName="/xl/charts/colors91.xml" ContentType="application/vnd.ms-office.chartcolorstyle+xml"/>
  <Override PartName="/xl/charts/chart92.xml" ContentType="application/vnd.openxmlformats-officedocument.drawingml.chart+xml"/>
  <Override PartName="/xl/charts/style92.xml" ContentType="application/vnd.ms-office.chartstyle+xml"/>
  <Override PartName="/xl/charts/colors92.xml" ContentType="application/vnd.ms-office.chartcolorstyle+xml"/>
  <Override PartName="/xl/charts/chart93.xml" ContentType="application/vnd.openxmlformats-officedocument.drawingml.chart+xml"/>
  <Override PartName="/xl/charts/style93.xml" ContentType="application/vnd.ms-office.chartstyle+xml"/>
  <Override PartName="/xl/charts/colors93.xml" ContentType="application/vnd.ms-office.chartcolorstyle+xml"/>
  <Override PartName="/xl/charts/chart94.xml" ContentType="application/vnd.openxmlformats-officedocument.drawingml.chart+xml"/>
  <Override PartName="/xl/charts/style94.xml" ContentType="application/vnd.ms-office.chartstyle+xml"/>
  <Override PartName="/xl/charts/colors94.xml" ContentType="application/vnd.ms-office.chartcolorstyle+xml"/>
  <Override PartName="/xl/charts/chart95.xml" ContentType="application/vnd.openxmlformats-officedocument.drawingml.chart+xml"/>
  <Override PartName="/xl/charts/style95.xml" ContentType="application/vnd.ms-office.chartstyle+xml"/>
  <Override PartName="/xl/charts/colors95.xml" ContentType="application/vnd.ms-office.chartcolorstyle+xml"/>
  <Override PartName="/xl/charts/chart96.xml" ContentType="application/vnd.openxmlformats-officedocument.drawingml.chart+xml"/>
  <Override PartName="/xl/charts/style96.xml" ContentType="application/vnd.ms-office.chartstyle+xml"/>
  <Override PartName="/xl/charts/colors96.xml" ContentType="application/vnd.ms-office.chartcolorstyle+xml"/>
  <Override PartName="/xl/charts/chart97.xml" ContentType="application/vnd.openxmlformats-officedocument.drawingml.chart+xml"/>
  <Override PartName="/xl/charts/style97.xml" ContentType="application/vnd.ms-office.chartstyle+xml"/>
  <Override PartName="/xl/charts/colors97.xml" ContentType="application/vnd.ms-office.chartcolorstyle+xml"/>
  <Override PartName="/xl/charts/chart98.xml" ContentType="application/vnd.openxmlformats-officedocument.drawingml.chart+xml"/>
  <Override PartName="/xl/charts/style98.xml" ContentType="application/vnd.ms-office.chartstyle+xml"/>
  <Override PartName="/xl/charts/colors98.xml" ContentType="application/vnd.ms-office.chartcolorstyle+xml"/>
  <Override PartName="/xl/charts/chart99.xml" ContentType="application/vnd.openxmlformats-officedocument.drawingml.chart+xml"/>
  <Override PartName="/xl/charts/style99.xml" ContentType="application/vnd.ms-office.chartstyle+xml"/>
  <Override PartName="/xl/charts/colors99.xml" ContentType="application/vnd.ms-office.chartcolorstyle+xml"/>
  <Override PartName="/xl/charts/chart100.xml" ContentType="application/vnd.openxmlformats-officedocument.drawingml.chart+xml"/>
  <Override PartName="/xl/charts/style100.xml" ContentType="application/vnd.ms-office.chartstyle+xml"/>
  <Override PartName="/xl/charts/colors100.xml" ContentType="application/vnd.ms-office.chartcolorstyle+xml"/>
  <Override PartName="/xl/drawings/drawing12.xml" ContentType="application/vnd.openxmlformats-officedocument.drawing+xml"/>
  <Override PartName="/xl/tables/table21.xml" ContentType="application/vnd.openxmlformats-officedocument.spreadsheetml.table+xml"/>
  <Override PartName="/xl/charts/chart101.xml" ContentType="application/vnd.openxmlformats-officedocument.drawingml.chart+xml"/>
  <Override PartName="/xl/charts/style101.xml" ContentType="application/vnd.ms-office.chartstyle+xml"/>
  <Override PartName="/xl/charts/colors101.xml" ContentType="application/vnd.ms-office.chartcolorstyle+xml"/>
  <Override PartName="/xl/charts/chart102.xml" ContentType="application/vnd.openxmlformats-officedocument.drawingml.chart+xml"/>
  <Override PartName="/xl/charts/style102.xml" ContentType="application/vnd.ms-office.chartstyle+xml"/>
  <Override PartName="/xl/charts/colors102.xml" ContentType="application/vnd.ms-office.chartcolorstyle+xml"/>
  <Override PartName="/xl/charts/chart103.xml" ContentType="application/vnd.openxmlformats-officedocument.drawingml.chart+xml"/>
  <Override PartName="/xl/charts/style103.xml" ContentType="application/vnd.ms-office.chartstyle+xml"/>
  <Override PartName="/xl/charts/colors103.xml" ContentType="application/vnd.ms-office.chartcolorstyle+xml"/>
  <Override PartName="/xl/charts/chart104.xml" ContentType="application/vnd.openxmlformats-officedocument.drawingml.chart+xml"/>
  <Override PartName="/xl/charts/style104.xml" ContentType="application/vnd.ms-office.chartstyle+xml"/>
  <Override PartName="/xl/charts/colors104.xml" ContentType="application/vnd.ms-office.chartcolorstyle+xml"/>
  <Override PartName="/xl/charts/chart105.xml" ContentType="application/vnd.openxmlformats-officedocument.drawingml.chart+xml"/>
  <Override PartName="/xl/charts/style105.xml" ContentType="application/vnd.ms-office.chartstyle+xml"/>
  <Override PartName="/xl/charts/colors105.xml" ContentType="application/vnd.ms-office.chartcolorstyle+xml"/>
  <Override PartName="/xl/charts/chart106.xml" ContentType="application/vnd.openxmlformats-officedocument.drawingml.chart+xml"/>
  <Override PartName="/xl/charts/style106.xml" ContentType="application/vnd.ms-office.chartstyle+xml"/>
  <Override PartName="/xl/charts/colors106.xml" ContentType="application/vnd.ms-office.chartcolorstyle+xml"/>
  <Override PartName="/xl/charts/chart107.xml" ContentType="application/vnd.openxmlformats-officedocument.drawingml.chart+xml"/>
  <Override PartName="/xl/charts/style107.xml" ContentType="application/vnd.ms-office.chartstyle+xml"/>
  <Override PartName="/xl/charts/colors107.xml" ContentType="application/vnd.ms-office.chartcolorstyle+xml"/>
  <Override PartName="/xl/charts/chart108.xml" ContentType="application/vnd.openxmlformats-officedocument.drawingml.chart+xml"/>
  <Override PartName="/xl/charts/style108.xml" ContentType="application/vnd.ms-office.chartstyle+xml"/>
  <Override PartName="/xl/charts/colors108.xml" ContentType="application/vnd.ms-office.chartcolorstyle+xml"/>
  <Override PartName="/xl/charts/chart109.xml" ContentType="application/vnd.openxmlformats-officedocument.drawingml.chart+xml"/>
  <Override PartName="/xl/charts/style109.xml" ContentType="application/vnd.ms-office.chartstyle+xml"/>
  <Override PartName="/xl/charts/colors109.xml" ContentType="application/vnd.ms-office.chartcolorstyle+xml"/>
  <Override PartName="/xl/charts/chart110.xml" ContentType="application/vnd.openxmlformats-officedocument.drawingml.chart+xml"/>
  <Override PartName="/xl/charts/style110.xml" ContentType="application/vnd.ms-office.chartstyle+xml"/>
  <Override PartName="/xl/charts/colors110.xml" ContentType="application/vnd.ms-office.chartcolorstyle+xml"/>
  <Override PartName="/xl/drawings/drawing13.xml" ContentType="application/vnd.openxmlformats-officedocument.drawing+xml"/>
  <Override PartName="/xl/tables/table22.xml" ContentType="application/vnd.openxmlformats-officedocument.spreadsheetml.table+xml"/>
  <Override PartName="/xl/charts/chart111.xml" ContentType="application/vnd.openxmlformats-officedocument.drawingml.chart+xml"/>
  <Override PartName="/xl/charts/style111.xml" ContentType="application/vnd.ms-office.chartstyle+xml"/>
  <Override PartName="/xl/charts/colors111.xml" ContentType="application/vnd.ms-office.chartcolorstyle+xml"/>
  <Override PartName="/xl/charts/chart112.xml" ContentType="application/vnd.openxmlformats-officedocument.drawingml.chart+xml"/>
  <Override PartName="/xl/charts/style112.xml" ContentType="application/vnd.ms-office.chartstyle+xml"/>
  <Override PartName="/xl/charts/colors112.xml" ContentType="application/vnd.ms-office.chartcolorstyle+xml"/>
  <Override PartName="/xl/charts/chart113.xml" ContentType="application/vnd.openxmlformats-officedocument.drawingml.chart+xml"/>
  <Override PartName="/xl/charts/style113.xml" ContentType="application/vnd.ms-office.chartstyle+xml"/>
  <Override PartName="/xl/charts/colors113.xml" ContentType="application/vnd.ms-office.chartcolorstyle+xml"/>
  <Override PartName="/xl/charts/chart114.xml" ContentType="application/vnd.openxmlformats-officedocument.drawingml.chart+xml"/>
  <Override PartName="/xl/charts/style114.xml" ContentType="application/vnd.ms-office.chartstyle+xml"/>
  <Override PartName="/xl/charts/colors114.xml" ContentType="application/vnd.ms-office.chartcolorstyle+xml"/>
  <Override PartName="/xl/charts/chart115.xml" ContentType="application/vnd.openxmlformats-officedocument.drawingml.chart+xml"/>
  <Override PartName="/xl/charts/style115.xml" ContentType="application/vnd.ms-office.chartstyle+xml"/>
  <Override PartName="/xl/charts/colors115.xml" ContentType="application/vnd.ms-office.chartcolorstyle+xml"/>
  <Override PartName="/xl/charts/chart116.xml" ContentType="application/vnd.openxmlformats-officedocument.drawingml.chart+xml"/>
  <Override PartName="/xl/charts/style116.xml" ContentType="application/vnd.ms-office.chartstyle+xml"/>
  <Override PartName="/xl/charts/colors116.xml" ContentType="application/vnd.ms-office.chartcolorstyle+xml"/>
  <Override PartName="/xl/charts/chart117.xml" ContentType="application/vnd.openxmlformats-officedocument.drawingml.chart+xml"/>
  <Override PartName="/xl/charts/style117.xml" ContentType="application/vnd.ms-office.chartstyle+xml"/>
  <Override PartName="/xl/charts/colors117.xml" ContentType="application/vnd.ms-office.chartcolorstyle+xml"/>
  <Override PartName="/xl/charts/chart118.xml" ContentType="application/vnd.openxmlformats-officedocument.drawingml.chart+xml"/>
  <Override PartName="/xl/charts/style118.xml" ContentType="application/vnd.ms-office.chartstyle+xml"/>
  <Override PartName="/xl/charts/colors118.xml" ContentType="application/vnd.ms-office.chartcolorstyle+xml"/>
  <Override PartName="/xl/charts/chart119.xml" ContentType="application/vnd.openxmlformats-officedocument.drawingml.chart+xml"/>
  <Override PartName="/xl/charts/style119.xml" ContentType="application/vnd.ms-office.chartstyle+xml"/>
  <Override PartName="/xl/charts/colors119.xml" ContentType="application/vnd.ms-office.chartcolorstyle+xml"/>
  <Override PartName="/xl/charts/chart120.xml" ContentType="application/vnd.openxmlformats-officedocument.drawingml.chart+xml"/>
  <Override PartName="/xl/charts/style120.xml" ContentType="application/vnd.ms-office.chartstyle+xml"/>
  <Override PartName="/xl/charts/colors120.xml" ContentType="application/vnd.ms-office.chartcolorstyle+xml"/>
  <Override PartName="/xl/drawings/drawing14.xml" ContentType="application/vnd.openxmlformats-officedocument.drawing+xml"/>
  <Override PartName="/xl/charts/chart121.xml" ContentType="application/vnd.openxmlformats-officedocument.drawingml.chart+xml"/>
  <Override PartName="/xl/charts/style121.xml" ContentType="application/vnd.ms-office.chartstyle+xml"/>
  <Override PartName="/xl/charts/colors121.xml" ContentType="application/vnd.ms-office.chartcolorstyle+xml"/>
  <Override PartName="/xl/charts/chart122.xml" ContentType="application/vnd.openxmlformats-officedocument.drawingml.chart+xml"/>
  <Override PartName="/xl/charts/style122.xml" ContentType="application/vnd.ms-office.chartstyle+xml"/>
  <Override PartName="/xl/charts/colors122.xml" ContentType="application/vnd.ms-office.chartcolorstyle+xml"/>
  <Override PartName="/xl/charts/chart123.xml" ContentType="application/vnd.openxmlformats-officedocument.drawingml.chart+xml"/>
  <Override PartName="/xl/charts/style123.xml" ContentType="application/vnd.ms-office.chartstyle+xml"/>
  <Override PartName="/xl/charts/colors123.xml" ContentType="application/vnd.ms-office.chartcolorstyle+xml"/>
  <Override PartName="/xl/drawings/drawing15.xml" ContentType="application/vnd.openxmlformats-officedocument.drawing+xml"/>
  <Override PartName="/xl/charts/chart124.xml" ContentType="application/vnd.openxmlformats-officedocument.drawingml.chart+xml"/>
  <Override PartName="/xl/charts/style124.xml" ContentType="application/vnd.ms-office.chartstyle+xml"/>
  <Override PartName="/xl/charts/colors124.xml" ContentType="application/vnd.ms-office.chartcolorstyle+xml"/>
  <Override PartName="/xl/charts/chart125.xml" ContentType="application/vnd.openxmlformats-officedocument.drawingml.chart+xml"/>
  <Override PartName="/xl/charts/style125.xml" ContentType="application/vnd.ms-office.chartstyle+xml"/>
  <Override PartName="/xl/charts/colors125.xml" ContentType="application/vnd.ms-office.chartcolorstyle+xml"/>
  <Override PartName="/xl/charts/chart126.xml" ContentType="application/vnd.openxmlformats-officedocument.drawingml.chart+xml"/>
  <Override PartName="/xl/charts/style126.xml" ContentType="application/vnd.ms-office.chartstyle+xml"/>
  <Override PartName="/xl/charts/colors126.xml" ContentType="application/vnd.ms-office.chartcolorstyle+xml"/>
  <Override PartName="/xl/charts/chart127.xml" ContentType="application/vnd.openxmlformats-officedocument.drawingml.chart+xml"/>
  <Override PartName="/xl/charts/style127.xml" ContentType="application/vnd.ms-office.chartstyle+xml"/>
  <Override PartName="/xl/charts/colors127.xml" ContentType="application/vnd.ms-office.chartcolorstyle+xml"/>
  <Override PartName="/xl/charts/chart128.xml" ContentType="application/vnd.openxmlformats-officedocument.drawingml.chart+xml"/>
  <Override PartName="/xl/charts/style128.xml" ContentType="application/vnd.ms-office.chartstyle+xml"/>
  <Override PartName="/xl/charts/colors128.xml" ContentType="application/vnd.ms-office.chartcolorstyle+xml"/>
  <Override PartName="/xl/drawings/drawing16.xml" ContentType="application/vnd.openxmlformats-officedocument.drawing+xml"/>
  <Override PartName="/xl/charts/chart129.xml" ContentType="application/vnd.openxmlformats-officedocument.drawingml.chart+xml"/>
  <Override PartName="/xl/charts/style129.xml" ContentType="application/vnd.ms-office.chartstyle+xml"/>
  <Override PartName="/xl/charts/colors129.xml" ContentType="application/vnd.ms-office.chartcolorstyle+xml"/>
  <Override PartName="/xl/charts/chart130.xml" ContentType="application/vnd.openxmlformats-officedocument.drawingml.chart+xml"/>
  <Override PartName="/xl/charts/style130.xml" ContentType="application/vnd.ms-office.chartstyle+xml"/>
  <Override PartName="/xl/charts/colors130.xml" ContentType="application/vnd.ms-office.chartcolorstyle+xml"/>
  <Override PartName="/xl/charts/chart131.xml" ContentType="application/vnd.openxmlformats-officedocument.drawingml.chart+xml"/>
  <Override PartName="/xl/charts/style131.xml" ContentType="application/vnd.ms-office.chartstyle+xml"/>
  <Override PartName="/xl/charts/colors131.xml" ContentType="application/vnd.ms-office.chartcolorstyle+xml"/>
  <Override PartName="/xl/charts/chart132.xml" ContentType="application/vnd.openxmlformats-officedocument.drawingml.chart+xml"/>
  <Override PartName="/xl/charts/style132.xml" ContentType="application/vnd.ms-office.chartstyle+xml"/>
  <Override PartName="/xl/charts/colors132.xml" ContentType="application/vnd.ms-office.chartcolorstyle+xml"/>
  <Override PartName="/xl/charts/chart133.xml" ContentType="application/vnd.openxmlformats-officedocument.drawingml.chart+xml"/>
  <Override PartName="/xl/charts/style133.xml" ContentType="application/vnd.ms-office.chartstyle+xml"/>
  <Override PartName="/xl/charts/colors133.xml" ContentType="application/vnd.ms-office.chartcolorsty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drawings/drawing17.xml" ContentType="application/vnd.openxmlformats-officedocument.drawing+xml"/>
  <Override PartName="/xl/tables/table35.xml" ContentType="application/vnd.openxmlformats-officedocument.spreadsheetml.table+xml"/>
  <Override PartName="/xl/tables/table36.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showInkAnnotation="0" hidePivotFieldList="1"/>
  <mc:AlternateContent xmlns:mc="http://schemas.openxmlformats.org/markup-compatibility/2006">
    <mc:Choice Requires="x15">
      <x15ac:absPath xmlns:x15ac="http://schemas.microsoft.com/office/spreadsheetml/2010/11/ac" url="A:\Communications\Common\Federal Projects\13SOW\Nursing Homes 13SOW\Handouts and Agendas\Fall Data Tracker Template\July 2026 Update_FixFormula\FINAL 508c\"/>
    </mc:Choice>
  </mc:AlternateContent>
  <xr:revisionPtr revIDLastSave="0" documentId="8_{6780AB16-5AA2-43C6-BF92-5D4BC55F3F0C}" xr6:coauthVersionLast="47" xr6:coauthVersionMax="47" xr10:uidLastSave="{00000000-0000-0000-0000-000000000000}"/>
  <bookViews>
    <workbookView xWindow="-120" yWindow="-120" windowWidth="29040" windowHeight="15720" tabRatio="883" xr2:uid="{00000000-000D-0000-FFFF-FFFF00000000}"/>
  </bookViews>
  <sheets>
    <sheet name="Tracker Description" sheetId="57" r:id="rId1"/>
    <sheet name="Data Validation" sheetId="56" r:id="rId2"/>
    <sheet name="Jan" sheetId="41" r:id="rId3"/>
    <sheet name="Feb" sheetId="64" r:id="rId4"/>
    <sheet name="Mar" sheetId="65" r:id="rId5"/>
    <sheet name="Apr" sheetId="66" r:id="rId6"/>
    <sheet name="May" sheetId="67" r:id="rId7"/>
    <sheet name="June" sheetId="68" r:id="rId8"/>
    <sheet name="July" sheetId="69" r:id="rId9"/>
    <sheet name="Aug" sheetId="70" r:id="rId10"/>
    <sheet name="Sept" sheetId="71" r:id="rId11"/>
    <sheet name="Oct" sheetId="72" r:id="rId12"/>
    <sheet name="Nov" sheetId="73" r:id="rId13"/>
    <sheet name="Dec" sheetId="74" r:id="rId14"/>
    <sheet name="Falls" sheetId="54" r:id="rId15"/>
    <sheet name="BIMS RCA" sheetId="58" r:id="rId16"/>
    <sheet name="Loc Hr" sheetId="61" r:id="rId17"/>
    <sheet name="Resident" sheetId="62" r:id="rId18"/>
    <sheet name="Fall Rate and Census" sheetId="55" r:id="rId19"/>
    <sheet name="Example" sheetId="75" r:id="rId20"/>
  </sheets>
  <definedNames>
    <definedName name="DV_BIMSScore" localSheetId="5">BIMS[BIMS Score]</definedName>
    <definedName name="DV_BIMSScore" localSheetId="9">BIMS[BIMS Score]</definedName>
    <definedName name="DV_BIMSScore" localSheetId="15">BIMS[BIMS Score]</definedName>
    <definedName name="DV_BIMSScore" localSheetId="1">BIMS[BIMS Score]</definedName>
    <definedName name="DV_BIMSScore" localSheetId="13">BIMS[BIMS Score]</definedName>
    <definedName name="DV_BIMSScore" localSheetId="19">#REF!</definedName>
    <definedName name="DV_BIMSScore" localSheetId="14">BIMS[BIMS Score]</definedName>
    <definedName name="DV_BIMSScore" localSheetId="3">BIMS[BIMS Score]</definedName>
    <definedName name="DV_BIMSScore" localSheetId="8">BIMS[BIMS Score]</definedName>
    <definedName name="DV_BIMSScore" localSheetId="7">BIMS[BIMS Score]</definedName>
    <definedName name="DV_BIMSScore" localSheetId="16">BIMS[BIMS Score]</definedName>
    <definedName name="DV_BIMSScore" localSheetId="4">BIMS[BIMS Score]</definedName>
    <definedName name="DV_BIMSScore" localSheetId="6">BIMS[BIMS Score]</definedName>
    <definedName name="DV_BIMSScore" localSheetId="12">BIMS[BIMS Score]</definedName>
    <definedName name="DV_BIMSScore" localSheetId="11">BIMS[BIMS Score]</definedName>
    <definedName name="DV_BIMSScore" localSheetId="17">BIMS[BIMS Score]</definedName>
    <definedName name="DV_BIMSScore" localSheetId="10">BIMS[BIMS Score]</definedName>
    <definedName name="DV_BIMSScore">BIMS[BIMS Score]</definedName>
    <definedName name="DV_FallCircumstances" localSheetId="5">FC[Fall Circumstances]</definedName>
    <definedName name="DV_FallCircumstances" localSheetId="9">FC[Fall Circumstances]</definedName>
    <definedName name="DV_FallCircumstances" localSheetId="13">FC[Fall Circumstances]</definedName>
    <definedName name="DV_FallCircumstances" localSheetId="19">#REF!</definedName>
    <definedName name="DV_FallCircumstances" localSheetId="3">FC[Fall Circumstances]</definedName>
    <definedName name="DV_FallCircumstances" localSheetId="8">FC[Fall Circumstances]</definedName>
    <definedName name="DV_FallCircumstances" localSheetId="7">FC[Fall Circumstances]</definedName>
    <definedName name="DV_FallCircumstances" localSheetId="4">FC[Fall Circumstances]</definedName>
    <definedName name="DV_FallCircumstances" localSheetId="6">FC[Fall Circumstances]</definedName>
    <definedName name="DV_FallCircumstances" localSheetId="12">FC[Fall Circumstances]</definedName>
    <definedName name="DV_FallCircumstances" localSheetId="11">FC[Fall Circumstances]</definedName>
    <definedName name="DV_FallCircumstances" localSheetId="10">FC[Fall Circumstances]</definedName>
    <definedName name="DV_FallCircumstances">FC[Fall Circumstances]</definedName>
    <definedName name="DV_FallType" localSheetId="5">FallType[Fall Type]</definedName>
    <definedName name="DV_FallType" localSheetId="9">FallType[Fall Type]</definedName>
    <definedName name="DV_FallType" localSheetId="15">FallType[Fall Type]</definedName>
    <definedName name="DV_FallType" localSheetId="1">FallType[Fall Type]</definedName>
    <definedName name="DV_FallType" localSheetId="13">FallType[Fall Type]</definedName>
    <definedName name="DV_FallType" localSheetId="19">#REF!</definedName>
    <definedName name="DV_FallType" localSheetId="14">FallType[Fall Type]</definedName>
    <definedName name="DV_FallType" localSheetId="3">FallType[Fall Type]</definedName>
    <definedName name="DV_FallType" localSheetId="8">FallType[Fall Type]</definedName>
    <definedName name="DV_FallType" localSheetId="7">FallType[Fall Type]</definedName>
    <definedName name="DV_FallType" localSheetId="16">FallType[Fall Type]</definedName>
    <definedName name="DV_FallType" localSheetId="4">FallType[Fall Type]</definedName>
    <definedName name="DV_FallType" localSheetId="6">FallType[Fall Type]</definedName>
    <definedName name="DV_FallType" localSheetId="12">FallType[Fall Type]</definedName>
    <definedName name="DV_FallType" localSheetId="11">FallType[Fall Type]</definedName>
    <definedName name="DV_FallType" localSheetId="17">FallType[Fall Type]</definedName>
    <definedName name="DV_FallType" localSheetId="10">FallType[Fall Type]</definedName>
    <definedName name="DV_FallType">FallType[Fall Type]</definedName>
    <definedName name="DV_Location" localSheetId="5">Location[Location]</definedName>
    <definedName name="DV_Location" localSheetId="9">Location[Location]</definedName>
    <definedName name="DV_Location" localSheetId="15">Location[Location]</definedName>
    <definedName name="DV_Location" localSheetId="1">Location[Location]</definedName>
    <definedName name="DV_Location" localSheetId="13">Location[Location]</definedName>
    <definedName name="DV_Location" localSheetId="19">#REF!</definedName>
    <definedName name="DV_Location" localSheetId="14">Location[Location]</definedName>
    <definedName name="DV_Location" localSheetId="3">Location[Location]</definedName>
    <definedName name="DV_Location" localSheetId="8">Location[Location]</definedName>
    <definedName name="DV_Location" localSheetId="7">Location[Location]</definedName>
    <definedName name="DV_Location" localSheetId="16">Location[Location]</definedName>
    <definedName name="DV_Location" localSheetId="4">Location[Location]</definedName>
    <definedName name="DV_Location" localSheetId="6">Location[Location]</definedName>
    <definedName name="DV_Location" localSheetId="12">Location[Location]</definedName>
    <definedName name="DV_Location" localSheetId="11">Location[Location]</definedName>
    <definedName name="DV_Location" localSheetId="17">Location[Location]</definedName>
    <definedName name="DV_Location" localSheetId="10">Location[Location]</definedName>
    <definedName name="DV_Location">Location[Location]</definedName>
    <definedName name="DV_PriortoFall" localSheetId="5">PriortoFall[What was the resident doing prior to fall?]</definedName>
    <definedName name="DV_PriortoFall" localSheetId="9">PriortoFall[What was the resident doing prior to fall?]</definedName>
    <definedName name="DV_PriortoFall" localSheetId="15">PriortoFall[What was the resident doing prior to fall?]</definedName>
    <definedName name="DV_PriortoFall" localSheetId="13">PriortoFall[What was the resident doing prior to fall?]</definedName>
    <definedName name="DV_PriortoFall" localSheetId="19">#REF!</definedName>
    <definedName name="DV_PriortoFall" localSheetId="3">PriortoFall[What was the resident doing prior to fall?]</definedName>
    <definedName name="DV_PriortoFall" localSheetId="8">PriortoFall[What was the resident doing prior to fall?]</definedName>
    <definedName name="DV_PriortoFall" localSheetId="7">PriortoFall[What was the resident doing prior to fall?]</definedName>
    <definedName name="DV_PriortoFall" localSheetId="16">PriortoFall[What was the resident doing prior to fall?]</definedName>
    <definedName name="DV_PriortoFall" localSheetId="4">PriortoFall[What was the resident doing prior to fall?]</definedName>
    <definedName name="DV_PriortoFall" localSheetId="6">PriortoFall[What was the resident doing prior to fall?]</definedName>
    <definedName name="DV_PriortoFall" localSheetId="12">PriortoFall[What was the resident doing prior to fall?]</definedName>
    <definedName name="DV_PriortoFall" localSheetId="11">PriortoFall[What was the resident doing prior to fall?]</definedName>
    <definedName name="DV_PriortoFall" localSheetId="17">PriortoFall[What was the resident doing prior to fall?]</definedName>
    <definedName name="DV_PriortoFall" localSheetId="10">PriortoFall[What was the resident doing prior to fall?]</definedName>
    <definedName name="DV_PriortoFall">PriortoFall[What was the resident doing prior to fall?]</definedName>
    <definedName name="DV_RCA" localSheetId="5">CF[Contributing Factors]</definedName>
    <definedName name="DV_RCA" localSheetId="9">CF[Contributing Factors]</definedName>
    <definedName name="DV_RCA" localSheetId="15">CF[Contributing Factors]</definedName>
    <definedName name="DV_RCA" localSheetId="13">CF[Contributing Factors]</definedName>
    <definedName name="DV_RCA" localSheetId="19">#REF!</definedName>
    <definedName name="DV_RCA" localSheetId="3">CF[Contributing Factors]</definedName>
    <definedName name="DV_RCA" localSheetId="8">CF[Contributing Factors]</definedName>
    <definedName name="DV_RCA" localSheetId="7">CF[Contributing Factors]</definedName>
    <definedName name="DV_RCA" localSheetId="16">CF[Contributing Factors]</definedName>
    <definedName name="DV_RCA" localSheetId="4">CF[Contributing Factors]</definedName>
    <definedName name="DV_RCA" localSheetId="6">CF[Contributing Factors]</definedName>
    <definedName name="DV_RCA" localSheetId="12">CF[Contributing Factors]</definedName>
    <definedName name="DV_RCA" localSheetId="11">CF[Contributing Factors]</definedName>
    <definedName name="DV_RCA" localSheetId="17">CF[Contributing Factors]</definedName>
    <definedName name="DV_RCA" localSheetId="10">CF[Contributing Factors]</definedName>
    <definedName name="DV_RCA">CF[Contributing Factors]</definedName>
    <definedName name="DV_RCAComp" localSheetId="5">RCA[RCA Completed]</definedName>
    <definedName name="DV_RCAComp" localSheetId="9">RCA[RCA Completed]</definedName>
    <definedName name="DV_RCAComp" localSheetId="15">RCA[RCA Completed]</definedName>
    <definedName name="DV_RCAComp" localSheetId="13">RCA[RCA Completed]</definedName>
    <definedName name="DV_RCAComp" localSheetId="19">#REF!</definedName>
    <definedName name="DV_RCAComp" localSheetId="3">RCA[RCA Completed]</definedName>
    <definedName name="DV_RCAComp" localSheetId="8">RCA[RCA Completed]</definedName>
    <definedName name="DV_RCAComp" localSheetId="7">RCA[RCA Completed]</definedName>
    <definedName name="DV_RCAComp" localSheetId="16">RCA[RCA Completed]</definedName>
    <definedName name="DV_RCAComp" localSheetId="4">RCA[RCA Completed]</definedName>
    <definedName name="DV_RCAComp" localSheetId="6">RCA[RCA Completed]</definedName>
    <definedName name="DV_RCAComp" localSheetId="12">RCA[RCA Completed]</definedName>
    <definedName name="DV_RCAComp" localSheetId="11">RCA[RCA Completed]</definedName>
    <definedName name="DV_RCAComp" localSheetId="17">RCA[RCA Completed]</definedName>
    <definedName name="DV_RCAComp" localSheetId="10">RCA[RCA Completed]</definedName>
    <definedName name="DV_RCAComp">RCA[RCA Completed]</definedName>
    <definedName name="DV_RiskResult" localSheetId="5">FC[Fall Circumstances]</definedName>
    <definedName name="DV_RiskResult" localSheetId="9">FC[Fall Circumstances]</definedName>
    <definedName name="DV_RiskResult" localSheetId="15">FC[Fall Circumstances]</definedName>
    <definedName name="DV_RiskResult" localSheetId="13">FC[Fall Circumstances]</definedName>
    <definedName name="DV_RiskResult" localSheetId="19">#REF!</definedName>
    <definedName name="DV_RiskResult" localSheetId="3">FC[Fall Circumstances]</definedName>
    <definedName name="DV_RiskResult" localSheetId="8">FC[Fall Circumstances]</definedName>
    <definedName name="DV_RiskResult" localSheetId="7">FC[Fall Circumstances]</definedName>
    <definedName name="DV_RiskResult" localSheetId="16">FC[Fall Circumstances]</definedName>
    <definedName name="DV_RiskResult" localSheetId="4">FC[Fall Circumstances]</definedName>
    <definedName name="DV_RiskResult" localSheetId="6">FC[Fall Circumstances]</definedName>
    <definedName name="DV_RiskResult" localSheetId="12">FC[Fall Circumstances]</definedName>
    <definedName name="DV_RiskResult" localSheetId="11">FC[Fall Circumstances]</definedName>
    <definedName name="DV_RiskResult" localSheetId="17">FC[Fall Circumstances]</definedName>
    <definedName name="DV_RiskResult" localSheetId="10">FC[Fall Circumstances]</definedName>
    <definedName name="DV_RiskResult">FC[Fall Circumstances]</definedName>
    <definedName name="DV_Shifts" localSheetId="5">Shifts[Hour]</definedName>
    <definedName name="DV_Shifts" localSheetId="9">Shifts[Hour]</definedName>
    <definedName name="DV_Shifts" localSheetId="15">Shifts[Hour]</definedName>
    <definedName name="DV_Shifts" localSheetId="1">Shifts[Hour]</definedName>
    <definedName name="DV_Shifts" localSheetId="13">Shifts[Hour]</definedName>
    <definedName name="DV_Shifts" localSheetId="19">#REF!</definedName>
    <definedName name="DV_Shifts" localSheetId="14">Shifts[Hour]</definedName>
    <definedName name="DV_Shifts" localSheetId="3">Shifts[Hour]</definedName>
    <definedName name="DV_Shifts" localSheetId="8">Shifts[Hour]</definedName>
    <definedName name="DV_Shifts" localSheetId="7">Shifts[Hour]</definedName>
    <definedName name="DV_Shifts" localSheetId="16">Shifts[Hour]</definedName>
    <definedName name="DV_Shifts" localSheetId="4">Shifts[Hour]</definedName>
    <definedName name="DV_Shifts" localSheetId="6">Shifts[Hour]</definedName>
    <definedName name="DV_Shifts" localSheetId="12">Shifts[Hour]</definedName>
    <definedName name="DV_Shifts" localSheetId="11">Shifts[Hour]</definedName>
    <definedName name="DV_Shifts" localSheetId="17">Shifts[Hour]</definedName>
    <definedName name="DV_Shifts" localSheetId="10">Shifts[Hour]</definedName>
    <definedName name="DV_Shifts">Shifts[Hour]</definedName>
    <definedName name="DV_Station" localSheetId="5">NS[Nurses Stations]</definedName>
    <definedName name="DV_Station" localSheetId="9">NS[Nurses Stations]</definedName>
    <definedName name="DV_Station" localSheetId="15">NS[Nurses Stations]</definedName>
    <definedName name="DV_Station" localSheetId="1">NS[Nurses Stations]</definedName>
    <definedName name="DV_Station" localSheetId="13">NS[Nurses Stations]</definedName>
    <definedName name="DV_Station" localSheetId="19">#REF!</definedName>
    <definedName name="DV_Station" localSheetId="14">NS[Nurses Stations]</definedName>
    <definedName name="DV_Station" localSheetId="3">NS[Nurses Stations]</definedName>
    <definedName name="DV_Station" localSheetId="8">NS[Nurses Stations]</definedName>
    <definedName name="DV_Station" localSheetId="7">NS[Nurses Stations]</definedName>
    <definedName name="DV_Station" localSheetId="16">NS[Nurses Stations]</definedName>
    <definedName name="DV_Station" localSheetId="4">NS[Nurses Stations]</definedName>
    <definedName name="DV_Station" localSheetId="6">NS[Nurses Stations]</definedName>
    <definedName name="DV_Station" localSheetId="12">NS[Nurses Stations]</definedName>
    <definedName name="DV_Station" localSheetId="11">NS[Nurses Stations]</definedName>
    <definedName name="DV_Station" localSheetId="17">NS[Nurses Stations]</definedName>
    <definedName name="DV_Station" localSheetId="10">NS[Nurses Stations]</definedName>
    <definedName name="DV_Station">NS[Nurses Stations]</definedName>
    <definedName name="DV_Witnessed" localSheetId="5">Witness[Witnessed]</definedName>
    <definedName name="DV_Witnessed" localSheetId="9">Witness[Witnessed]</definedName>
    <definedName name="DV_Witnessed" localSheetId="15">Witness[Witnessed]</definedName>
    <definedName name="DV_Witnessed" localSheetId="1">Witness[Witnessed]</definedName>
    <definedName name="DV_Witnessed" localSheetId="13">Witness[Witnessed]</definedName>
    <definedName name="DV_Witnessed" localSheetId="19">#REF!</definedName>
    <definedName name="DV_Witnessed" localSheetId="3">Witness[Witnessed]</definedName>
    <definedName name="DV_Witnessed" localSheetId="8">Witness[Witnessed]</definedName>
    <definedName name="DV_Witnessed" localSheetId="7">Witness[Witnessed]</definedName>
    <definedName name="DV_Witnessed" localSheetId="16">Witness[Witnessed]</definedName>
    <definedName name="DV_Witnessed" localSheetId="4">Witness[Witnessed]</definedName>
    <definedName name="DV_Witnessed" localSheetId="6">Witness[Witnessed]</definedName>
    <definedName name="DV_Witnessed" localSheetId="12">Witness[Witnessed]</definedName>
    <definedName name="DV_Witnessed" localSheetId="11">Witness[Witnessed]</definedName>
    <definedName name="DV_Witnessed" localSheetId="17">Witness[Witnessed]</definedName>
    <definedName name="DV_Witnessed" localSheetId="10">Witness[Witnessed]</definedName>
    <definedName name="DV_Witnessed">Witness[Witnessed]</definedName>
    <definedName name="new">#REF!</definedName>
    <definedName name="_xlnm.Print_Area" localSheetId="14">Falls!$A$1:$P$44</definedName>
    <definedName name="_xlnm.Print_Area" localSheetId="17">Resident!$B$2:$O$172,Resident!$R$2:$U$172</definedName>
    <definedName name="_xlnm.Print_Titles" localSheetId="5">Apr!$1:$1</definedName>
    <definedName name="_xlnm.Print_Titles" localSheetId="9">Aug!$1:$1</definedName>
    <definedName name="_xlnm.Print_Titles" localSheetId="13">Dec!$1:$1</definedName>
    <definedName name="_xlnm.Print_Titles" localSheetId="3">Feb!$1:$1</definedName>
    <definedName name="_xlnm.Print_Titles" localSheetId="2">Jan!$1:$1</definedName>
    <definedName name="_xlnm.Print_Titles" localSheetId="8">July!$1:$1</definedName>
    <definedName name="_xlnm.Print_Titles" localSheetId="7">June!$1:$1</definedName>
    <definedName name="_xlnm.Print_Titles" localSheetId="4">Mar!$1:$1</definedName>
    <definedName name="_xlnm.Print_Titles" localSheetId="6">May!$1:$1</definedName>
    <definedName name="_xlnm.Print_Titles" localSheetId="12">Nov!$1:$1</definedName>
    <definedName name="_xlnm.Print_Titles" localSheetId="11">Oct!$1:$1</definedName>
    <definedName name="_xlnm.Print_Titles" localSheetId="17">Resident!$2:$4</definedName>
    <definedName name="_xlnm.Print_Titles" localSheetId="10">Sept!$1:$1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 i="62" l="1" a="1"/>
  <c r="B5" i="62" s="1"/>
  <c r="R5" i="62" s="1" a="1"/>
  <c r="R5" i="62" s="1"/>
  <c r="U5" i="62" a="1"/>
  <c r="U5" i="62" s="1"/>
  <c r="K40" i="74"/>
  <c r="K39" i="74"/>
  <c r="K38" i="74"/>
  <c r="K37" i="74"/>
  <c r="K36" i="74"/>
  <c r="K35" i="74"/>
  <c r="K34" i="74"/>
  <c r="K33" i="74"/>
  <c r="K32" i="74"/>
  <c r="K31" i="74"/>
  <c r="K30" i="74"/>
  <c r="K29" i="74"/>
  <c r="K28" i="74"/>
  <c r="K27" i="74"/>
  <c r="K26" i="74"/>
  <c r="K25" i="74"/>
  <c r="K24" i="74"/>
  <c r="K23" i="74"/>
  <c r="K22" i="74"/>
  <c r="K21" i="74"/>
  <c r="K20" i="74"/>
  <c r="K19" i="74"/>
  <c r="K18" i="74"/>
  <c r="K17" i="74"/>
  <c r="K16" i="74"/>
  <c r="K15" i="74"/>
  <c r="K14" i="74"/>
  <c r="K13" i="74"/>
  <c r="K12" i="74"/>
  <c r="K11" i="74"/>
  <c r="K10" i="74"/>
  <c r="K9" i="74"/>
  <c r="K8" i="74"/>
  <c r="K7" i="74"/>
  <c r="K6" i="74"/>
  <c r="K5" i="74"/>
  <c r="K4" i="74"/>
  <c r="K40" i="73"/>
  <c r="K39" i="73"/>
  <c r="K38" i="73"/>
  <c r="K37" i="73"/>
  <c r="K36" i="73"/>
  <c r="K35" i="73"/>
  <c r="K34" i="73"/>
  <c r="K33" i="73"/>
  <c r="K32" i="73"/>
  <c r="K31" i="73"/>
  <c r="K30" i="73"/>
  <c r="K29" i="73"/>
  <c r="K28" i="73"/>
  <c r="K27" i="73"/>
  <c r="K26" i="73"/>
  <c r="K25" i="73"/>
  <c r="K24" i="73"/>
  <c r="K23" i="73"/>
  <c r="K22" i="73"/>
  <c r="K21" i="73"/>
  <c r="K20" i="73"/>
  <c r="K19" i="73"/>
  <c r="K18" i="73"/>
  <c r="K17" i="73"/>
  <c r="K16" i="73"/>
  <c r="K15" i="73"/>
  <c r="K14" i="73"/>
  <c r="K13" i="73"/>
  <c r="K12" i="73"/>
  <c r="K11" i="73"/>
  <c r="K10" i="73"/>
  <c r="K9" i="73"/>
  <c r="K8" i="73"/>
  <c r="K7" i="73"/>
  <c r="K6" i="73"/>
  <c r="K5" i="73"/>
  <c r="K4" i="73"/>
  <c r="K40" i="72"/>
  <c r="K39" i="72"/>
  <c r="K38" i="72"/>
  <c r="K37" i="72"/>
  <c r="K36" i="72"/>
  <c r="K35" i="72"/>
  <c r="K34" i="72"/>
  <c r="K33" i="72"/>
  <c r="K32" i="72"/>
  <c r="K31" i="72"/>
  <c r="K30" i="72"/>
  <c r="K29" i="72"/>
  <c r="K28" i="72"/>
  <c r="K27" i="72"/>
  <c r="K26" i="72"/>
  <c r="K25" i="72"/>
  <c r="K24" i="72"/>
  <c r="K23" i="72"/>
  <c r="K22" i="72"/>
  <c r="K21" i="72"/>
  <c r="K20" i="72"/>
  <c r="K19" i="72"/>
  <c r="K18" i="72"/>
  <c r="K17" i="72"/>
  <c r="K16" i="72"/>
  <c r="K15" i="72"/>
  <c r="K14" i="72"/>
  <c r="K13" i="72"/>
  <c r="K12" i="72"/>
  <c r="K11" i="72"/>
  <c r="K10" i="72"/>
  <c r="K9" i="72"/>
  <c r="K8" i="72"/>
  <c r="K7" i="72"/>
  <c r="K6" i="72"/>
  <c r="K5" i="72"/>
  <c r="K4" i="72"/>
  <c r="K40" i="71"/>
  <c r="K39" i="71"/>
  <c r="K38" i="71"/>
  <c r="K37" i="71"/>
  <c r="K36" i="71"/>
  <c r="K35" i="71"/>
  <c r="K34" i="71"/>
  <c r="K33" i="71"/>
  <c r="K32" i="71"/>
  <c r="K31" i="71"/>
  <c r="K30" i="71"/>
  <c r="K29" i="71"/>
  <c r="K28" i="71"/>
  <c r="K27" i="71"/>
  <c r="K26" i="71"/>
  <c r="K25" i="71"/>
  <c r="K24" i="71"/>
  <c r="K23" i="71"/>
  <c r="K22" i="71"/>
  <c r="K21" i="71"/>
  <c r="K20" i="71"/>
  <c r="K19" i="71"/>
  <c r="K18" i="71"/>
  <c r="K17" i="71"/>
  <c r="K16" i="71"/>
  <c r="K15" i="71"/>
  <c r="K14" i="71"/>
  <c r="K13" i="71"/>
  <c r="K12" i="71"/>
  <c r="K11" i="71"/>
  <c r="K10" i="71"/>
  <c r="K9" i="71"/>
  <c r="K8" i="71"/>
  <c r="K7" i="71"/>
  <c r="K6" i="71"/>
  <c r="K5" i="71"/>
  <c r="K4" i="71"/>
  <c r="K40" i="70"/>
  <c r="K39" i="70"/>
  <c r="K38" i="70"/>
  <c r="K37" i="70"/>
  <c r="K36" i="70"/>
  <c r="K35" i="70"/>
  <c r="K34" i="70"/>
  <c r="K33" i="70"/>
  <c r="K32" i="70"/>
  <c r="K31" i="70"/>
  <c r="K30" i="70"/>
  <c r="K29" i="70"/>
  <c r="K28" i="70"/>
  <c r="K27" i="70"/>
  <c r="K26" i="70"/>
  <c r="K25" i="70"/>
  <c r="K24" i="70"/>
  <c r="K23" i="70"/>
  <c r="K22" i="70"/>
  <c r="K21" i="70"/>
  <c r="K20" i="70"/>
  <c r="K19" i="70"/>
  <c r="K18" i="70"/>
  <c r="K17" i="70"/>
  <c r="K16" i="70"/>
  <c r="K15" i="70"/>
  <c r="K14" i="70"/>
  <c r="K13" i="70"/>
  <c r="K12" i="70"/>
  <c r="K11" i="70"/>
  <c r="K10" i="70"/>
  <c r="K9" i="70"/>
  <c r="K8" i="70"/>
  <c r="K7" i="70"/>
  <c r="K6" i="70"/>
  <c r="K5" i="70"/>
  <c r="K4" i="70"/>
  <c r="K40" i="69"/>
  <c r="K39" i="69"/>
  <c r="K38" i="69"/>
  <c r="K37" i="69"/>
  <c r="K36" i="69"/>
  <c r="K35" i="69"/>
  <c r="K34" i="69"/>
  <c r="K33" i="69"/>
  <c r="K32" i="69"/>
  <c r="K31" i="69"/>
  <c r="K30" i="69"/>
  <c r="K29" i="69"/>
  <c r="K28" i="69"/>
  <c r="K27" i="69"/>
  <c r="K26" i="69"/>
  <c r="K25" i="69"/>
  <c r="K24" i="69"/>
  <c r="K23" i="69"/>
  <c r="K22" i="69"/>
  <c r="K21" i="69"/>
  <c r="K20" i="69"/>
  <c r="K19" i="69"/>
  <c r="K18" i="69"/>
  <c r="K17" i="69"/>
  <c r="K16" i="69"/>
  <c r="K15" i="69"/>
  <c r="K14" i="69"/>
  <c r="K13" i="69"/>
  <c r="K12" i="69"/>
  <c r="K11" i="69"/>
  <c r="K10" i="69"/>
  <c r="K9" i="69"/>
  <c r="K8" i="69"/>
  <c r="K7" i="69"/>
  <c r="K6" i="69"/>
  <c r="K5" i="69"/>
  <c r="K4" i="69"/>
  <c r="K40" i="68"/>
  <c r="K39" i="68"/>
  <c r="K38" i="68"/>
  <c r="K37" i="68"/>
  <c r="K36" i="68"/>
  <c r="K35" i="68"/>
  <c r="K34" i="68"/>
  <c r="K33" i="68"/>
  <c r="K32" i="68"/>
  <c r="K31" i="68"/>
  <c r="K30" i="68"/>
  <c r="K29" i="68"/>
  <c r="K28" i="68"/>
  <c r="K27" i="68"/>
  <c r="K26" i="68"/>
  <c r="K25" i="68"/>
  <c r="K24" i="68"/>
  <c r="K23" i="68"/>
  <c r="K22" i="68"/>
  <c r="K21" i="68"/>
  <c r="K20" i="68"/>
  <c r="K19" i="68"/>
  <c r="K18" i="68"/>
  <c r="K17" i="68"/>
  <c r="K16" i="68"/>
  <c r="K15" i="68"/>
  <c r="K14" i="68"/>
  <c r="K13" i="68"/>
  <c r="K12" i="68"/>
  <c r="K11" i="68"/>
  <c r="K10" i="68"/>
  <c r="K9" i="68"/>
  <c r="K8" i="68"/>
  <c r="K7" i="68"/>
  <c r="K6" i="68"/>
  <c r="K5" i="68"/>
  <c r="K4" i="68"/>
  <c r="K40" i="67"/>
  <c r="K39" i="67"/>
  <c r="K38" i="67"/>
  <c r="K37" i="67"/>
  <c r="K36" i="67"/>
  <c r="K35" i="67"/>
  <c r="K34" i="67"/>
  <c r="K33" i="67"/>
  <c r="K32" i="67"/>
  <c r="K31" i="67"/>
  <c r="K30" i="67"/>
  <c r="K29" i="67"/>
  <c r="K28" i="67"/>
  <c r="K27" i="67"/>
  <c r="K26" i="67"/>
  <c r="K25" i="67"/>
  <c r="K24" i="67"/>
  <c r="K23" i="67"/>
  <c r="K22" i="67"/>
  <c r="K21" i="67"/>
  <c r="K20" i="67"/>
  <c r="K19" i="67"/>
  <c r="K18" i="67"/>
  <c r="K17" i="67"/>
  <c r="K16" i="67"/>
  <c r="K15" i="67"/>
  <c r="K14" i="67"/>
  <c r="K13" i="67"/>
  <c r="K12" i="67"/>
  <c r="K11" i="67"/>
  <c r="K10" i="67"/>
  <c r="K9" i="67"/>
  <c r="K8" i="67"/>
  <c r="K7" i="67"/>
  <c r="K6" i="67"/>
  <c r="K5" i="67"/>
  <c r="K4" i="67"/>
  <c r="K40" i="66"/>
  <c r="K39" i="66"/>
  <c r="K38" i="66"/>
  <c r="K37" i="66"/>
  <c r="K36" i="66"/>
  <c r="K35" i="66"/>
  <c r="K34" i="66"/>
  <c r="K33" i="66"/>
  <c r="K32" i="66"/>
  <c r="K31" i="66"/>
  <c r="K30" i="66"/>
  <c r="K29" i="66"/>
  <c r="K28" i="66"/>
  <c r="K27" i="66"/>
  <c r="K26" i="66"/>
  <c r="K25" i="66"/>
  <c r="K24" i="66"/>
  <c r="K23" i="66"/>
  <c r="K22" i="66"/>
  <c r="K21" i="66"/>
  <c r="K20" i="66"/>
  <c r="K19" i="66"/>
  <c r="K18" i="66"/>
  <c r="K17" i="66"/>
  <c r="K16" i="66"/>
  <c r="K15" i="66"/>
  <c r="K14" i="66"/>
  <c r="K13" i="66"/>
  <c r="K12" i="66"/>
  <c r="K11" i="66"/>
  <c r="K10" i="66"/>
  <c r="K9" i="66"/>
  <c r="K8" i="66"/>
  <c r="K7" i="66"/>
  <c r="K6" i="66"/>
  <c r="K5" i="66"/>
  <c r="K4" i="66"/>
  <c r="K40" i="65"/>
  <c r="K39" i="65"/>
  <c r="K38" i="65"/>
  <c r="K37" i="65"/>
  <c r="K36" i="65"/>
  <c r="K35" i="65"/>
  <c r="K34" i="65"/>
  <c r="K33" i="65"/>
  <c r="K32" i="65"/>
  <c r="K31" i="65"/>
  <c r="K30" i="65"/>
  <c r="K29" i="65"/>
  <c r="K28" i="65"/>
  <c r="K27" i="65"/>
  <c r="K26" i="65"/>
  <c r="K25" i="65"/>
  <c r="K24" i="65"/>
  <c r="K23" i="65"/>
  <c r="K22" i="65"/>
  <c r="K21" i="65"/>
  <c r="K20" i="65"/>
  <c r="K19" i="65"/>
  <c r="K18" i="65"/>
  <c r="K17" i="65"/>
  <c r="K16" i="65"/>
  <c r="K15" i="65"/>
  <c r="K14" i="65"/>
  <c r="K13" i="65"/>
  <c r="K12" i="65"/>
  <c r="K11" i="65"/>
  <c r="K10" i="65"/>
  <c r="K9" i="65"/>
  <c r="K8" i="65"/>
  <c r="K7" i="65"/>
  <c r="K6" i="65"/>
  <c r="K5" i="65"/>
  <c r="K4" i="65"/>
  <c r="K40" i="64"/>
  <c r="K39" i="64"/>
  <c r="K38" i="64"/>
  <c r="K37" i="64"/>
  <c r="K36" i="64"/>
  <c r="K35" i="64"/>
  <c r="K34" i="64"/>
  <c r="K33" i="64"/>
  <c r="K32" i="64"/>
  <c r="K31" i="64"/>
  <c r="K30" i="64"/>
  <c r="K29" i="64"/>
  <c r="K28" i="64"/>
  <c r="K27" i="64"/>
  <c r="K26" i="64"/>
  <c r="K25" i="64"/>
  <c r="K24" i="64"/>
  <c r="K23" i="64"/>
  <c r="K22" i="64"/>
  <c r="K21" i="64"/>
  <c r="K20" i="64"/>
  <c r="K19" i="64"/>
  <c r="K18" i="64"/>
  <c r="K17" i="64"/>
  <c r="K16" i="64"/>
  <c r="K15" i="64"/>
  <c r="K14" i="64"/>
  <c r="K13" i="64"/>
  <c r="K12" i="64"/>
  <c r="K11" i="64"/>
  <c r="K10" i="64"/>
  <c r="K9" i="64"/>
  <c r="K8" i="64"/>
  <c r="K7" i="64"/>
  <c r="K6" i="64"/>
  <c r="K5" i="64"/>
  <c r="K4" i="64"/>
  <c r="K40" i="41"/>
  <c r="K39" i="41"/>
  <c r="K38" i="41"/>
  <c r="K37" i="41"/>
  <c r="K36" i="41"/>
  <c r="K35" i="41"/>
  <c r="K34" i="41"/>
  <c r="K33" i="41"/>
  <c r="K32" i="41"/>
  <c r="K31" i="41"/>
  <c r="K30" i="41"/>
  <c r="K29" i="41"/>
  <c r="K28" i="41"/>
  <c r="K27" i="41"/>
  <c r="K26" i="41"/>
  <c r="K25" i="41"/>
  <c r="K24" i="41"/>
  <c r="K23" i="41"/>
  <c r="K22" i="41"/>
  <c r="K21" i="41"/>
  <c r="K20" i="41"/>
  <c r="K19" i="41"/>
  <c r="K18" i="41"/>
  <c r="K17" i="41"/>
  <c r="K16" i="41"/>
  <c r="K15" i="41"/>
  <c r="K14" i="41"/>
  <c r="K13" i="41"/>
  <c r="K12" i="41"/>
  <c r="K11" i="41"/>
  <c r="K10" i="41"/>
  <c r="K9" i="41"/>
  <c r="K8" i="41"/>
  <c r="K7" i="41"/>
  <c r="K6" i="41"/>
  <c r="K5" i="41"/>
  <c r="K4" i="41"/>
  <c r="O40" i="74"/>
  <c r="O39" i="74"/>
  <c r="O38" i="74"/>
  <c r="O37" i="74"/>
  <c r="O36" i="74"/>
  <c r="O35" i="74"/>
  <c r="O34" i="74"/>
  <c r="O33" i="74"/>
  <c r="O32" i="74"/>
  <c r="O31" i="74"/>
  <c r="O30" i="74"/>
  <c r="O29" i="74"/>
  <c r="O28" i="74"/>
  <c r="O27" i="74"/>
  <c r="O26" i="74"/>
  <c r="O25" i="74"/>
  <c r="O24" i="74"/>
  <c r="O23" i="74"/>
  <c r="O22" i="74"/>
  <c r="O21" i="74"/>
  <c r="O20" i="74"/>
  <c r="O19" i="74"/>
  <c r="O18" i="74"/>
  <c r="O17" i="74"/>
  <c r="O16" i="74"/>
  <c r="O15" i="74"/>
  <c r="O14" i="74"/>
  <c r="O13" i="74"/>
  <c r="O12" i="74"/>
  <c r="O11" i="74"/>
  <c r="O10" i="74"/>
  <c r="O9" i="74"/>
  <c r="O8" i="74"/>
  <c r="O7" i="74"/>
  <c r="O6" i="74"/>
  <c r="O5" i="74"/>
  <c r="M40" i="74"/>
  <c r="M39" i="74"/>
  <c r="M38" i="74"/>
  <c r="M37" i="74"/>
  <c r="M36" i="74"/>
  <c r="M35" i="74"/>
  <c r="M34" i="74"/>
  <c r="M33" i="74"/>
  <c r="M32" i="74"/>
  <c r="M31" i="74"/>
  <c r="M30" i="74"/>
  <c r="M29" i="74"/>
  <c r="M28" i="74"/>
  <c r="M27" i="74"/>
  <c r="M26" i="74"/>
  <c r="M25" i="74"/>
  <c r="M24" i="74"/>
  <c r="M23" i="74"/>
  <c r="M22" i="74"/>
  <c r="M21" i="74"/>
  <c r="M20" i="74"/>
  <c r="M19" i="74"/>
  <c r="M18" i="74"/>
  <c r="M17" i="74"/>
  <c r="M16" i="74"/>
  <c r="M15" i="74"/>
  <c r="M14" i="74"/>
  <c r="M13" i="74"/>
  <c r="M12" i="74"/>
  <c r="M11" i="74"/>
  <c r="M10" i="74"/>
  <c r="M9" i="74"/>
  <c r="M8" i="74"/>
  <c r="M7" i="74"/>
  <c r="M6" i="74"/>
  <c r="M5" i="74"/>
  <c r="O40" i="73"/>
  <c r="O39" i="73"/>
  <c r="O38" i="73"/>
  <c r="O37" i="73"/>
  <c r="O36" i="73"/>
  <c r="O35" i="73"/>
  <c r="O34" i="73"/>
  <c r="O33" i="73"/>
  <c r="O32" i="73"/>
  <c r="O31" i="73"/>
  <c r="O30" i="73"/>
  <c r="O29" i="73"/>
  <c r="O28" i="73"/>
  <c r="O27" i="73"/>
  <c r="O26" i="73"/>
  <c r="O25" i="73"/>
  <c r="O24" i="73"/>
  <c r="O23" i="73"/>
  <c r="O22" i="73"/>
  <c r="O21" i="73"/>
  <c r="O20" i="73"/>
  <c r="O19" i="73"/>
  <c r="O18" i="73"/>
  <c r="O17" i="73"/>
  <c r="O16" i="73"/>
  <c r="O15" i="73"/>
  <c r="O14" i="73"/>
  <c r="O13" i="73"/>
  <c r="O12" i="73"/>
  <c r="O11" i="73"/>
  <c r="O10" i="73"/>
  <c r="O9" i="73"/>
  <c r="O8" i="73"/>
  <c r="O7" i="73"/>
  <c r="O6" i="73"/>
  <c r="O5" i="73"/>
  <c r="M40" i="73"/>
  <c r="M39" i="73"/>
  <c r="M38" i="73"/>
  <c r="M37" i="73"/>
  <c r="M36" i="73"/>
  <c r="M35" i="73"/>
  <c r="M34" i="73"/>
  <c r="M33" i="73"/>
  <c r="M32" i="73"/>
  <c r="M31" i="73"/>
  <c r="M30" i="73"/>
  <c r="M29" i="73"/>
  <c r="M28" i="73"/>
  <c r="M27" i="73"/>
  <c r="M26" i="73"/>
  <c r="M25" i="73"/>
  <c r="M24" i="73"/>
  <c r="M23" i="73"/>
  <c r="M22" i="73"/>
  <c r="M21" i="73"/>
  <c r="M20" i="73"/>
  <c r="M19" i="73"/>
  <c r="M18" i="73"/>
  <c r="M17" i="73"/>
  <c r="M16" i="73"/>
  <c r="M15" i="73"/>
  <c r="M14" i="73"/>
  <c r="M13" i="73"/>
  <c r="M12" i="73"/>
  <c r="M11" i="73"/>
  <c r="M10" i="73"/>
  <c r="M9" i="73"/>
  <c r="M8" i="73"/>
  <c r="M7" i="73"/>
  <c r="M6" i="73"/>
  <c r="M5" i="73"/>
  <c r="O40" i="72"/>
  <c r="O39" i="72"/>
  <c r="O38" i="72"/>
  <c r="O37" i="72"/>
  <c r="O36" i="72"/>
  <c r="O35" i="72"/>
  <c r="O34" i="72"/>
  <c r="O33" i="72"/>
  <c r="O32" i="72"/>
  <c r="O31" i="72"/>
  <c r="O30" i="72"/>
  <c r="O29" i="72"/>
  <c r="O28" i="72"/>
  <c r="O27" i="72"/>
  <c r="O26" i="72"/>
  <c r="O25" i="72"/>
  <c r="O24" i="72"/>
  <c r="O23" i="72"/>
  <c r="O22" i="72"/>
  <c r="O21" i="72"/>
  <c r="O20" i="72"/>
  <c r="O19" i="72"/>
  <c r="O18" i="72"/>
  <c r="O17" i="72"/>
  <c r="O16" i="72"/>
  <c r="O15" i="72"/>
  <c r="O14" i="72"/>
  <c r="O13" i="72"/>
  <c r="O12" i="72"/>
  <c r="O11" i="72"/>
  <c r="O10" i="72"/>
  <c r="O9" i="72"/>
  <c r="O8" i="72"/>
  <c r="O7" i="72"/>
  <c r="O6" i="72"/>
  <c r="O5" i="72"/>
  <c r="M40" i="72"/>
  <c r="M39" i="72"/>
  <c r="M38" i="72"/>
  <c r="M37" i="72"/>
  <c r="M36" i="72"/>
  <c r="M35" i="72"/>
  <c r="M34" i="72"/>
  <c r="M33" i="72"/>
  <c r="M32" i="72"/>
  <c r="M31" i="72"/>
  <c r="M30" i="72"/>
  <c r="M29" i="72"/>
  <c r="M28" i="72"/>
  <c r="M27" i="72"/>
  <c r="M26" i="72"/>
  <c r="M25" i="72"/>
  <c r="M24" i="72"/>
  <c r="M23" i="72"/>
  <c r="M22" i="72"/>
  <c r="M21" i="72"/>
  <c r="M20" i="72"/>
  <c r="M19" i="72"/>
  <c r="M18" i="72"/>
  <c r="M17" i="72"/>
  <c r="M16" i="72"/>
  <c r="M15" i="72"/>
  <c r="M14" i="72"/>
  <c r="M13" i="72"/>
  <c r="M12" i="72"/>
  <c r="M11" i="72"/>
  <c r="M10" i="72"/>
  <c r="M9" i="72"/>
  <c r="M8" i="72"/>
  <c r="M7" i="72"/>
  <c r="M6" i="72"/>
  <c r="M5" i="72"/>
  <c r="O40" i="71"/>
  <c r="O39" i="71"/>
  <c r="O38" i="71"/>
  <c r="O37" i="71"/>
  <c r="O36" i="71"/>
  <c r="O35" i="71"/>
  <c r="O34" i="71"/>
  <c r="O33" i="71"/>
  <c r="O32" i="71"/>
  <c r="O31" i="71"/>
  <c r="O30" i="71"/>
  <c r="O29" i="71"/>
  <c r="O28" i="71"/>
  <c r="O27" i="71"/>
  <c r="O26" i="71"/>
  <c r="O25" i="71"/>
  <c r="O24" i="71"/>
  <c r="O23" i="71"/>
  <c r="O22" i="71"/>
  <c r="O21" i="71"/>
  <c r="O20" i="71"/>
  <c r="O19" i="71"/>
  <c r="O18" i="71"/>
  <c r="O17" i="71"/>
  <c r="O16" i="71"/>
  <c r="O15" i="71"/>
  <c r="O14" i="71"/>
  <c r="O13" i="71"/>
  <c r="O12" i="71"/>
  <c r="O11" i="71"/>
  <c r="O10" i="71"/>
  <c r="O9" i="71"/>
  <c r="O8" i="71"/>
  <c r="O7" i="71"/>
  <c r="O6" i="71"/>
  <c r="O5" i="71"/>
  <c r="M40" i="71"/>
  <c r="M39" i="71"/>
  <c r="M38" i="71"/>
  <c r="M37" i="71"/>
  <c r="M36" i="71"/>
  <c r="M35" i="71"/>
  <c r="M34" i="71"/>
  <c r="M33" i="71"/>
  <c r="M32" i="71"/>
  <c r="M31" i="71"/>
  <c r="M30" i="71"/>
  <c r="M29" i="71"/>
  <c r="M28" i="71"/>
  <c r="M27" i="71"/>
  <c r="M26" i="71"/>
  <c r="M25" i="71"/>
  <c r="M24" i="71"/>
  <c r="M23" i="71"/>
  <c r="M22" i="71"/>
  <c r="M21" i="71"/>
  <c r="M20" i="71"/>
  <c r="M19" i="71"/>
  <c r="M18" i="71"/>
  <c r="M17" i="71"/>
  <c r="M16" i="71"/>
  <c r="M15" i="71"/>
  <c r="M14" i="71"/>
  <c r="M13" i="71"/>
  <c r="M12" i="71"/>
  <c r="M11" i="71"/>
  <c r="M10" i="71"/>
  <c r="M9" i="71"/>
  <c r="M8" i="71"/>
  <c r="M7" i="71"/>
  <c r="M6" i="71"/>
  <c r="M5" i="71"/>
  <c r="O40" i="70"/>
  <c r="O39" i="70"/>
  <c r="O38" i="70"/>
  <c r="O37" i="70"/>
  <c r="O36" i="70"/>
  <c r="O35" i="70"/>
  <c r="O34" i="70"/>
  <c r="O33" i="70"/>
  <c r="O32" i="70"/>
  <c r="O31" i="70"/>
  <c r="O30" i="70"/>
  <c r="O29" i="70"/>
  <c r="O28" i="70"/>
  <c r="O27" i="70"/>
  <c r="O26" i="70"/>
  <c r="O25" i="70"/>
  <c r="O24" i="70"/>
  <c r="O23" i="70"/>
  <c r="O22" i="70"/>
  <c r="O21" i="70"/>
  <c r="O20" i="70"/>
  <c r="O19" i="70"/>
  <c r="O18" i="70"/>
  <c r="O17" i="70"/>
  <c r="O16" i="70"/>
  <c r="O15" i="70"/>
  <c r="O14" i="70"/>
  <c r="O13" i="70"/>
  <c r="O12" i="70"/>
  <c r="O11" i="70"/>
  <c r="O10" i="70"/>
  <c r="O9" i="70"/>
  <c r="O8" i="70"/>
  <c r="O7" i="70"/>
  <c r="O6" i="70"/>
  <c r="O5" i="70"/>
  <c r="M40" i="70"/>
  <c r="M39" i="70"/>
  <c r="M38" i="70"/>
  <c r="M37" i="70"/>
  <c r="M36" i="70"/>
  <c r="M35" i="70"/>
  <c r="M34" i="70"/>
  <c r="M33" i="70"/>
  <c r="M32" i="70"/>
  <c r="M31" i="70"/>
  <c r="M30" i="70"/>
  <c r="M29" i="70"/>
  <c r="M28" i="70"/>
  <c r="M27" i="70"/>
  <c r="M26" i="70"/>
  <c r="M25" i="70"/>
  <c r="M24" i="70"/>
  <c r="M23" i="70"/>
  <c r="M22" i="70"/>
  <c r="M21" i="70"/>
  <c r="M20" i="70"/>
  <c r="M19" i="70"/>
  <c r="M18" i="70"/>
  <c r="M17" i="70"/>
  <c r="M16" i="70"/>
  <c r="M15" i="70"/>
  <c r="M14" i="70"/>
  <c r="M13" i="70"/>
  <c r="M12" i="70"/>
  <c r="M11" i="70"/>
  <c r="M10" i="70"/>
  <c r="M9" i="70"/>
  <c r="M8" i="70"/>
  <c r="M7" i="70"/>
  <c r="M6" i="70"/>
  <c r="M5" i="70"/>
  <c r="O40" i="69"/>
  <c r="O39" i="69"/>
  <c r="O38" i="69"/>
  <c r="O37" i="69"/>
  <c r="O36" i="69"/>
  <c r="O35" i="69"/>
  <c r="O34" i="69"/>
  <c r="O33" i="69"/>
  <c r="O32" i="69"/>
  <c r="O31" i="69"/>
  <c r="O30" i="69"/>
  <c r="O29" i="69"/>
  <c r="O28" i="69"/>
  <c r="O27" i="69"/>
  <c r="O26" i="69"/>
  <c r="O25" i="69"/>
  <c r="O24" i="69"/>
  <c r="O23" i="69"/>
  <c r="O22" i="69"/>
  <c r="O21" i="69"/>
  <c r="O20" i="69"/>
  <c r="O19" i="69"/>
  <c r="O18" i="69"/>
  <c r="O17" i="69"/>
  <c r="O16" i="69"/>
  <c r="O15" i="69"/>
  <c r="O14" i="69"/>
  <c r="O13" i="69"/>
  <c r="O12" i="69"/>
  <c r="O11" i="69"/>
  <c r="O10" i="69"/>
  <c r="O9" i="69"/>
  <c r="O8" i="69"/>
  <c r="O7" i="69"/>
  <c r="O6" i="69"/>
  <c r="O5" i="69"/>
  <c r="M40" i="69"/>
  <c r="M39" i="69"/>
  <c r="M38" i="69"/>
  <c r="M37" i="69"/>
  <c r="M36" i="69"/>
  <c r="M35" i="69"/>
  <c r="M34" i="69"/>
  <c r="M33" i="69"/>
  <c r="M32" i="69"/>
  <c r="M31" i="69"/>
  <c r="M30" i="69"/>
  <c r="M29" i="69"/>
  <c r="M28" i="69"/>
  <c r="M27" i="69"/>
  <c r="M26" i="69"/>
  <c r="M25" i="69"/>
  <c r="M24" i="69"/>
  <c r="M23" i="69"/>
  <c r="M22" i="69"/>
  <c r="M21" i="69"/>
  <c r="M20" i="69"/>
  <c r="M19" i="69"/>
  <c r="M18" i="69"/>
  <c r="M17" i="69"/>
  <c r="M16" i="69"/>
  <c r="M15" i="69"/>
  <c r="M14" i="69"/>
  <c r="M13" i="69"/>
  <c r="M12" i="69"/>
  <c r="M11" i="69"/>
  <c r="M10" i="69"/>
  <c r="M9" i="69"/>
  <c r="M8" i="69"/>
  <c r="M7" i="69"/>
  <c r="M6" i="69"/>
  <c r="M5" i="69"/>
  <c r="O40" i="68"/>
  <c r="O39" i="68"/>
  <c r="O38" i="68"/>
  <c r="O37" i="68"/>
  <c r="O36" i="68"/>
  <c r="O35" i="68"/>
  <c r="O34" i="68"/>
  <c r="O33" i="68"/>
  <c r="O32" i="68"/>
  <c r="O31" i="68"/>
  <c r="O30" i="68"/>
  <c r="O29" i="68"/>
  <c r="O28" i="68"/>
  <c r="O27" i="68"/>
  <c r="O26" i="68"/>
  <c r="O25" i="68"/>
  <c r="O24" i="68"/>
  <c r="O23" i="68"/>
  <c r="O22" i="68"/>
  <c r="O21" i="68"/>
  <c r="O20" i="68"/>
  <c r="O19" i="68"/>
  <c r="O18" i="68"/>
  <c r="O17" i="68"/>
  <c r="O16" i="68"/>
  <c r="O15" i="68"/>
  <c r="O14" i="68"/>
  <c r="O13" i="68"/>
  <c r="O12" i="68"/>
  <c r="O11" i="68"/>
  <c r="O10" i="68"/>
  <c r="O9" i="68"/>
  <c r="O8" i="68"/>
  <c r="O7" i="68"/>
  <c r="O6" i="68"/>
  <c r="O5" i="68"/>
  <c r="M40" i="68"/>
  <c r="M39" i="68"/>
  <c r="M38" i="68"/>
  <c r="M37" i="68"/>
  <c r="M36" i="68"/>
  <c r="M35" i="68"/>
  <c r="M34" i="68"/>
  <c r="M33" i="68"/>
  <c r="M32" i="68"/>
  <c r="M31" i="68"/>
  <c r="M30" i="68"/>
  <c r="M29" i="68"/>
  <c r="M28" i="68"/>
  <c r="M27" i="68"/>
  <c r="M26" i="68"/>
  <c r="M25" i="68"/>
  <c r="M24" i="68"/>
  <c r="M23" i="68"/>
  <c r="M22" i="68"/>
  <c r="M21" i="68"/>
  <c r="M20" i="68"/>
  <c r="M19" i="68"/>
  <c r="M18" i="68"/>
  <c r="M17" i="68"/>
  <c r="M16" i="68"/>
  <c r="M15" i="68"/>
  <c r="M14" i="68"/>
  <c r="M13" i="68"/>
  <c r="M12" i="68"/>
  <c r="M11" i="68"/>
  <c r="M10" i="68"/>
  <c r="M9" i="68"/>
  <c r="M8" i="68"/>
  <c r="M7" i="68"/>
  <c r="M6" i="68"/>
  <c r="M5" i="68"/>
  <c r="O40" i="67"/>
  <c r="O39" i="67"/>
  <c r="O38" i="67"/>
  <c r="O37" i="67"/>
  <c r="O36" i="67"/>
  <c r="O35" i="67"/>
  <c r="O34" i="67"/>
  <c r="O33" i="67"/>
  <c r="O32" i="67"/>
  <c r="O31" i="67"/>
  <c r="O30" i="67"/>
  <c r="O29" i="67"/>
  <c r="O28" i="67"/>
  <c r="O27" i="67"/>
  <c r="O26" i="67"/>
  <c r="O25" i="67"/>
  <c r="O24" i="67"/>
  <c r="O23" i="67"/>
  <c r="O22" i="67"/>
  <c r="O21" i="67"/>
  <c r="O20" i="67"/>
  <c r="O19" i="67"/>
  <c r="O18" i="67"/>
  <c r="O17" i="67"/>
  <c r="O16" i="67"/>
  <c r="O15" i="67"/>
  <c r="O14" i="67"/>
  <c r="O13" i="67"/>
  <c r="O12" i="67"/>
  <c r="O11" i="67"/>
  <c r="O10" i="67"/>
  <c r="O9" i="67"/>
  <c r="O8" i="67"/>
  <c r="O7" i="67"/>
  <c r="O6" i="67"/>
  <c r="O5" i="67"/>
  <c r="M40" i="67"/>
  <c r="M39" i="67"/>
  <c r="M38" i="67"/>
  <c r="M37" i="67"/>
  <c r="M36" i="67"/>
  <c r="M35" i="67"/>
  <c r="M34" i="67"/>
  <c r="M33" i="67"/>
  <c r="M32" i="67"/>
  <c r="M31" i="67"/>
  <c r="M30" i="67"/>
  <c r="M29" i="67"/>
  <c r="M28" i="67"/>
  <c r="M27" i="67"/>
  <c r="M26" i="67"/>
  <c r="M25" i="67"/>
  <c r="M24" i="67"/>
  <c r="M23" i="67"/>
  <c r="M22" i="67"/>
  <c r="M21" i="67"/>
  <c r="M20" i="67"/>
  <c r="M19" i="67"/>
  <c r="M18" i="67"/>
  <c r="M17" i="67"/>
  <c r="M16" i="67"/>
  <c r="M15" i="67"/>
  <c r="M14" i="67"/>
  <c r="M13" i="67"/>
  <c r="M12" i="67"/>
  <c r="M11" i="67"/>
  <c r="M10" i="67"/>
  <c r="M9" i="67"/>
  <c r="M8" i="67"/>
  <c r="M7" i="67"/>
  <c r="M6" i="67"/>
  <c r="M5" i="67"/>
  <c r="O40" i="66"/>
  <c r="O39" i="66"/>
  <c r="O38" i="66"/>
  <c r="O37" i="66"/>
  <c r="O36" i="66"/>
  <c r="O35" i="66"/>
  <c r="O34" i="66"/>
  <c r="O33" i="66"/>
  <c r="O32" i="66"/>
  <c r="O31" i="66"/>
  <c r="O30" i="66"/>
  <c r="O29" i="66"/>
  <c r="O28" i="66"/>
  <c r="O27" i="66"/>
  <c r="O26" i="66"/>
  <c r="O25" i="66"/>
  <c r="O24" i="66"/>
  <c r="O23" i="66"/>
  <c r="O22" i="66"/>
  <c r="O21" i="66"/>
  <c r="O20" i="66"/>
  <c r="O19" i="66"/>
  <c r="O18" i="66"/>
  <c r="O17" i="66"/>
  <c r="O16" i="66"/>
  <c r="O15" i="66"/>
  <c r="O14" i="66"/>
  <c r="O13" i="66"/>
  <c r="O12" i="66"/>
  <c r="O11" i="66"/>
  <c r="O10" i="66"/>
  <c r="O9" i="66"/>
  <c r="O8" i="66"/>
  <c r="O7" i="66"/>
  <c r="O6" i="66"/>
  <c r="O5" i="66"/>
  <c r="M40" i="66"/>
  <c r="M39" i="66"/>
  <c r="M38" i="66"/>
  <c r="M37" i="66"/>
  <c r="M36" i="66"/>
  <c r="M35" i="66"/>
  <c r="M34" i="66"/>
  <c r="M33" i="66"/>
  <c r="M32" i="66"/>
  <c r="M31" i="66"/>
  <c r="M30" i="66"/>
  <c r="M29" i="66"/>
  <c r="M28" i="66"/>
  <c r="M27" i="66"/>
  <c r="M26" i="66"/>
  <c r="M25" i="66"/>
  <c r="M24" i="66"/>
  <c r="M23" i="66"/>
  <c r="M22" i="66"/>
  <c r="M21" i="66"/>
  <c r="M20" i="66"/>
  <c r="M19" i="66"/>
  <c r="M18" i="66"/>
  <c r="M17" i="66"/>
  <c r="M16" i="66"/>
  <c r="M15" i="66"/>
  <c r="M14" i="66"/>
  <c r="M13" i="66"/>
  <c r="M12" i="66"/>
  <c r="M11" i="66"/>
  <c r="M10" i="66"/>
  <c r="M9" i="66"/>
  <c r="M8" i="66"/>
  <c r="M7" i="66"/>
  <c r="M6" i="66"/>
  <c r="M5" i="66"/>
  <c r="O40" i="65"/>
  <c r="O39" i="65"/>
  <c r="O38" i="65"/>
  <c r="O37" i="65"/>
  <c r="O36" i="65"/>
  <c r="O35" i="65"/>
  <c r="O34" i="65"/>
  <c r="O33" i="65"/>
  <c r="O32" i="65"/>
  <c r="O31" i="65"/>
  <c r="O30" i="65"/>
  <c r="O29" i="65"/>
  <c r="O28" i="65"/>
  <c r="O27" i="65"/>
  <c r="O26" i="65"/>
  <c r="O25" i="65"/>
  <c r="O24" i="65"/>
  <c r="O23" i="65"/>
  <c r="O22" i="65"/>
  <c r="O21" i="65"/>
  <c r="O20" i="65"/>
  <c r="O19" i="65"/>
  <c r="O18" i="65"/>
  <c r="O17" i="65"/>
  <c r="O16" i="65"/>
  <c r="O15" i="65"/>
  <c r="O14" i="65"/>
  <c r="O13" i="65"/>
  <c r="O12" i="65"/>
  <c r="O11" i="65"/>
  <c r="O10" i="65"/>
  <c r="O9" i="65"/>
  <c r="O8" i="65"/>
  <c r="O7" i="65"/>
  <c r="O6" i="65"/>
  <c r="O5" i="65"/>
  <c r="M40" i="65"/>
  <c r="M39" i="65"/>
  <c r="M38" i="65"/>
  <c r="M37" i="65"/>
  <c r="M36" i="65"/>
  <c r="M35" i="65"/>
  <c r="M34" i="65"/>
  <c r="M33" i="65"/>
  <c r="M32" i="65"/>
  <c r="M31" i="65"/>
  <c r="M30" i="65"/>
  <c r="M29" i="65"/>
  <c r="M28" i="65"/>
  <c r="M27" i="65"/>
  <c r="M26" i="65"/>
  <c r="M25" i="65"/>
  <c r="M24" i="65"/>
  <c r="M23" i="65"/>
  <c r="M22" i="65"/>
  <c r="M21" i="65"/>
  <c r="M20" i="65"/>
  <c r="M19" i="65"/>
  <c r="M18" i="65"/>
  <c r="M17" i="65"/>
  <c r="M16" i="65"/>
  <c r="M15" i="65"/>
  <c r="M14" i="65"/>
  <c r="M13" i="65"/>
  <c r="M12" i="65"/>
  <c r="M11" i="65"/>
  <c r="M10" i="65"/>
  <c r="M9" i="65"/>
  <c r="M8" i="65"/>
  <c r="M7" i="65"/>
  <c r="M6" i="65"/>
  <c r="M5" i="65"/>
  <c r="O40" i="64"/>
  <c r="O39" i="64"/>
  <c r="O38" i="64"/>
  <c r="O37" i="64"/>
  <c r="O36" i="64"/>
  <c r="O35" i="64"/>
  <c r="O34" i="64"/>
  <c r="O33" i="64"/>
  <c r="O32" i="64"/>
  <c r="O31" i="64"/>
  <c r="O30" i="64"/>
  <c r="O29" i="64"/>
  <c r="O28" i="64"/>
  <c r="O27" i="64"/>
  <c r="O26" i="64"/>
  <c r="O25" i="64"/>
  <c r="O24" i="64"/>
  <c r="O23" i="64"/>
  <c r="O22" i="64"/>
  <c r="O21" i="64"/>
  <c r="O20" i="64"/>
  <c r="O19" i="64"/>
  <c r="O18" i="64"/>
  <c r="O17" i="64"/>
  <c r="O16" i="64"/>
  <c r="O15" i="64"/>
  <c r="O14" i="64"/>
  <c r="O13" i="64"/>
  <c r="O12" i="64"/>
  <c r="O11" i="64"/>
  <c r="O10" i="64"/>
  <c r="O9" i="64"/>
  <c r="O8" i="64"/>
  <c r="O7" i="64"/>
  <c r="O6" i="64"/>
  <c r="O5" i="64"/>
  <c r="M40" i="64"/>
  <c r="M39" i="64"/>
  <c r="M38" i="64"/>
  <c r="M37" i="64"/>
  <c r="M36" i="64"/>
  <c r="M35" i="64"/>
  <c r="M34" i="64"/>
  <c r="M33" i="64"/>
  <c r="M32" i="64"/>
  <c r="M31" i="64"/>
  <c r="M30" i="64"/>
  <c r="M29" i="64"/>
  <c r="M28" i="64"/>
  <c r="M27" i="64"/>
  <c r="M26" i="64"/>
  <c r="M25" i="64"/>
  <c r="M24" i="64"/>
  <c r="M23" i="64"/>
  <c r="M22" i="64"/>
  <c r="M21" i="64"/>
  <c r="M20" i="64"/>
  <c r="M19" i="64"/>
  <c r="M18" i="64"/>
  <c r="M17" i="64"/>
  <c r="M16" i="64"/>
  <c r="M15" i="64"/>
  <c r="M14" i="64"/>
  <c r="M13" i="64"/>
  <c r="M12" i="64"/>
  <c r="M11" i="64"/>
  <c r="M10" i="64"/>
  <c r="M9" i="64"/>
  <c r="M8" i="64"/>
  <c r="M7" i="64"/>
  <c r="M6" i="64"/>
  <c r="M5" i="64"/>
  <c r="O40" i="41"/>
  <c r="O39" i="41"/>
  <c r="O38" i="41"/>
  <c r="O37" i="41"/>
  <c r="O36" i="41"/>
  <c r="O35" i="41"/>
  <c r="O34" i="41"/>
  <c r="O33" i="41"/>
  <c r="O32" i="41"/>
  <c r="O31" i="41"/>
  <c r="O30" i="41"/>
  <c r="O29" i="41"/>
  <c r="O28" i="41"/>
  <c r="O27" i="41"/>
  <c r="O26" i="41"/>
  <c r="O25" i="41"/>
  <c r="O24" i="41"/>
  <c r="O23" i="41"/>
  <c r="O22" i="41"/>
  <c r="O21" i="41"/>
  <c r="O20" i="41"/>
  <c r="O19" i="41"/>
  <c r="O18" i="41"/>
  <c r="O17" i="41"/>
  <c r="O16" i="41"/>
  <c r="O15" i="41"/>
  <c r="O14" i="41"/>
  <c r="O13" i="41"/>
  <c r="O12" i="41"/>
  <c r="O11" i="41"/>
  <c r="O10" i="41"/>
  <c r="O9" i="41"/>
  <c r="O8" i="41"/>
  <c r="O7" i="41"/>
  <c r="O6" i="41"/>
  <c r="O5" i="41"/>
  <c r="M40" i="41"/>
  <c r="M39" i="41"/>
  <c r="M38" i="41"/>
  <c r="M37" i="41"/>
  <c r="M36" i="41"/>
  <c r="M35" i="41"/>
  <c r="M34" i="41"/>
  <c r="M33" i="41"/>
  <c r="M32" i="41"/>
  <c r="M31" i="41"/>
  <c r="M30" i="41"/>
  <c r="M29" i="41"/>
  <c r="M28" i="41"/>
  <c r="M27" i="41"/>
  <c r="M26" i="41"/>
  <c r="M25" i="41"/>
  <c r="M24" i="41"/>
  <c r="M23" i="41"/>
  <c r="M22" i="41"/>
  <c r="M21" i="41"/>
  <c r="M20" i="41"/>
  <c r="M19" i="41"/>
  <c r="M18" i="41"/>
  <c r="M17" i="41"/>
  <c r="M16" i="41"/>
  <c r="M15" i="41"/>
  <c r="M14" i="41"/>
  <c r="M13" i="41"/>
  <c r="M12" i="41"/>
  <c r="M11" i="41"/>
  <c r="M10" i="41"/>
  <c r="M9" i="41"/>
  <c r="M8" i="41"/>
  <c r="M7" i="41"/>
  <c r="M6" i="41"/>
  <c r="M5" i="41"/>
  <c r="O4" i="41"/>
  <c r="M4" i="41"/>
  <c r="B34" i="55"/>
  <c r="P3" i="56" a="1"/>
  <c r="P3" i="56" s="1"/>
  <c r="B93" i="41"/>
  <c r="B171" i="74" l="1"/>
  <c r="B171" i="73"/>
  <c r="B171" i="72"/>
  <c r="B171" i="71"/>
  <c r="B171" i="70"/>
  <c r="B171" i="69"/>
  <c r="B171" i="68"/>
  <c r="B171" i="67"/>
  <c r="B171" i="66"/>
  <c r="B171" i="65"/>
  <c r="B171" i="41"/>
  <c r="B171" i="64"/>
  <c r="B71" i="58"/>
  <c r="M4" i="74"/>
  <c r="O4" i="74"/>
  <c r="M4" i="73"/>
  <c r="O4" i="73"/>
  <c r="M4" i="72"/>
  <c r="O4" i="72"/>
  <c r="M4" i="71"/>
  <c r="O4" i="71"/>
  <c r="O4" i="70"/>
  <c r="M4" i="70"/>
  <c r="B134" i="74" l="1"/>
  <c r="B134" i="73"/>
  <c r="B134" i="72"/>
  <c r="B134" i="71"/>
  <c r="B134" i="70"/>
  <c r="B134" i="69"/>
  <c r="B134" i="68"/>
  <c r="B134" i="67"/>
  <c r="B134" i="66"/>
  <c r="B134" i="65"/>
  <c r="B134" i="64"/>
  <c r="B143" i="64"/>
  <c r="N106" i="61"/>
  <c r="N129" i="61"/>
  <c r="N128" i="61"/>
  <c r="N127" i="61"/>
  <c r="N126" i="61"/>
  <c r="N125" i="61"/>
  <c r="N124" i="61"/>
  <c r="N123" i="61"/>
  <c r="N122" i="61"/>
  <c r="N121" i="61"/>
  <c r="N120" i="61"/>
  <c r="N119" i="61"/>
  <c r="N118" i="61"/>
  <c r="N117" i="61"/>
  <c r="N116" i="61"/>
  <c r="N115" i="61"/>
  <c r="N114" i="61"/>
  <c r="N113" i="61"/>
  <c r="N112" i="61"/>
  <c r="N111" i="61"/>
  <c r="N110" i="61"/>
  <c r="N109" i="61"/>
  <c r="N108" i="61"/>
  <c r="N107" i="61"/>
  <c r="M106" i="61"/>
  <c r="M129" i="61"/>
  <c r="M128" i="61"/>
  <c r="M127" i="61"/>
  <c r="M126" i="61"/>
  <c r="M125" i="61"/>
  <c r="M124" i="61"/>
  <c r="M123" i="61"/>
  <c r="M122" i="61"/>
  <c r="M121" i="61"/>
  <c r="M120" i="61"/>
  <c r="M119" i="61"/>
  <c r="M118" i="61"/>
  <c r="M117" i="61"/>
  <c r="M116" i="61"/>
  <c r="M115" i="61"/>
  <c r="M114" i="61"/>
  <c r="M113" i="61"/>
  <c r="M112" i="61"/>
  <c r="M111" i="61"/>
  <c r="M110" i="61"/>
  <c r="M109" i="61"/>
  <c r="M108" i="61"/>
  <c r="M107" i="61"/>
  <c r="L106" i="61"/>
  <c r="L129" i="61"/>
  <c r="L128" i="61"/>
  <c r="L127" i="61"/>
  <c r="L126" i="61"/>
  <c r="L125" i="61"/>
  <c r="L124" i="61"/>
  <c r="L123" i="61"/>
  <c r="L122" i="61"/>
  <c r="L121" i="61"/>
  <c r="L120" i="61"/>
  <c r="L119" i="61"/>
  <c r="L118" i="61"/>
  <c r="L117" i="61"/>
  <c r="L116" i="61"/>
  <c r="L115" i="61"/>
  <c r="L114" i="61"/>
  <c r="L113" i="61"/>
  <c r="L112" i="61"/>
  <c r="L111" i="61"/>
  <c r="L110" i="61"/>
  <c r="L109" i="61"/>
  <c r="L108" i="61"/>
  <c r="L107" i="61"/>
  <c r="K106" i="61"/>
  <c r="K129" i="61"/>
  <c r="K128" i="61"/>
  <c r="K127" i="61"/>
  <c r="K126" i="61"/>
  <c r="K125" i="61"/>
  <c r="K124" i="61"/>
  <c r="K123" i="61"/>
  <c r="K122" i="61"/>
  <c r="K121" i="61"/>
  <c r="K120" i="61"/>
  <c r="K119" i="61"/>
  <c r="K118" i="61"/>
  <c r="K117" i="61"/>
  <c r="K116" i="61"/>
  <c r="K115" i="61"/>
  <c r="K114" i="61"/>
  <c r="K113" i="61"/>
  <c r="K112" i="61"/>
  <c r="K111" i="61"/>
  <c r="K110" i="61"/>
  <c r="K109" i="61"/>
  <c r="K108" i="61"/>
  <c r="K107" i="61"/>
  <c r="J106" i="61"/>
  <c r="J129" i="61"/>
  <c r="J128" i="61"/>
  <c r="J127" i="61"/>
  <c r="J126" i="61"/>
  <c r="J125" i="61"/>
  <c r="J124" i="61"/>
  <c r="J123" i="61"/>
  <c r="J122" i="61"/>
  <c r="J121" i="61"/>
  <c r="J120" i="61"/>
  <c r="J119" i="61"/>
  <c r="J118" i="61"/>
  <c r="J117" i="61"/>
  <c r="J116" i="61"/>
  <c r="J115" i="61"/>
  <c r="J114" i="61"/>
  <c r="J113" i="61"/>
  <c r="J112" i="61"/>
  <c r="J111" i="61"/>
  <c r="J110" i="61"/>
  <c r="J109" i="61"/>
  <c r="J108" i="61"/>
  <c r="J107" i="61"/>
  <c r="I106" i="61"/>
  <c r="I129" i="61"/>
  <c r="I128" i="61"/>
  <c r="I127" i="61"/>
  <c r="I126" i="61"/>
  <c r="I125" i="61"/>
  <c r="I124" i="61"/>
  <c r="I123" i="61"/>
  <c r="I122" i="61"/>
  <c r="I121" i="61"/>
  <c r="I120" i="61"/>
  <c r="I119" i="61"/>
  <c r="I118" i="61"/>
  <c r="I117" i="61"/>
  <c r="I116" i="61"/>
  <c r="I115" i="61"/>
  <c r="I114" i="61"/>
  <c r="I113" i="61"/>
  <c r="I112" i="61"/>
  <c r="I111" i="61"/>
  <c r="I110" i="61"/>
  <c r="I109" i="61"/>
  <c r="I108" i="61"/>
  <c r="I107" i="61"/>
  <c r="H106" i="61"/>
  <c r="H129" i="61"/>
  <c r="H128" i="61"/>
  <c r="H127" i="61"/>
  <c r="H126" i="61"/>
  <c r="H125" i="61"/>
  <c r="H124" i="61"/>
  <c r="H123" i="61"/>
  <c r="H122" i="61"/>
  <c r="H121" i="61"/>
  <c r="H120" i="61"/>
  <c r="H119" i="61"/>
  <c r="H118" i="61"/>
  <c r="H117" i="61"/>
  <c r="H116" i="61"/>
  <c r="H115" i="61"/>
  <c r="H114" i="61"/>
  <c r="H113" i="61"/>
  <c r="H112" i="61"/>
  <c r="H111" i="61"/>
  <c r="H110" i="61"/>
  <c r="H109" i="61"/>
  <c r="H108" i="61"/>
  <c r="H107" i="61"/>
  <c r="G106" i="61"/>
  <c r="G129" i="61"/>
  <c r="G128" i="61"/>
  <c r="G127" i="61"/>
  <c r="G126" i="61"/>
  <c r="G125" i="61"/>
  <c r="G124" i="61"/>
  <c r="G123" i="61"/>
  <c r="G122" i="61"/>
  <c r="G121" i="61"/>
  <c r="G120" i="61"/>
  <c r="G119" i="61"/>
  <c r="G118" i="61"/>
  <c r="G117" i="61"/>
  <c r="G116" i="61"/>
  <c r="G115" i="61"/>
  <c r="G114" i="61"/>
  <c r="G113" i="61"/>
  <c r="G112" i="61"/>
  <c r="G111" i="61"/>
  <c r="G110" i="61"/>
  <c r="G109" i="61"/>
  <c r="G108" i="61"/>
  <c r="G107" i="61"/>
  <c r="E106" i="61"/>
  <c r="E129" i="61"/>
  <c r="E128" i="61"/>
  <c r="E127" i="61"/>
  <c r="E126" i="61"/>
  <c r="E125" i="61"/>
  <c r="E124" i="61"/>
  <c r="E123" i="61"/>
  <c r="E122" i="61"/>
  <c r="E121" i="61"/>
  <c r="E120" i="61"/>
  <c r="E119" i="61"/>
  <c r="E118" i="61"/>
  <c r="E117" i="61"/>
  <c r="E116" i="61"/>
  <c r="E115" i="61"/>
  <c r="E114" i="61"/>
  <c r="E113" i="61"/>
  <c r="E112" i="61"/>
  <c r="E111" i="61"/>
  <c r="E110" i="61"/>
  <c r="E109" i="61"/>
  <c r="E108" i="61"/>
  <c r="E107" i="61"/>
  <c r="F106" i="61"/>
  <c r="F129" i="61"/>
  <c r="F128" i="61"/>
  <c r="F127" i="61"/>
  <c r="F126" i="61"/>
  <c r="F125" i="61"/>
  <c r="F124" i="61"/>
  <c r="F123" i="61"/>
  <c r="F122" i="61"/>
  <c r="F121" i="61"/>
  <c r="F120" i="61"/>
  <c r="F119" i="61"/>
  <c r="F118" i="61"/>
  <c r="F117" i="61"/>
  <c r="F116" i="61"/>
  <c r="F115" i="61"/>
  <c r="F114" i="61"/>
  <c r="F113" i="61"/>
  <c r="F112" i="61"/>
  <c r="F111" i="61"/>
  <c r="F110" i="61"/>
  <c r="F109" i="61"/>
  <c r="F108" i="61"/>
  <c r="F107" i="61"/>
  <c r="D106" i="61"/>
  <c r="D129" i="61"/>
  <c r="D128" i="61"/>
  <c r="D127" i="61"/>
  <c r="D126" i="61"/>
  <c r="D125" i="61"/>
  <c r="D124" i="61"/>
  <c r="D123" i="61"/>
  <c r="D122" i="61"/>
  <c r="D121" i="61"/>
  <c r="D120" i="61"/>
  <c r="D119" i="61"/>
  <c r="D118" i="61"/>
  <c r="D117" i="61"/>
  <c r="D116" i="61"/>
  <c r="D115" i="61"/>
  <c r="D114" i="61"/>
  <c r="D113" i="61"/>
  <c r="D112" i="61"/>
  <c r="D111" i="61"/>
  <c r="D110" i="61"/>
  <c r="D109" i="61"/>
  <c r="D108" i="61"/>
  <c r="D107" i="61"/>
  <c r="O18" i="58"/>
  <c r="O20" i="58"/>
  <c r="O19" i="58"/>
  <c r="O33" i="58"/>
  <c r="O32" i="58"/>
  <c r="N18" i="58"/>
  <c r="N20" i="58"/>
  <c r="N19" i="58"/>
  <c r="N33" i="58"/>
  <c r="N32" i="58"/>
  <c r="M18" i="58"/>
  <c r="M20" i="58"/>
  <c r="M19" i="58"/>
  <c r="M33" i="58"/>
  <c r="M32" i="58"/>
  <c r="E18" i="58"/>
  <c r="E20" i="58"/>
  <c r="E19" i="58"/>
  <c r="F18" i="58"/>
  <c r="F20" i="58"/>
  <c r="F19" i="58"/>
  <c r="G18" i="58"/>
  <c r="G20" i="58"/>
  <c r="G19" i="58"/>
  <c r="H18" i="58"/>
  <c r="H20" i="58"/>
  <c r="H19" i="58"/>
  <c r="I18" i="58"/>
  <c r="I20" i="58"/>
  <c r="I19" i="58"/>
  <c r="J18" i="58"/>
  <c r="J20" i="58"/>
  <c r="J19" i="58"/>
  <c r="K18" i="58"/>
  <c r="K20" i="58"/>
  <c r="K19" i="58"/>
  <c r="L18" i="58"/>
  <c r="L20" i="58"/>
  <c r="L19" i="58"/>
  <c r="L33" i="58"/>
  <c r="L32" i="58"/>
  <c r="K33" i="58"/>
  <c r="K32" i="58"/>
  <c r="J33" i="58"/>
  <c r="J32" i="58"/>
  <c r="I33" i="58"/>
  <c r="I32" i="58"/>
  <c r="H33" i="58"/>
  <c r="H32" i="58"/>
  <c r="G33" i="58"/>
  <c r="G32" i="58"/>
  <c r="F33" i="58"/>
  <c r="F32" i="58"/>
  <c r="E33" i="58"/>
  <c r="E32" i="58"/>
  <c r="D168" i="74"/>
  <c r="D167" i="74"/>
  <c r="D166" i="74"/>
  <c r="D165" i="74"/>
  <c r="D164" i="74"/>
  <c r="D163" i="74"/>
  <c r="D162" i="74"/>
  <c r="D161" i="74"/>
  <c r="D160" i="74"/>
  <c r="D159" i="74"/>
  <c r="D158" i="74"/>
  <c r="D157" i="74"/>
  <c r="D156" i="74"/>
  <c r="D155" i="74"/>
  <c r="D154" i="74"/>
  <c r="D153" i="74"/>
  <c r="D152" i="74"/>
  <c r="D151" i="74"/>
  <c r="D150" i="74"/>
  <c r="D149" i="74"/>
  <c r="D148" i="74"/>
  <c r="D147" i="74"/>
  <c r="D146" i="74"/>
  <c r="D145" i="74"/>
  <c r="H55" i="74"/>
  <c r="H54" i="74"/>
  <c r="D54" i="74"/>
  <c r="H53" i="74"/>
  <c r="D53" i="74"/>
  <c r="S1" i="74"/>
  <c r="N5" i="54" s="1"/>
  <c r="AI35" i="55"/>
  <c r="AF34" i="55"/>
  <c r="AC35" i="55"/>
  <c r="Z34" i="55"/>
  <c r="W35" i="55"/>
  <c r="T35" i="55"/>
  <c r="Q34" i="55"/>
  <c r="N35" i="55"/>
  <c r="K34" i="55"/>
  <c r="H35" i="55"/>
  <c r="E32" i="55"/>
  <c r="S1" i="72"/>
  <c r="L6" i="54" s="1"/>
  <c r="S1" i="71"/>
  <c r="K4" i="54" s="1"/>
  <c r="S1" i="70"/>
  <c r="J4" i="54" s="1"/>
  <c r="S1" i="69"/>
  <c r="S1" i="68"/>
  <c r="S1" i="67"/>
  <c r="S1" i="66"/>
  <c r="S1" i="65"/>
  <c r="S1" i="64"/>
  <c r="S1" i="41"/>
  <c r="S1" i="73"/>
  <c r="M4" i="54" s="1"/>
  <c r="B136" i="41" l="1" a="1"/>
  <c r="B136" i="74" a="1"/>
  <c r="D140" i="74" s="1"/>
  <c r="B136" i="64" a="1"/>
  <c r="B136" i="70" a="1"/>
  <c r="D140" i="70" s="1"/>
  <c r="B136" i="68" a="1"/>
  <c r="D140" i="68" s="1"/>
  <c r="B136" i="69" a="1"/>
  <c r="B136" i="69" s="1"/>
  <c r="B136" i="65" a="1"/>
  <c r="B136" i="65" s="1"/>
  <c r="B136" i="71" a="1"/>
  <c r="B136" i="66" a="1"/>
  <c r="B136" i="72" a="1"/>
  <c r="B96" i="61" a="1"/>
  <c r="B96" i="61" s="1"/>
  <c r="B136" i="67" a="1"/>
  <c r="B136" i="67" s="1"/>
  <c r="B136" i="73" a="1"/>
  <c r="B136" i="73" s="1"/>
  <c r="B87" i="61" a="1"/>
  <c r="N130" i="61"/>
  <c r="M130" i="61"/>
  <c r="L4" i="54"/>
  <c r="L130" i="61"/>
  <c r="K130" i="61"/>
  <c r="K5" i="54"/>
  <c r="K6" i="54"/>
  <c r="J130" i="61"/>
  <c r="I130" i="61"/>
  <c r="H130" i="61"/>
  <c r="G130" i="61"/>
  <c r="F130" i="61"/>
  <c r="E130" i="61"/>
  <c r="D130" i="61"/>
  <c r="N4" i="54"/>
  <c r="L5" i="54"/>
  <c r="J5" i="54"/>
  <c r="J6" i="54"/>
  <c r="M5" i="54"/>
  <c r="M6" i="54"/>
  <c r="N6" i="54"/>
  <c r="D140" i="64" l="1"/>
  <c r="B136" i="70"/>
  <c r="B136" i="64"/>
  <c r="B136" i="74"/>
  <c r="B136" i="68"/>
  <c r="D140" i="69"/>
  <c r="B136" i="41"/>
  <c r="D140" i="41"/>
  <c r="D140" i="66"/>
  <c r="B136" i="66"/>
  <c r="D140" i="73"/>
  <c r="D140" i="67"/>
  <c r="D140" i="71"/>
  <c r="D140" i="65"/>
  <c r="D140" i="72"/>
  <c r="B136" i="71"/>
  <c r="B87" i="61"/>
  <c r="E91" i="61"/>
  <c r="L91" i="61"/>
  <c r="M91" i="61"/>
  <c r="C91" i="61"/>
  <c r="G91" i="61"/>
  <c r="H91" i="61"/>
  <c r="O91" i="61"/>
  <c r="C100" i="61" s="1"/>
  <c r="N91" i="61"/>
  <c r="K91" i="61"/>
  <c r="I91" i="61"/>
  <c r="D91" i="61"/>
  <c r="F91" i="61"/>
  <c r="J91" i="61"/>
  <c r="B136" i="72"/>
  <c r="L7" i="54"/>
  <c r="K7" i="54"/>
  <c r="J7" i="54"/>
  <c r="M7" i="54" l="1"/>
  <c r="B173" i="74" l="1" a="1"/>
  <c r="D169" i="74"/>
  <c r="B143" i="74"/>
  <c r="B123" i="74"/>
  <c r="B110" i="74" a="1"/>
  <c r="B108" i="74"/>
  <c r="B95" i="74" a="1"/>
  <c r="B67" i="74" a="1"/>
  <c r="H56" i="74"/>
  <c r="D55" i="74"/>
  <c r="C1" i="74"/>
  <c r="D1" i="74" s="1"/>
  <c r="B173" i="73" a="1"/>
  <c r="G185" i="73" s="1"/>
  <c r="D168" i="73"/>
  <c r="D167" i="73"/>
  <c r="D166" i="73"/>
  <c r="D165" i="73"/>
  <c r="D164" i="73"/>
  <c r="D163" i="73"/>
  <c r="D162" i="73"/>
  <c r="D161" i="73"/>
  <c r="D160" i="73"/>
  <c r="D159" i="73"/>
  <c r="D158" i="73"/>
  <c r="D157" i="73"/>
  <c r="D156" i="73"/>
  <c r="D155" i="73"/>
  <c r="D154" i="73"/>
  <c r="D153" i="73"/>
  <c r="D152" i="73"/>
  <c r="D151" i="73"/>
  <c r="D150" i="73"/>
  <c r="D149" i="73"/>
  <c r="D148" i="73"/>
  <c r="D147" i="73"/>
  <c r="D146" i="73"/>
  <c r="D145" i="73"/>
  <c r="B143" i="73"/>
  <c r="B123" i="73"/>
  <c r="B110" i="73" a="1"/>
  <c r="D117" i="73" s="1"/>
  <c r="B108" i="73"/>
  <c r="B95" i="73" a="1"/>
  <c r="D105" i="73" s="1"/>
  <c r="B67" i="73" a="1"/>
  <c r="G81" i="73" s="1"/>
  <c r="H55" i="73"/>
  <c r="H54" i="73"/>
  <c r="D54" i="73"/>
  <c r="H53" i="73"/>
  <c r="D53" i="73"/>
  <c r="C1" i="73"/>
  <c r="D1" i="73" s="1"/>
  <c r="B173" i="72" a="1"/>
  <c r="G185" i="72" s="1"/>
  <c r="D168" i="72"/>
  <c r="D167" i="72"/>
  <c r="D166" i="72"/>
  <c r="D165" i="72"/>
  <c r="D164" i="72"/>
  <c r="D163" i="72"/>
  <c r="D162" i="72"/>
  <c r="D161" i="72"/>
  <c r="D160" i="72"/>
  <c r="D159" i="72"/>
  <c r="D158" i="72"/>
  <c r="D157" i="72"/>
  <c r="D156" i="72"/>
  <c r="D155" i="72"/>
  <c r="D154" i="72"/>
  <c r="D153" i="72"/>
  <c r="D152" i="72"/>
  <c r="D151" i="72"/>
  <c r="D150" i="72"/>
  <c r="D149" i="72"/>
  <c r="D148" i="72"/>
  <c r="D147" i="72"/>
  <c r="D146" i="72"/>
  <c r="D145" i="72"/>
  <c r="B143" i="72"/>
  <c r="B123" i="72"/>
  <c r="B110" i="72" a="1"/>
  <c r="D117" i="72" s="1"/>
  <c r="B108" i="72"/>
  <c r="B95" i="72" a="1"/>
  <c r="D105" i="72" s="1"/>
  <c r="B67" i="72" a="1"/>
  <c r="G81" i="72" s="1"/>
  <c r="H55" i="72"/>
  <c r="H54" i="72"/>
  <c r="D54" i="72"/>
  <c r="H53" i="72"/>
  <c r="D53" i="72"/>
  <c r="D131" i="72"/>
  <c r="C1" i="72"/>
  <c r="D1" i="72" s="1"/>
  <c r="B173" i="71" a="1"/>
  <c r="G196" i="71" s="1"/>
  <c r="D168" i="71"/>
  <c r="D167" i="71"/>
  <c r="D166" i="71"/>
  <c r="D165" i="71"/>
  <c r="D164" i="71"/>
  <c r="D163" i="71"/>
  <c r="D162" i="71"/>
  <c r="D161" i="71"/>
  <c r="D160" i="71"/>
  <c r="D159" i="71"/>
  <c r="D158" i="71"/>
  <c r="D157" i="71"/>
  <c r="D156" i="71"/>
  <c r="D155" i="71"/>
  <c r="D154" i="71"/>
  <c r="D153" i="71"/>
  <c r="D152" i="71"/>
  <c r="D151" i="71"/>
  <c r="D150" i="71"/>
  <c r="D149" i="71"/>
  <c r="D148" i="71"/>
  <c r="D147" i="71"/>
  <c r="D146" i="71"/>
  <c r="D145" i="71"/>
  <c r="B143" i="71"/>
  <c r="B123" i="71"/>
  <c r="B110" i="71" a="1"/>
  <c r="D117" i="71" s="1"/>
  <c r="B108" i="71"/>
  <c r="B95" i="71" a="1"/>
  <c r="D105" i="71" s="1"/>
  <c r="B67" i="71" a="1"/>
  <c r="G80" i="71" s="1"/>
  <c r="H55" i="71"/>
  <c r="H54" i="71"/>
  <c r="D54" i="71"/>
  <c r="H53" i="71"/>
  <c r="D53" i="71"/>
  <c r="C1" i="71"/>
  <c r="D1" i="71" s="1"/>
  <c r="B173" i="70" a="1"/>
  <c r="G185" i="70" s="1"/>
  <c r="D168" i="70"/>
  <c r="D167" i="70"/>
  <c r="D166" i="70"/>
  <c r="D165" i="70"/>
  <c r="D164" i="70"/>
  <c r="D163" i="70"/>
  <c r="D162" i="70"/>
  <c r="D161" i="70"/>
  <c r="D160" i="70"/>
  <c r="D159" i="70"/>
  <c r="D158" i="70"/>
  <c r="D157" i="70"/>
  <c r="D156" i="70"/>
  <c r="D155" i="70"/>
  <c r="D154" i="70"/>
  <c r="D153" i="70"/>
  <c r="D152" i="70"/>
  <c r="D151" i="70"/>
  <c r="D150" i="70"/>
  <c r="D149" i="70"/>
  <c r="D148" i="70"/>
  <c r="D147" i="70"/>
  <c r="D146" i="70"/>
  <c r="D145" i="70"/>
  <c r="B143" i="70"/>
  <c r="B123" i="70"/>
  <c r="B110" i="70" a="1"/>
  <c r="D117" i="70" s="1"/>
  <c r="B108" i="70"/>
  <c r="B95" i="70" a="1"/>
  <c r="D105" i="70" s="1"/>
  <c r="B67" i="70" a="1"/>
  <c r="G80" i="70" s="1"/>
  <c r="H55" i="70"/>
  <c r="H54" i="70"/>
  <c r="D54" i="70"/>
  <c r="H53" i="70"/>
  <c r="D53" i="70"/>
  <c r="C1" i="70"/>
  <c r="D1" i="70" s="1"/>
  <c r="B173" i="69" a="1"/>
  <c r="G185" i="69" s="1"/>
  <c r="D168" i="69"/>
  <c r="D167" i="69"/>
  <c r="D166" i="69"/>
  <c r="D165" i="69"/>
  <c r="D164" i="69"/>
  <c r="D163" i="69"/>
  <c r="D162" i="69"/>
  <c r="D161" i="69"/>
  <c r="D160" i="69"/>
  <c r="D159" i="69"/>
  <c r="D158" i="69"/>
  <c r="D157" i="69"/>
  <c r="D156" i="69"/>
  <c r="D155" i="69"/>
  <c r="D154" i="69"/>
  <c r="D153" i="69"/>
  <c r="D152" i="69"/>
  <c r="D151" i="69"/>
  <c r="D150" i="69"/>
  <c r="D149" i="69"/>
  <c r="D148" i="69"/>
  <c r="D147" i="69"/>
  <c r="D146" i="69"/>
  <c r="D145" i="69"/>
  <c r="B143" i="69"/>
  <c r="B123" i="69"/>
  <c r="B110" i="69" a="1"/>
  <c r="D117" i="69" s="1"/>
  <c r="B108" i="69"/>
  <c r="B95" i="69" a="1"/>
  <c r="D105" i="69" s="1"/>
  <c r="B67" i="69" a="1"/>
  <c r="G81" i="69" s="1"/>
  <c r="H55" i="69"/>
  <c r="H54" i="69"/>
  <c r="D54" i="69"/>
  <c r="H53" i="69"/>
  <c r="D53" i="69"/>
  <c r="O4" i="69"/>
  <c r="M4" i="69"/>
  <c r="C1" i="69"/>
  <c r="D1" i="69" s="1"/>
  <c r="B173" i="68" a="1"/>
  <c r="G185" i="68" s="1"/>
  <c r="D168" i="68"/>
  <c r="D167" i="68"/>
  <c r="D166" i="68"/>
  <c r="D165" i="68"/>
  <c r="D164" i="68"/>
  <c r="D163" i="68"/>
  <c r="D162" i="68"/>
  <c r="D161" i="68"/>
  <c r="D160" i="68"/>
  <c r="D159" i="68"/>
  <c r="D158" i="68"/>
  <c r="D157" i="68"/>
  <c r="D156" i="68"/>
  <c r="D155" i="68"/>
  <c r="D154" i="68"/>
  <c r="D153" i="68"/>
  <c r="D152" i="68"/>
  <c r="D151" i="68"/>
  <c r="D150" i="68"/>
  <c r="D149" i="68"/>
  <c r="D148" i="68"/>
  <c r="D147" i="68"/>
  <c r="D146" i="68"/>
  <c r="D145" i="68"/>
  <c r="B143" i="68"/>
  <c r="B123" i="68"/>
  <c r="B110" i="68" a="1"/>
  <c r="D117" i="68" s="1"/>
  <c r="B108" i="68"/>
  <c r="B95" i="68" a="1"/>
  <c r="D105" i="68" s="1"/>
  <c r="B67" i="68" a="1"/>
  <c r="G81" i="68" s="1"/>
  <c r="H55" i="68"/>
  <c r="H54" i="68"/>
  <c r="D54" i="68"/>
  <c r="H53" i="68"/>
  <c r="D53" i="68"/>
  <c r="D55" i="68" s="1"/>
  <c r="O4" i="68"/>
  <c r="M4" i="68"/>
  <c r="C1" i="68"/>
  <c r="D1" i="68" s="1"/>
  <c r="B173" i="67" a="1"/>
  <c r="G185" i="67" s="1"/>
  <c r="D168" i="67"/>
  <c r="D167" i="67"/>
  <c r="D166" i="67"/>
  <c r="D165" i="67"/>
  <c r="D164" i="67"/>
  <c r="D163" i="67"/>
  <c r="D162" i="67"/>
  <c r="D161" i="67"/>
  <c r="D160" i="67"/>
  <c r="D159" i="67"/>
  <c r="D158" i="67"/>
  <c r="D157" i="67"/>
  <c r="D156" i="67"/>
  <c r="D155" i="67"/>
  <c r="D154" i="67"/>
  <c r="D153" i="67"/>
  <c r="D152" i="67"/>
  <c r="D151" i="67"/>
  <c r="D150" i="67"/>
  <c r="D149" i="67"/>
  <c r="D148" i="67"/>
  <c r="D147" i="67"/>
  <c r="D146" i="67"/>
  <c r="D145" i="67"/>
  <c r="B143" i="67"/>
  <c r="B123" i="67"/>
  <c r="B110" i="67" a="1"/>
  <c r="D117" i="67" s="1"/>
  <c r="B108" i="67"/>
  <c r="B95" i="67" a="1"/>
  <c r="D105" i="67" s="1"/>
  <c r="B67" i="67" a="1"/>
  <c r="G81" i="67" s="1"/>
  <c r="H55" i="67"/>
  <c r="H54" i="67"/>
  <c r="D54" i="67"/>
  <c r="H53" i="67"/>
  <c r="D53" i="67"/>
  <c r="O4" i="67"/>
  <c r="M4" i="67"/>
  <c r="C1" i="67"/>
  <c r="D1" i="67" s="1"/>
  <c r="B173" i="66" a="1"/>
  <c r="G185" i="66" s="1"/>
  <c r="D168" i="66"/>
  <c r="D167" i="66"/>
  <c r="D166" i="66"/>
  <c r="D165" i="66"/>
  <c r="D164" i="66"/>
  <c r="D163" i="66"/>
  <c r="D162" i="66"/>
  <c r="D161" i="66"/>
  <c r="D160" i="66"/>
  <c r="D159" i="66"/>
  <c r="D158" i="66"/>
  <c r="D157" i="66"/>
  <c r="D156" i="66"/>
  <c r="D155" i="66"/>
  <c r="D154" i="66"/>
  <c r="D153" i="66"/>
  <c r="D152" i="66"/>
  <c r="D151" i="66"/>
  <c r="D150" i="66"/>
  <c r="D149" i="66"/>
  <c r="D148" i="66"/>
  <c r="D147" i="66"/>
  <c r="D146" i="66"/>
  <c r="D145" i="66"/>
  <c r="B143" i="66"/>
  <c r="B123" i="66"/>
  <c r="B110" i="66" a="1"/>
  <c r="D117" i="66" s="1"/>
  <c r="B108" i="66"/>
  <c r="B95" i="66" a="1"/>
  <c r="D105" i="66" s="1"/>
  <c r="B67" i="66" a="1"/>
  <c r="G81" i="66" s="1"/>
  <c r="H55" i="66"/>
  <c r="H54" i="66"/>
  <c r="D54" i="66"/>
  <c r="H53" i="66"/>
  <c r="D53" i="66"/>
  <c r="O4" i="66"/>
  <c r="M4" i="66"/>
  <c r="C1" i="66"/>
  <c r="D1" i="66" s="1"/>
  <c r="B173" i="65" a="1"/>
  <c r="G185" i="65" s="1"/>
  <c r="D168" i="65"/>
  <c r="D167" i="65"/>
  <c r="D166" i="65"/>
  <c r="D165" i="65"/>
  <c r="D164" i="65"/>
  <c r="D163" i="65"/>
  <c r="D162" i="65"/>
  <c r="D161" i="65"/>
  <c r="D160" i="65"/>
  <c r="D159" i="65"/>
  <c r="D158" i="65"/>
  <c r="D157" i="65"/>
  <c r="D156" i="65"/>
  <c r="D155" i="65"/>
  <c r="D154" i="65"/>
  <c r="D153" i="65"/>
  <c r="D152" i="65"/>
  <c r="D151" i="65"/>
  <c r="D150" i="65"/>
  <c r="D149" i="65"/>
  <c r="D148" i="65"/>
  <c r="D147" i="65"/>
  <c r="D146" i="65"/>
  <c r="D145" i="65"/>
  <c r="B143" i="65"/>
  <c r="B123" i="65"/>
  <c r="B110" i="65" a="1"/>
  <c r="D117" i="65" s="1"/>
  <c r="B108" i="65"/>
  <c r="B95" i="65" a="1"/>
  <c r="D105" i="65" s="1"/>
  <c r="B67" i="65" a="1"/>
  <c r="G81" i="65" s="1"/>
  <c r="H55" i="65"/>
  <c r="H54" i="65"/>
  <c r="D54" i="65"/>
  <c r="H53" i="65"/>
  <c r="D53" i="65"/>
  <c r="O4" i="65"/>
  <c r="M4" i="65"/>
  <c r="C1" i="65"/>
  <c r="D1" i="65" s="1"/>
  <c r="B173" i="64" a="1"/>
  <c r="G185" i="64" s="1"/>
  <c r="D168" i="64"/>
  <c r="D167" i="64"/>
  <c r="D166" i="64"/>
  <c r="D165" i="64"/>
  <c r="D164" i="64"/>
  <c r="D163" i="64"/>
  <c r="D162" i="64"/>
  <c r="D161" i="64"/>
  <c r="D160" i="64"/>
  <c r="D159" i="64"/>
  <c r="D158" i="64"/>
  <c r="D157" i="64"/>
  <c r="D156" i="64"/>
  <c r="D155" i="64"/>
  <c r="D154" i="64"/>
  <c r="D153" i="64"/>
  <c r="D152" i="64"/>
  <c r="D151" i="64"/>
  <c r="D150" i="64"/>
  <c r="D149" i="64"/>
  <c r="D148" i="64"/>
  <c r="D147" i="64"/>
  <c r="D146" i="64"/>
  <c r="D145" i="64"/>
  <c r="B123" i="64"/>
  <c r="B110" i="64" a="1"/>
  <c r="D117" i="64" s="1"/>
  <c r="B108" i="64"/>
  <c r="B95" i="64" a="1"/>
  <c r="D105" i="64" s="1"/>
  <c r="B67" i="64" a="1"/>
  <c r="G81" i="64" s="1"/>
  <c r="H55" i="64"/>
  <c r="H54" i="64"/>
  <c r="D54" i="64"/>
  <c r="H53" i="64"/>
  <c r="D53" i="64"/>
  <c r="O4" i="64"/>
  <c r="M4" i="64"/>
  <c r="D139" i="64" s="1"/>
  <c r="C1" i="64"/>
  <c r="D1" i="64" s="1"/>
  <c r="B50" i="61" a="1"/>
  <c r="B50" i="61" s="1"/>
  <c r="B35" i="61" a="1"/>
  <c r="B19" i="61" a="1"/>
  <c r="B19" i="61" s="1"/>
  <c r="B4" i="61" a="1"/>
  <c r="D55" i="70" l="1"/>
  <c r="D55" i="71"/>
  <c r="D137" i="64"/>
  <c r="D136" i="64"/>
  <c r="D138" i="64"/>
  <c r="D139" i="66"/>
  <c r="F90" i="61"/>
  <c r="D139" i="69"/>
  <c r="I90" i="61"/>
  <c r="L90" i="61"/>
  <c r="D139" i="72"/>
  <c r="J90" i="61"/>
  <c r="D139" i="70"/>
  <c r="G90" i="61"/>
  <c r="D139" i="67"/>
  <c r="D139" i="68"/>
  <c r="H90" i="61"/>
  <c r="D139" i="74"/>
  <c r="N90" i="61"/>
  <c r="M90" i="61"/>
  <c r="D139" i="73"/>
  <c r="D90" i="61"/>
  <c r="E90" i="61"/>
  <c r="D139" i="65"/>
  <c r="D139" i="71"/>
  <c r="K90" i="61"/>
  <c r="D55" i="67"/>
  <c r="D104" i="64"/>
  <c r="G85" i="73"/>
  <c r="G88" i="66"/>
  <c r="G86" i="73"/>
  <c r="G87" i="73"/>
  <c r="D137" i="70"/>
  <c r="D138" i="70"/>
  <c r="D136" i="70"/>
  <c r="J89" i="61"/>
  <c r="J88" i="61"/>
  <c r="J87" i="61"/>
  <c r="D138" i="69"/>
  <c r="D137" i="69"/>
  <c r="I89" i="61"/>
  <c r="D136" i="69"/>
  <c r="I88" i="61"/>
  <c r="I87" i="61"/>
  <c r="L89" i="61"/>
  <c r="D137" i="72"/>
  <c r="D138" i="72"/>
  <c r="L88" i="61"/>
  <c r="D136" i="72"/>
  <c r="L87" i="61"/>
  <c r="D137" i="74"/>
  <c r="D138" i="74"/>
  <c r="D136" i="74"/>
  <c r="N89" i="61"/>
  <c r="N88" i="61"/>
  <c r="N87" i="61"/>
  <c r="D137" i="68"/>
  <c r="D138" i="68"/>
  <c r="H88" i="61"/>
  <c r="H89" i="61"/>
  <c r="D136" i="68"/>
  <c r="H87" i="61"/>
  <c r="D138" i="73"/>
  <c r="M88" i="61"/>
  <c r="D136" i="73"/>
  <c r="D137" i="73"/>
  <c r="M89" i="61"/>
  <c r="M87" i="61"/>
  <c r="K89" i="61"/>
  <c r="K88" i="61"/>
  <c r="D138" i="71"/>
  <c r="D137" i="71"/>
  <c r="D136" i="71"/>
  <c r="K87" i="61"/>
  <c r="D88" i="61"/>
  <c r="D89" i="61"/>
  <c r="D87" i="61"/>
  <c r="G88" i="61"/>
  <c r="D136" i="67"/>
  <c r="D137" i="67"/>
  <c r="G89" i="61"/>
  <c r="D138" i="67"/>
  <c r="G87" i="61"/>
  <c r="F89" i="61"/>
  <c r="D137" i="66"/>
  <c r="F88" i="61"/>
  <c r="D138" i="66"/>
  <c r="D136" i="66"/>
  <c r="F87" i="61"/>
  <c r="D137" i="65"/>
  <c r="E88" i="61"/>
  <c r="D138" i="65"/>
  <c r="D136" i="65"/>
  <c r="E89" i="61"/>
  <c r="E87" i="61"/>
  <c r="G191" i="73"/>
  <c r="G192" i="73"/>
  <c r="N66" i="61"/>
  <c r="D129" i="74"/>
  <c r="D128" i="74"/>
  <c r="D127" i="74"/>
  <c r="D126" i="74"/>
  <c r="D125" i="74"/>
  <c r="N69" i="61"/>
  <c r="N68" i="61"/>
  <c r="N67" i="61"/>
  <c r="D130" i="74"/>
  <c r="N65" i="61"/>
  <c r="N71" i="61"/>
  <c r="N70" i="61"/>
  <c r="D131" i="74"/>
  <c r="D131" i="73"/>
  <c r="G84" i="73"/>
  <c r="G188" i="73"/>
  <c r="D55" i="73"/>
  <c r="M69" i="61"/>
  <c r="M67" i="61"/>
  <c r="M70" i="61"/>
  <c r="M65" i="61"/>
  <c r="M71" i="61"/>
  <c r="M68" i="61"/>
  <c r="M66" i="61"/>
  <c r="G68" i="73"/>
  <c r="G71" i="73"/>
  <c r="D55" i="72"/>
  <c r="G174" i="72"/>
  <c r="L65" i="61"/>
  <c r="L71" i="61"/>
  <c r="L67" i="61"/>
  <c r="L70" i="61"/>
  <c r="L69" i="61"/>
  <c r="L68" i="61"/>
  <c r="L66" i="61"/>
  <c r="G175" i="72"/>
  <c r="G179" i="72"/>
  <c r="G189" i="72"/>
  <c r="B95" i="72"/>
  <c r="D95" i="72" s="1"/>
  <c r="D98" i="72"/>
  <c r="D99" i="72"/>
  <c r="H56" i="71"/>
  <c r="K69" i="61"/>
  <c r="K68" i="61"/>
  <c r="K67" i="61"/>
  <c r="K66" i="61"/>
  <c r="K70" i="61"/>
  <c r="K71" i="61"/>
  <c r="K65" i="61"/>
  <c r="D169" i="71"/>
  <c r="D131" i="71"/>
  <c r="D131" i="70"/>
  <c r="G83" i="70"/>
  <c r="J66" i="61"/>
  <c r="J65" i="61"/>
  <c r="J69" i="61"/>
  <c r="J71" i="61"/>
  <c r="J70" i="61"/>
  <c r="J68" i="61"/>
  <c r="J67" i="61"/>
  <c r="H56" i="70"/>
  <c r="D55" i="69"/>
  <c r="I69" i="61"/>
  <c r="I65" i="61"/>
  <c r="I68" i="61"/>
  <c r="I71" i="61"/>
  <c r="I70" i="61"/>
  <c r="I67" i="61"/>
  <c r="I66" i="61"/>
  <c r="D127" i="68"/>
  <c r="G187" i="68"/>
  <c r="G188" i="68"/>
  <c r="G193" i="68"/>
  <c r="H65" i="61"/>
  <c r="H71" i="61"/>
  <c r="H66" i="61"/>
  <c r="H69" i="61"/>
  <c r="H70" i="61"/>
  <c r="H68" i="61"/>
  <c r="H67" i="61"/>
  <c r="D131" i="67"/>
  <c r="G69" i="61"/>
  <c r="G68" i="61"/>
  <c r="G66" i="61"/>
  <c r="G67" i="61"/>
  <c r="G71" i="61"/>
  <c r="G70" i="61"/>
  <c r="G65" i="61"/>
  <c r="G71" i="66"/>
  <c r="G72" i="66"/>
  <c r="G73" i="66"/>
  <c r="F66" i="61"/>
  <c r="F65" i="61"/>
  <c r="F69" i="61"/>
  <c r="F71" i="61"/>
  <c r="F70" i="61"/>
  <c r="F68" i="61"/>
  <c r="F67" i="61"/>
  <c r="G74" i="66"/>
  <c r="G75" i="66"/>
  <c r="D55" i="66"/>
  <c r="G82" i="66"/>
  <c r="G76" i="66"/>
  <c r="G83" i="66"/>
  <c r="D55" i="65"/>
  <c r="D126" i="65"/>
  <c r="E68" i="61"/>
  <c r="E67" i="61"/>
  <c r="E69" i="61"/>
  <c r="E66" i="61"/>
  <c r="E71" i="61"/>
  <c r="E70" i="61"/>
  <c r="E65" i="61"/>
  <c r="D68" i="61"/>
  <c r="D67" i="61"/>
  <c r="D69" i="61"/>
  <c r="D66" i="61"/>
  <c r="D65" i="61"/>
  <c r="D71" i="61"/>
  <c r="D70" i="61"/>
  <c r="G82" i="68"/>
  <c r="G180" i="67"/>
  <c r="G84" i="68"/>
  <c r="G182" i="67"/>
  <c r="G179" i="64"/>
  <c r="G84" i="67"/>
  <c r="D119" i="72"/>
  <c r="G184" i="64"/>
  <c r="D96" i="69"/>
  <c r="D100" i="64"/>
  <c r="G187" i="64"/>
  <c r="G85" i="66"/>
  <c r="G186" i="67"/>
  <c r="B95" i="69"/>
  <c r="D95" i="69" s="1"/>
  <c r="H62" i="71"/>
  <c r="G70" i="73"/>
  <c r="D119" i="71"/>
  <c r="G85" i="68"/>
  <c r="G82" i="65"/>
  <c r="G72" i="67"/>
  <c r="G194" i="67"/>
  <c r="D118" i="72"/>
  <c r="G180" i="64"/>
  <c r="G189" i="64"/>
  <c r="H61" i="72"/>
  <c r="G192" i="64"/>
  <c r="G196" i="64"/>
  <c r="G70" i="66"/>
  <c r="B67" i="70"/>
  <c r="G67" i="70" s="1"/>
  <c r="G86" i="71"/>
  <c r="D96" i="66"/>
  <c r="H62" i="72"/>
  <c r="D101" i="65"/>
  <c r="D98" i="66"/>
  <c r="G180" i="66"/>
  <c r="D119" i="67"/>
  <c r="D96" i="68"/>
  <c r="G175" i="68"/>
  <c r="G71" i="70"/>
  <c r="G90" i="70"/>
  <c r="G187" i="70"/>
  <c r="H61" i="73"/>
  <c r="B95" i="73"/>
  <c r="D95" i="73" s="1"/>
  <c r="G174" i="73"/>
  <c r="G85" i="71"/>
  <c r="B95" i="65"/>
  <c r="D95" i="65" s="1"/>
  <c r="B95" i="66"/>
  <c r="D95" i="66" s="1"/>
  <c r="G73" i="64"/>
  <c r="D96" i="65"/>
  <c r="G86" i="70"/>
  <c r="G179" i="70"/>
  <c r="G86" i="72"/>
  <c r="G83" i="64"/>
  <c r="D100" i="65"/>
  <c r="G186" i="70"/>
  <c r="G86" i="64"/>
  <c r="D103" i="65"/>
  <c r="D99" i="66"/>
  <c r="G72" i="70"/>
  <c r="G189" i="70"/>
  <c r="D96" i="73"/>
  <c r="G87" i="64"/>
  <c r="G73" i="67"/>
  <c r="D100" i="73"/>
  <c r="G176" i="73"/>
  <c r="G175" i="64"/>
  <c r="D103" i="73"/>
  <c r="G177" i="73"/>
  <c r="G176" i="64"/>
  <c r="G84" i="66"/>
  <c r="D104" i="66"/>
  <c r="G75" i="67"/>
  <c r="D118" i="68"/>
  <c r="G180" i="68"/>
  <c r="D100" i="69"/>
  <c r="G75" i="70"/>
  <c r="G186" i="72"/>
  <c r="G72" i="73"/>
  <c r="D104" i="73"/>
  <c r="G178" i="73"/>
  <c r="G68" i="64"/>
  <c r="G84" i="70"/>
  <c r="H60" i="70"/>
  <c r="G69" i="70"/>
  <c r="D118" i="67"/>
  <c r="G84" i="64"/>
  <c r="G181" i="66"/>
  <c r="D100" i="66"/>
  <c r="G74" i="70"/>
  <c r="G76" i="67"/>
  <c r="D119" i="68"/>
  <c r="G181" i="68"/>
  <c r="D101" i="69"/>
  <c r="G78" i="70"/>
  <c r="G187" i="72"/>
  <c r="G75" i="73"/>
  <c r="G186" i="73"/>
  <c r="G71" i="64"/>
  <c r="G85" i="70"/>
  <c r="G178" i="70"/>
  <c r="D97" i="66"/>
  <c r="B95" i="68"/>
  <c r="D95" i="68" s="1"/>
  <c r="G174" i="68"/>
  <c r="G70" i="70"/>
  <c r="G87" i="70"/>
  <c r="D103" i="68"/>
  <c r="G176" i="68"/>
  <c r="G175" i="73"/>
  <c r="G186" i="66"/>
  <c r="G177" i="68"/>
  <c r="G192" i="69"/>
  <c r="G73" i="70"/>
  <c r="D101" i="66"/>
  <c r="G74" i="67"/>
  <c r="G178" i="68"/>
  <c r="D97" i="69"/>
  <c r="G177" i="64"/>
  <c r="D103" i="64"/>
  <c r="G178" i="64"/>
  <c r="G70" i="65"/>
  <c r="G87" i="66"/>
  <c r="G83" i="67"/>
  <c r="G179" i="67"/>
  <c r="G74" i="68"/>
  <c r="G186" i="68"/>
  <c r="D103" i="69"/>
  <c r="G79" i="70"/>
  <c r="G188" i="72"/>
  <c r="G76" i="73"/>
  <c r="G187" i="73"/>
  <c r="G174" i="65"/>
  <c r="G83" i="74"/>
  <c r="G71" i="74"/>
  <c r="G81" i="74"/>
  <c r="G69" i="74"/>
  <c r="G80" i="74"/>
  <c r="G68" i="74"/>
  <c r="G89" i="74"/>
  <c r="G77" i="74"/>
  <c r="G88" i="74"/>
  <c r="G76" i="74"/>
  <c r="G84" i="74"/>
  <c r="G79" i="74"/>
  <c r="G82" i="74"/>
  <c r="G78" i="74"/>
  <c r="G74" i="74"/>
  <c r="G72" i="74"/>
  <c r="G73" i="74"/>
  <c r="G87" i="74"/>
  <c r="G86" i="74"/>
  <c r="G70" i="74"/>
  <c r="G75" i="74"/>
  <c r="G85" i="74"/>
  <c r="G90" i="74"/>
  <c r="G85" i="64"/>
  <c r="G175" i="65"/>
  <c r="G5" i="58"/>
  <c r="G6" i="58"/>
  <c r="G4" i="58"/>
  <c r="G184" i="66"/>
  <c r="D96" i="67"/>
  <c r="G181" i="67"/>
  <c r="G83" i="68"/>
  <c r="G70" i="69"/>
  <c r="G174" i="69"/>
  <c r="D119" i="70"/>
  <c r="G182" i="70"/>
  <c r="G87" i="71"/>
  <c r="G188" i="71"/>
  <c r="G70" i="72"/>
  <c r="B67" i="74"/>
  <c r="G67" i="74" s="1"/>
  <c r="D99" i="74"/>
  <c r="D97" i="74"/>
  <c r="D96" i="74"/>
  <c r="D105" i="74"/>
  <c r="D104" i="74"/>
  <c r="D102" i="74"/>
  <c r="D103" i="74"/>
  <c r="D100" i="74"/>
  <c r="D98" i="74"/>
  <c r="D101" i="74"/>
  <c r="G190" i="71"/>
  <c r="G72" i="72"/>
  <c r="D96" i="72"/>
  <c r="G190" i="72"/>
  <c r="G73" i="73"/>
  <c r="G88" i="73"/>
  <c r="D118" i="73"/>
  <c r="G179" i="73"/>
  <c r="O5" i="58"/>
  <c r="H61" i="74"/>
  <c r="H60" i="74"/>
  <c r="O4" i="58"/>
  <c r="O6" i="58"/>
  <c r="H62" i="74"/>
  <c r="B95" i="74"/>
  <c r="D95" i="74" s="1"/>
  <c r="G185" i="71"/>
  <c r="G175" i="69"/>
  <c r="H62" i="68"/>
  <c r="I5" i="58"/>
  <c r="I4" i="58"/>
  <c r="I6" i="58"/>
  <c r="L6" i="58"/>
  <c r="L5" i="58"/>
  <c r="L4" i="58"/>
  <c r="D96" i="71"/>
  <c r="B4" i="61"/>
  <c r="M12" i="61"/>
  <c r="L8" i="61"/>
  <c r="J12" i="61"/>
  <c r="I14" i="61"/>
  <c r="G12" i="61"/>
  <c r="E8" i="61"/>
  <c r="F7" i="61"/>
  <c r="M11" i="61"/>
  <c r="L7" i="61"/>
  <c r="J11" i="61"/>
  <c r="I13" i="61"/>
  <c r="G11" i="61"/>
  <c r="E7" i="61"/>
  <c r="F6" i="61"/>
  <c r="D14" i="61"/>
  <c r="N14" i="61"/>
  <c r="M10" i="61"/>
  <c r="L6" i="61"/>
  <c r="K14" i="61"/>
  <c r="J10" i="61"/>
  <c r="I12" i="61"/>
  <c r="H14" i="61"/>
  <c r="G10" i="61"/>
  <c r="E6" i="61"/>
  <c r="F5" i="61"/>
  <c r="D13" i="61"/>
  <c r="N13" i="61"/>
  <c r="M9" i="61"/>
  <c r="L5" i="61"/>
  <c r="K13" i="61"/>
  <c r="J9" i="61"/>
  <c r="I11" i="61"/>
  <c r="H13" i="61"/>
  <c r="G9" i="61"/>
  <c r="E5" i="61"/>
  <c r="D12" i="61"/>
  <c r="N10" i="61"/>
  <c r="M6" i="61"/>
  <c r="L14" i="61"/>
  <c r="K10" i="61"/>
  <c r="J6" i="61"/>
  <c r="I8" i="61"/>
  <c r="H10" i="61"/>
  <c r="G6" i="61"/>
  <c r="E14" i="61"/>
  <c r="F13" i="61"/>
  <c r="D9" i="61"/>
  <c r="N9" i="61"/>
  <c r="M5" i="61"/>
  <c r="L13" i="61"/>
  <c r="K9" i="61"/>
  <c r="J5" i="61"/>
  <c r="I7" i="61"/>
  <c r="H9" i="61"/>
  <c r="G5" i="61"/>
  <c r="E13" i="61"/>
  <c r="F12" i="61"/>
  <c r="D8" i="61"/>
  <c r="N8" i="61"/>
  <c r="K6" i="61"/>
  <c r="I9" i="61"/>
  <c r="E9" i="61"/>
  <c r="D7" i="61"/>
  <c r="N6" i="61"/>
  <c r="L11" i="61"/>
  <c r="I5" i="61"/>
  <c r="D5" i="61"/>
  <c r="J14" i="61"/>
  <c r="G8" i="61"/>
  <c r="F11" i="61"/>
  <c r="N7" i="61"/>
  <c r="L12" i="61"/>
  <c r="K5" i="61"/>
  <c r="I6" i="61"/>
  <c r="G14" i="61"/>
  <c r="D6" i="61"/>
  <c r="G13" i="61"/>
  <c r="F14" i="61"/>
  <c r="N5" i="61"/>
  <c r="L10" i="61"/>
  <c r="M14" i="61"/>
  <c r="J8" i="61"/>
  <c r="F9" i="61"/>
  <c r="M13" i="61"/>
  <c r="J7" i="61"/>
  <c r="H12" i="61"/>
  <c r="F8" i="61"/>
  <c r="M8" i="61"/>
  <c r="H11" i="61"/>
  <c r="M7" i="61"/>
  <c r="K12" i="61"/>
  <c r="H8" i="61"/>
  <c r="E11" i="61"/>
  <c r="H6" i="61"/>
  <c r="E10" i="61"/>
  <c r="D11" i="61"/>
  <c r="H7" i="61"/>
  <c r="G7" i="61"/>
  <c r="F10" i="61"/>
  <c r="D10" i="61"/>
  <c r="K11" i="61"/>
  <c r="H5" i="61"/>
  <c r="K7" i="61"/>
  <c r="L9" i="61"/>
  <c r="I10" i="61"/>
  <c r="K8" i="61"/>
  <c r="J13" i="61"/>
  <c r="N12" i="61"/>
  <c r="N11" i="61"/>
  <c r="E12" i="61"/>
  <c r="G72" i="64"/>
  <c r="G88" i="64"/>
  <c r="D119" i="64"/>
  <c r="H62" i="65"/>
  <c r="F4" i="58"/>
  <c r="F5" i="58"/>
  <c r="F6" i="58"/>
  <c r="D113" i="65"/>
  <c r="G181" i="65"/>
  <c r="B173" i="66"/>
  <c r="G173" i="66" s="1"/>
  <c r="G188" i="66"/>
  <c r="G82" i="67"/>
  <c r="D99" i="67"/>
  <c r="G187" i="67"/>
  <c r="G76" i="69"/>
  <c r="G177" i="69"/>
  <c r="B95" i="70"/>
  <c r="D95" i="70" s="1"/>
  <c r="G188" i="70"/>
  <c r="G71" i="71"/>
  <c r="D97" i="71"/>
  <c r="G175" i="71"/>
  <c r="G191" i="71"/>
  <c r="G73" i="72"/>
  <c r="D97" i="72"/>
  <c r="G74" i="73"/>
  <c r="D119" i="73"/>
  <c r="G180" i="73"/>
  <c r="E5" i="58"/>
  <c r="E4" i="58"/>
  <c r="E6" i="58"/>
  <c r="G176" i="65"/>
  <c r="H6" i="58"/>
  <c r="H5" i="58"/>
  <c r="H4" i="58"/>
  <c r="D97" i="67"/>
  <c r="G189" i="71"/>
  <c r="G176" i="69"/>
  <c r="G72" i="71"/>
  <c r="G192" i="71"/>
  <c r="D119" i="65"/>
  <c r="G175" i="66"/>
  <c r="G190" i="66"/>
  <c r="D101" i="67"/>
  <c r="G174" i="67"/>
  <c r="G189" i="67"/>
  <c r="G83" i="69"/>
  <c r="G181" i="69"/>
  <c r="D97" i="70"/>
  <c r="G193" i="71"/>
  <c r="G79" i="72"/>
  <c r="G75" i="64"/>
  <c r="D96" i="64"/>
  <c r="G188" i="64"/>
  <c r="G188" i="65"/>
  <c r="H62" i="66"/>
  <c r="G86" i="66"/>
  <c r="G176" i="66"/>
  <c r="G191" i="66"/>
  <c r="G85" i="67"/>
  <c r="D102" i="67"/>
  <c r="G175" i="67"/>
  <c r="G190" i="67"/>
  <c r="G70" i="68"/>
  <c r="D97" i="68"/>
  <c r="G189" i="68"/>
  <c r="G84" i="69"/>
  <c r="D119" i="69"/>
  <c r="G186" i="69"/>
  <c r="K5" i="58"/>
  <c r="K4" i="58"/>
  <c r="K6" i="58"/>
  <c r="G81" i="70"/>
  <c r="D98" i="70"/>
  <c r="G174" i="70"/>
  <c r="G191" i="70"/>
  <c r="G74" i="71"/>
  <c r="G178" i="71"/>
  <c r="G82" i="72"/>
  <c r="D103" i="72"/>
  <c r="G176" i="72"/>
  <c r="G79" i="73"/>
  <c r="D97" i="73"/>
  <c r="B95" i="67"/>
  <c r="D95" i="67" s="1"/>
  <c r="G71" i="69"/>
  <c r="G176" i="71"/>
  <c r="D115" i="74"/>
  <c r="D113" i="74"/>
  <c r="D112" i="74"/>
  <c r="D120" i="74"/>
  <c r="D111" i="74"/>
  <c r="D119" i="74"/>
  <c r="D116" i="74"/>
  <c r="D114" i="74"/>
  <c r="D118" i="74"/>
  <c r="D117" i="74"/>
  <c r="G187" i="65"/>
  <c r="D97" i="64"/>
  <c r="G192" i="65"/>
  <c r="G177" i="66"/>
  <c r="G192" i="66"/>
  <c r="H62" i="67"/>
  <c r="G86" i="67"/>
  <c r="D103" i="67"/>
  <c r="G176" i="67"/>
  <c r="G191" i="67"/>
  <c r="G71" i="68"/>
  <c r="D98" i="68"/>
  <c r="G190" i="68"/>
  <c r="G88" i="69"/>
  <c r="G187" i="69"/>
  <c r="G82" i="70"/>
  <c r="D99" i="70"/>
  <c r="G175" i="70"/>
  <c r="G194" i="70"/>
  <c r="G75" i="71"/>
  <c r="G179" i="71"/>
  <c r="G83" i="72"/>
  <c r="G177" i="72"/>
  <c r="G80" i="73"/>
  <c r="D98" i="73"/>
  <c r="G189" i="73"/>
  <c r="D118" i="70"/>
  <c r="D112" i="65"/>
  <c r="G180" i="65"/>
  <c r="G186" i="65"/>
  <c r="G189" i="66"/>
  <c r="G188" i="67"/>
  <c r="G180" i="69"/>
  <c r="G73" i="71"/>
  <c r="G177" i="71"/>
  <c r="G79" i="64"/>
  <c r="D98" i="64"/>
  <c r="G190" i="64"/>
  <c r="G193" i="65"/>
  <c r="D118" i="66"/>
  <c r="G178" i="66"/>
  <c r="G193" i="66"/>
  <c r="G70" i="67"/>
  <c r="G87" i="67"/>
  <c r="G177" i="67"/>
  <c r="G192" i="67"/>
  <c r="H60" i="68"/>
  <c r="G72" i="68"/>
  <c r="D100" i="68"/>
  <c r="G192" i="68"/>
  <c r="G188" i="69"/>
  <c r="D102" i="70"/>
  <c r="G176" i="70"/>
  <c r="G83" i="71"/>
  <c r="G180" i="71"/>
  <c r="G84" i="72"/>
  <c r="G178" i="72"/>
  <c r="G82" i="73"/>
  <c r="D99" i="73"/>
  <c r="G190" i="73"/>
  <c r="G193" i="69"/>
  <c r="G187" i="71"/>
  <c r="H62" i="69"/>
  <c r="J4" i="58"/>
  <c r="J5" i="58"/>
  <c r="J6" i="58"/>
  <c r="M5" i="58"/>
  <c r="M6" i="58"/>
  <c r="M4" i="58"/>
  <c r="G71" i="72"/>
  <c r="G187" i="66"/>
  <c r="D98" i="67"/>
  <c r="G72" i="69"/>
  <c r="H60" i="64"/>
  <c r="D118" i="65"/>
  <c r="G174" i="66"/>
  <c r="D100" i="67"/>
  <c r="G82" i="69"/>
  <c r="D96" i="70"/>
  <c r="D98" i="71"/>
  <c r="G74" i="72"/>
  <c r="B35" i="61"/>
  <c r="C35" i="61" s="1"/>
  <c r="N36" i="61"/>
  <c r="M44" i="61"/>
  <c r="L40" i="61"/>
  <c r="K36" i="61"/>
  <c r="J44" i="61"/>
  <c r="I44" i="61"/>
  <c r="H36" i="61"/>
  <c r="E40" i="61"/>
  <c r="D43" i="61"/>
  <c r="M43" i="61"/>
  <c r="L39" i="61"/>
  <c r="J43" i="61"/>
  <c r="I43" i="61"/>
  <c r="G45" i="61"/>
  <c r="E39" i="61"/>
  <c r="D42" i="61"/>
  <c r="M42" i="61"/>
  <c r="L38" i="61"/>
  <c r="J42" i="61"/>
  <c r="I42" i="61"/>
  <c r="G44" i="61"/>
  <c r="E38" i="61"/>
  <c r="F45" i="61"/>
  <c r="D41" i="61"/>
  <c r="N45" i="61"/>
  <c r="M41" i="61"/>
  <c r="L37" i="61"/>
  <c r="K45" i="61"/>
  <c r="J41" i="61"/>
  <c r="I41" i="61"/>
  <c r="H45" i="61"/>
  <c r="G43" i="61"/>
  <c r="E37" i="61"/>
  <c r="F44" i="61"/>
  <c r="D40" i="61"/>
  <c r="N42" i="61"/>
  <c r="M38" i="61"/>
  <c r="K42" i="61"/>
  <c r="J38" i="61"/>
  <c r="I38" i="61"/>
  <c r="H42" i="61"/>
  <c r="G40" i="61"/>
  <c r="F41" i="61"/>
  <c r="D37" i="61"/>
  <c r="N41" i="61"/>
  <c r="M37" i="61"/>
  <c r="L45" i="61"/>
  <c r="K41" i="61"/>
  <c r="J37" i="61"/>
  <c r="I37" i="61"/>
  <c r="H41" i="61"/>
  <c r="G39" i="61"/>
  <c r="E45" i="61"/>
  <c r="F40" i="61"/>
  <c r="D36" i="61"/>
  <c r="M45" i="61"/>
  <c r="J39" i="61"/>
  <c r="H44" i="61"/>
  <c r="G42" i="61"/>
  <c r="D44" i="61"/>
  <c r="M39" i="61"/>
  <c r="K44" i="61"/>
  <c r="G38" i="61"/>
  <c r="H39" i="61"/>
  <c r="G37" i="61"/>
  <c r="E44" i="61"/>
  <c r="M40" i="61"/>
  <c r="J36" i="61"/>
  <c r="H43" i="61"/>
  <c r="G41" i="61"/>
  <c r="D39" i="61"/>
  <c r="H40" i="61"/>
  <c r="D38" i="61"/>
  <c r="M36" i="61"/>
  <c r="K43" i="61"/>
  <c r="N43" i="61"/>
  <c r="K39" i="61"/>
  <c r="I40" i="61"/>
  <c r="H37" i="61"/>
  <c r="E42" i="61"/>
  <c r="F43" i="61"/>
  <c r="F38" i="61"/>
  <c r="N40" i="61"/>
  <c r="K38" i="61"/>
  <c r="I39" i="61"/>
  <c r="E41" i="61"/>
  <c r="F42" i="61"/>
  <c r="N39" i="61"/>
  <c r="L44" i="61"/>
  <c r="K37" i="61"/>
  <c r="I36" i="61"/>
  <c r="E36" i="61"/>
  <c r="F39" i="61"/>
  <c r="N38" i="61"/>
  <c r="L43" i="61"/>
  <c r="F37" i="61"/>
  <c r="K40" i="61"/>
  <c r="J45" i="61"/>
  <c r="E43" i="61"/>
  <c r="D45" i="61"/>
  <c r="F36" i="61"/>
  <c r="I45" i="61"/>
  <c r="H38" i="61"/>
  <c r="L42" i="61"/>
  <c r="J40" i="61"/>
  <c r="L36" i="61"/>
  <c r="N44" i="61"/>
  <c r="L41" i="61"/>
  <c r="G36" i="61"/>
  <c r="N37" i="61"/>
  <c r="G74" i="64"/>
  <c r="D118" i="69"/>
  <c r="G190" i="70"/>
  <c r="D99" i="71"/>
  <c r="G76" i="64"/>
  <c r="G80" i="64"/>
  <c r="D99" i="64"/>
  <c r="B173" i="64"/>
  <c r="G173" i="64" s="1"/>
  <c r="G191" i="64"/>
  <c r="D119" i="66"/>
  <c r="G179" i="66"/>
  <c r="G196" i="66"/>
  <c r="G71" i="67"/>
  <c r="G88" i="67"/>
  <c r="G178" i="67"/>
  <c r="G193" i="67"/>
  <c r="G73" i="68"/>
  <c r="D101" i="68"/>
  <c r="G189" i="69"/>
  <c r="G177" i="70"/>
  <c r="G84" i="71"/>
  <c r="G181" i="71"/>
  <c r="G85" i="72"/>
  <c r="N4" i="58"/>
  <c r="N6" i="58"/>
  <c r="N5" i="58"/>
  <c r="G83" i="73"/>
  <c r="G180" i="74"/>
  <c r="G190" i="74"/>
  <c r="G178" i="74"/>
  <c r="G196" i="74"/>
  <c r="G189" i="74"/>
  <c r="G177" i="74"/>
  <c r="G195" i="74"/>
  <c r="G186" i="74"/>
  <c r="G174" i="74"/>
  <c r="G192" i="74"/>
  <c r="G185" i="74"/>
  <c r="G187" i="74"/>
  <c r="G183" i="74"/>
  <c r="G182" i="74"/>
  <c r="G184" i="74"/>
  <c r="G179" i="74"/>
  <c r="G194" i="74"/>
  <c r="G175" i="74"/>
  <c r="G176" i="74"/>
  <c r="G193" i="74"/>
  <c r="G191" i="74"/>
  <c r="G188" i="74"/>
  <c r="G181" i="74"/>
  <c r="D169" i="73"/>
  <c r="H56" i="73"/>
  <c r="H56" i="72"/>
  <c r="D169" i="72"/>
  <c r="D169" i="70"/>
  <c r="H56" i="69"/>
  <c r="D169" i="69"/>
  <c r="D129" i="69"/>
  <c r="D131" i="69"/>
  <c r="D169" i="68"/>
  <c r="H56" i="68"/>
  <c r="D131" i="68"/>
  <c r="H56" i="67"/>
  <c r="D169" i="67"/>
  <c r="D169" i="66"/>
  <c r="H56" i="66"/>
  <c r="D131" i="66"/>
  <c r="D169" i="65"/>
  <c r="H56" i="65"/>
  <c r="D127" i="65"/>
  <c r="D125" i="65"/>
  <c r="D131" i="65"/>
  <c r="H56" i="64"/>
  <c r="D55" i="64"/>
  <c r="D169" i="64"/>
  <c r="D131" i="64"/>
  <c r="B110" i="74"/>
  <c r="B173" i="74"/>
  <c r="D111" i="73"/>
  <c r="D126" i="73"/>
  <c r="D120" i="73"/>
  <c r="H60" i="73"/>
  <c r="H62" i="73"/>
  <c r="D125" i="73"/>
  <c r="D112" i="73"/>
  <c r="G77" i="73"/>
  <c r="G89" i="73"/>
  <c r="D101" i="73"/>
  <c r="D113" i="73"/>
  <c r="D127" i="73"/>
  <c r="G181" i="73"/>
  <c r="G193" i="73"/>
  <c r="B67" i="73"/>
  <c r="G67" i="73" s="1"/>
  <c r="G78" i="73"/>
  <c r="G90" i="73"/>
  <c r="D102" i="73"/>
  <c r="D114" i="73"/>
  <c r="D128" i="73"/>
  <c r="G182" i="73"/>
  <c r="G194" i="73"/>
  <c r="D115" i="73"/>
  <c r="D129" i="73"/>
  <c r="G183" i="73"/>
  <c r="G195" i="73"/>
  <c r="D116" i="73"/>
  <c r="D130" i="73"/>
  <c r="B173" i="73"/>
  <c r="G173" i="73" s="1"/>
  <c r="G184" i="73"/>
  <c r="G196" i="73"/>
  <c r="B110" i="73"/>
  <c r="D110" i="73" s="1"/>
  <c r="G69" i="73"/>
  <c r="B110" i="72"/>
  <c r="D110" i="72" s="1"/>
  <c r="H60" i="72"/>
  <c r="G75" i="72"/>
  <c r="G87" i="72"/>
  <c r="D111" i="72"/>
  <c r="D125" i="72"/>
  <c r="G191" i="72"/>
  <c r="G76" i="72"/>
  <c r="G88" i="72"/>
  <c r="D100" i="72"/>
  <c r="D112" i="72"/>
  <c r="D126" i="72"/>
  <c r="G180" i="72"/>
  <c r="G192" i="72"/>
  <c r="G77" i="72"/>
  <c r="G89" i="72"/>
  <c r="D101" i="72"/>
  <c r="D113" i="72"/>
  <c r="D127" i="72"/>
  <c r="G181" i="72"/>
  <c r="G193" i="72"/>
  <c r="B67" i="72"/>
  <c r="G67" i="72" s="1"/>
  <c r="G78" i="72"/>
  <c r="G90" i="72"/>
  <c r="D102" i="72"/>
  <c r="D114" i="72"/>
  <c r="D128" i="72"/>
  <c r="G182" i="72"/>
  <c r="G194" i="72"/>
  <c r="D115" i="72"/>
  <c r="D129" i="72"/>
  <c r="G183" i="72"/>
  <c r="G195" i="72"/>
  <c r="D120" i="72"/>
  <c r="G68" i="72"/>
  <c r="G80" i="72"/>
  <c r="D104" i="72"/>
  <c r="D116" i="72"/>
  <c r="D130" i="72"/>
  <c r="B173" i="72"/>
  <c r="G173" i="72" s="1"/>
  <c r="G184" i="72"/>
  <c r="G196" i="72"/>
  <c r="G69" i="72"/>
  <c r="H61" i="71"/>
  <c r="G69" i="71"/>
  <c r="G81" i="71"/>
  <c r="G70" i="71"/>
  <c r="G82" i="71"/>
  <c r="B95" i="71"/>
  <c r="D95" i="71" s="1"/>
  <c r="D118" i="71"/>
  <c r="G174" i="71"/>
  <c r="G186" i="71"/>
  <c r="H60" i="71"/>
  <c r="G76" i="71"/>
  <c r="G88" i="71"/>
  <c r="D100" i="71"/>
  <c r="D112" i="71"/>
  <c r="D126" i="71"/>
  <c r="D125" i="71"/>
  <c r="G77" i="71"/>
  <c r="G89" i="71"/>
  <c r="D101" i="71"/>
  <c r="D113" i="71"/>
  <c r="D127" i="71"/>
  <c r="B67" i="71"/>
  <c r="G67" i="71" s="1"/>
  <c r="G78" i="71"/>
  <c r="G90" i="71"/>
  <c r="D102" i="71"/>
  <c r="D114" i="71"/>
  <c r="D128" i="71"/>
  <c r="G182" i="71"/>
  <c r="G194" i="71"/>
  <c r="B110" i="71"/>
  <c r="D110" i="71" s="1"/>
  <c r="G79" i="71"/>
  <c r="D103" i="71"/>
  <c r="D115" i="71"/>
  <c r="D129" i="71"/>
  <c r="G183" i="71"/>
  <c r="G195" i="71"/>
  <c r="G68" i="71"/>
  <c r="D104" i="71"/>
  <c r="D116" i="71"/>
  <c r="D130" i="71"/>
  <c r="B173" i="71"/>
  <c r="G173" i="71" s="1"/>
  <c r="G184" i="71"/>
  <c r="D120" i="71"/>
  <c r="D111" i="71"/>
  <c r="H62" i="70"/>
  <c r="D125" i="70"/>
  <c r="G76" i="70"/>
  <c r="G88" i="70"/>
  <c r="D100" i="70"/>
  <c r="D112" i="70"/>
  <c r="D126" i="70"/>
  <c r="G180" i="70"/>
  <c r="G192" i="70"/>
  <c r="H61" i="70"/>
  <c r="D111" i="70"/>
  <c r="G77" i="70"/>
  <c r="G89" i="70"/>
  <c r="D101" i="70"/>
  <c r="D113" i="70"/>
  <c r="D127" i="70"/>
  <c r="G181" i="70"/>
  <c r="G193" i="70"/>
  <c r="D120" i="70"/>
  <c r="B110" i="70"/>
  <c r="D110" i="70" s="1"/>
  <c r="D114" i="70"/>
  <c r="D128" i="70"/>
  <c r="D103" i="70"/>
  <c r="D115" i="70"/>
  <c r="D129" i="70"/>
  <c r="G183" i="70"/>
  <c r="G195" i="70"/>
  <c r="G68" i="70"/>
  <c r="D104" i="70"/>
  <c r="D116" i="70"/>
  <c r="D130" i="70"/>
  <c r="B173" i="70"/>
  <c r="G173" i="70" s="1"/>
  <c r="G184" i="70"/>
  <c r="G196" i="70"/>
  <c r="D120" i="69"/>
  <c r="B110" i="69"/>
  <c r="D110" i="69" s="1"/>
  <c r="H61" i="69"/>
  <c r="G74" i="69"/>
  <c r="G86" i="69"/>
  <c r="D98" i="69"/>
  <c r="G178" i="69"/>
  <c r="G190" i="69"/>
  <c r="H60" i="69"/>
  <c r="G73" i="69"/>
  <c r="G85" i="69"/>
  <c r="G75" i="69"/>
  <c r="G87" i="69"/>
  <c r="D99" i="69"/>
  <c r="D111" i="69"/>
  <c r="D125" i="69"/>
  <c r="G179" i="69"/>
  <c r="G191" i="69"/>
  <c r="D112" i="69"/>
  <c r="D126" i="69"/>
  <c r="G77" i="69"/>
  <c r="G89" i="69"/>
  <c r="D113" i="69"/>
  <c r="D127" i="69"/>
  <c r="B67" i="69"/>
  <c r="G67" i="69" s="1"/>
  <c r="G78" i="69"/>
  <c r="G90" i="69"/>
  <c r="D102" i="69"/>
  <c r="D114" i="69"/>
  <c r="D128" i="69"/>
  <c r="G182" i="69"/>
  <c r="G194" i="69"/>
  <c r="G183" i="69"/>
  <c r="G195" i="69"/>
  <c r="G79" i="69"/>
  <c r="D115" i="69"/>
  <c r="G68" i="69"/>
  <c r="G80" i="69"/>
  <c r="D104" i="69"/>
  <c r="D116" i="69"/>
  <c r="D130" i="69"/>
  <c r="B173" i="69"/>
  <c r="G173" i="69" s="1"/>
  <c r="G184" i="69"/>
  <c r="G196" i="69"/>
  <c r="G69" i="69"/>
  <c r="H61" i="68"/>
  <c r="G86" i="68"/>
  <c r="G75" i="68"/>
  <c r="G87" i="68"/>
  <c r="D99" i="68"/>
  <c r="D111" i="68"/>
  <c r="D125" i="68"/>
  <c r="G179" i="68"/>
  <c r="G191" i="68"/>
  <c r="D120" i="68"/>
  <c r="B110" i="68"/>
  <c r="D110" i="68" s="1"/>
  <c r="G76" i="68"/>
  <c r="G88" i="68"/>
  <c r="D112" i="68"/>
  <c r="D126" i="68"/>
  <c r="B67" i="68"/>
  <c r="G67" i="68" s="1"/>
  <c r="G78" i="68"/>
  <c r="G90" i="68"/>
  <c r="D102" i="68"/>
  <c r="D114" i="68"/>
  <c r="D128" i="68"/>
  <c r="G182" i="68"/>
  <c r="G194" i="68"/>
  <c r="G77" i="68"/>
  <c r="G89" i="68"/>
  <c r="D113" i="68"/>
  <c r="G79" i="68"/>
  <c r="D115" i="68"/>
  <c r="D129" i="68"/>
  <c r="G183" i="68"/>
  <c r="G195" i="68"/>
  <c r="G68" i="68"/>
  <c r="G80" i="68"/>
  <c r="D104" i="68"/>
  <c r="D116" i="68"/>
  <c r="D130" i="68"/>
  <c r="B173" i="68"/>
  <c r="G173" i="68" s="1"/>
  <c r="G184" i="68"/>
  <c r="G196" i="68"/>
  <c r="G69" i="68"/>
  <c r="B110" i="67"/>
  <c r="D110" i="67" s="1"/>
  <c r="H61" i="67"/>
  <c r="D126" i="67"/>
  <c r="D113" i="67"/>
  <c r="G79" i="67"/>
  <c r="D115" i="67"/>
  <c r="D129" i="67"/>
  <c r="G183" i="67"/>
  <c r="G195" i="67"/>
  <c r="D120" i="67"/>
  <c r="H60" i="67"/>
  <c r="G68" i="67"/>
  <c r="G80" i="67"/>
  <c r="D104" i="67"/>
  <c r="D116" i="67"/>
  <c r="D130" i="67"/>
  <c r="B173" i="67"/>
  <c r="G173" i="67" s="1"/>
  <c r="G184" i="67"/>
  <c r="G196" i="67"/>
  <c r="D111" i="67"/>
  <c r="D125" i="67"/>
  <c r="D112" i="67"/>
  <c r="G77" i="67"/>
  <c r="G89" i="67"/>
  <c r="D127" i="67"/>
  <c r="B67" i="67"/>
  <c r="G67" i="67" s="1"/>
  <c r="G78" i="67"/>
  <c r="G90" i="67"/>
  <c r="D114" i="67"/>
  <c r="D128" i="67"/>
  <c r="G69" i="67"/>
  <c r="D120" i="66"/>
  <c r="H60" i="66"/>
  <c r="B67" i="66"/>
  <c r="G67" i="66" s="1"/>
  <c r="G78" i="66"/>
  <c r="G90" i="66"/>
  <c r="D102" i="66"/>
  <c r="D114" i="66"/>
  <c r="D128" i="66"/>
  <c r="G182" i="66"/>
  <c r="G194" i="66"/>
  <c r="B110" i="66"/>
  <c r="D110" i="66" s="1"/>
  <c r="H61" i="66"/>
  <c r="D111" i="66"/>
  <c r="D125" i="66"/>
  <c r="D112" i="66"/>
  <c r="G77" i="66"/>
  <c r="G89" i="66"/>
  <c r="D113" i="66"/>
  <c r="D127" i="66"/>
  <c r="G79" i="66"/>
  <c r="D103" i="66"/>
  <c r="D115" i="66"/>
  <c r="D129" i="66"/>
  <c r="G183" i="66"/>
  <c r="G195" i="66"/>
  <c r="D126" i="66"/>
  <c r="G68" i="66"/>
  <c r="G80" i="66"/>
  <c r="D116" i="66"/>
  <c r="D130" i="66"/>
  <c r="G69" i="66"/>
  <c r="G71" i="65"/>
  <c r="G83" i="65"/>
  <c r="G72" i="65"/>
  <c r="G84" i="65"/>
  <c r="D120" i="65"/>
  <c r="H60" i="65"/>
  <c r="G73" i="65"/>
  <c r="G85" i="65"/>
  <c r="D97" i="65"/>
  <c r="B110" i="65"/>
  <c r="D110" i="65" s="1"/>
  <c r="G177" i="65"/>
  <c r="G189" i="65"/>
  <c r="H61" i="65"/>
  <c r="G74" i="65"/>
  <c r="G86" i="65"/>
  <c r="D98" i="65"/>
  <c r="G178" i="65"/>
  <c r="G190" i="65"/>
  <c r="G75" i="65"/>
  <c r="G87" i="65"/>
  <c r="D99" i="65"/>
  <c r="D111" i="65"/>
  <c r="G179" i="65"/>
  <c r="G191" i="65"/>
  <c r="B67" i="65"/>
  <c r="G67" i="65" s="1"/>
  <c r="G78" i="65"/>
  <c r="G90" i="65"/>
  <c r="D102" i="65"/>
  <c r="D114" i="65"/>
  <c r="D128" i="65"/>
  <c r="G182" i="65"/>
  <c r="G194" i="65"/>
  <c r="G77" i="65"/>
  <c r="G79" i="65"/>
  <c r="D115" i="65"/>
  <c r="D129" i="65"/>
  <c r="G183" i="65"/>
  <c r="G195" i="65"/>
  <c r="G76" i="65"/>
  <c r="G88" i="65"/>
  <c r="G68" i="65"/>
  <c r="G80" i="65"/>
  <c r="D104" i="65"/>
  <c r="D116" i="65"/>
  <c r="D130" i="65"/>
  <c r="B173" i="65"/>
  <c r="G173" i="65" s="1"/>
  <c r="G184" i="65"/>
  <c r="G196" i="65"/>
  <c r="G89" i="65"/>
  <c r="G69" i="65"/>
  <c r="H61" i="64"/>
  <c r="D116" i="64"/>
  <c r="G70" i="64"/>
  <c r="G82" i="64"/>
  <c r="B95" i="64"/>
  <c r="D95" i="64" s="1"/>
  <c r="D118" i="64"/>
  <c r="G174" i="64"/>
  <c r="G186" i="64"/>
  <c r="B110" i="64"/>
  <c r="D110" i="64" s="1"/>
  <c r="H62" i="64"/>
  <c r="D112" i="64"/>
  <c r="G77" i="64"/>
  <c r="G89" i="64"/>
  <c r="D101" i="64"/>
  <c r="D113" i="64"/>
  <c r="D127" i="64"/>
  <c r="G181" i="64"/>
  <c r="G193" i="64"/>
  <c r="D125" i="64"/>
  <c r="D126" i="64"/>
  <c r="B67" i="64"/>
  <c r="G67" i="64" s="1"/>
  <c r="G78" i="64"/>
  <c r="G90" i="64"/>
  <c r="D102" i="64"/>
  <c r="D114" i="64"/>
  <c r="D128" i="64"/>
  <c r="G182" i="64"/>
  <c r="G194" i="64"/>
  <c r="D115" i="64"/>
  <c r="D129" i="64"/>
  <c r="G183" i="64"/>
  <c r="G195" i="64"/>
  <c r="D120" i="64"/>
  <c r="D111" i="64"/>
  <c r="D130" i="64"/>
  <c r="G69" i="64"/>
  <c r="C38" i="61"/>
  <c r="C12" i="61"/>
  <c r="C11" i="61"/>
  <c r="C39" i="61"/>
  <c r="O11" i="61"/>
  <c r="C26" i="61" s="1"/>
  <c r="C7" i="61"/>
  <c r="O44" i="61"/>
  <c r="C59" i="61" s="1"/>
  <c r="O10" i="61"/>
  <c r="C25" i="61" s="1"/>
  <c r="C6" i="61"/>
  <c r="C45" i="61"/>
  <c r="O43" i="61"/>
  <c r="C58" i="61" s="1"/>
  <c r="O9" i="61"/>
  <c r="C24" i="61" s="1"/>
  <c r="C5" i="61"/>
  <c r="C44" i="61"/>
  <c r="O42" i="61"/>
  <c r="C57" i="61" s="1"/>
  <c r="O14" i="61"/>
  <c r="C29" i="61" s="1"/>
  <c r="C10" i="61"/>
  <c r="C37" i="61"/>
  <c r="O13" i="61"/>
  <c r="C28" i="61" s="1"/>
  <c r="C9" i="61"/>
  <c r="C36" i="61"/>
  <c r="O12" i="61"/>
  <c r="C27" i="61" s="1"/>
  <c r="C43" i="61"/>
  <c r="C41" i="61"/>
  <c r="C8" i="61"/>
  <c r="O45" i="61"/>
  <c r="C60" i="61" s="1"/>
  <c r="C42" i="61"/>
  <c r="C14" i="61"/>
  <c r="C13" i="61"/>
  <c r="C40" i="61"/>
  <c r="B101" i="58" a="1"/>
  <c r="B129" i="58" a="1"/>
  <c r="B129" i="58" s="1"/>
  <c r="D18" i="58"/>
  <c r="P18" i="58" s="1"/>
  <c r="D19" i="58"/>
  <c r="P19" i="58" s="1"/>
  <c r="D20" i="58"/>
  <c r="P20" i="58" s="1"/>
  <c r="B45" i="58" a="1"/>
  <c r="D33" i="58"/>
  <c r="P33" i="58" s="1"/>
  <c r="D32" i="58"/>
  <c r="P32" i="58" s="1"/>
  <c r="B73" i="58" a="1"/>
  <c r="O34" i="58"/>
  <c r="N34" i="58"/>
  <c r="M34" i="58"/>
  <c r="L34" i="58"/>
  <c r="K34" i="58"/>
  <c r="J34" i="58"/>
  <c r="I34" i="58"/>
  <c r="H34" i="58"/>
  <c r="G34" i="58"/>
  <c r="F34" i="58"/>
  <c r="E34" i="58"/>
  <c r="O21" i="58"/>
  <c r="N21" i="58"/>
  <c r="M21" i="58"/>
  <c r="L21" i="58"/>
  <c r="K21" i="58"/>
  <c r="J21" i="58"/>
  <c r="I21" i="58"/>
  <c r="H21" i="58"/>
  <c r="G21" i="58"/>
  <c r="F21" i="58"/>
  <c r="D141" i="64" l="1"/>
  <c r="D141" i="74"/>
  <c r="H63" i="72"/>
  <c r="D141" i="70"/>
  <c r="D141" i="71"/>
  <c r="D141" i="72"/>
  <c r="D141" i="68"/>
  <c r="D141" i="69"/>
  <c r="D141" i="66"/>
  <c r="D141" i="73"/>
  <c r="D141" i="67"/>
  <c r="D141" i="65"/>
  <c r="N72" i="61"/>
  <c r="M72" i="61"/>
  <c r="L72" i="61"/>
  <c r="K72" i="61"/>
  <c r="J72" i="61"/>
  <c r="I72" i="61"/>
  <c r="H72" i="61"/>
  <c r="G72" i="61"/>
  <c r="G92" i="61"/>
  <c r="F72" i="61"/>
  <c r="E72" i="61"/>
  <c r="D72" i="61"/>
  <c r="I92" i="61"/>
  <c r="H63" i="74"/>
  <c r="D106" i="74"/>
  <c r="E92" i="61"/>
  <c r="D106" i="67"/>
  <c r="G91" i="74"/>
  <c r="D106" i="64"/>
  <c r="H63" i="64"/>
  <c r="O39" i="61"/>
  <c r="C54" i="61" s="1"/>
  <c r="H63" i="65"/>
  <c r="K92" i="61"/>
  <c r="J92" i="61"/>
  <c r="M92" i="61"/>
  <c r="N92" i="61"/>
  <c r="D106" i="73"/>
  <c r="G173" i="74"/>
  <c r="G197" i="74" s="1"/>
  <c r="B45" i="58"/>
  <c r="R57" i="58"/>
  <c r="Q62" i="58"/>
  <c r="Q50" i="58"/>
  <c r="P67" i="58"/>
  <c r="P55" i="58"/>
  <c r="O57" i="58"/>
  <c r="N59" i="58"/>
  <c r="N47" i="58"/>
  <c r="M61" i="58"/>
  <c r="M49" i="58"/>
  <c r="L63" i="58"/>
  <c r="L51" i="58"/>
  <c r="K65" i="58"/>
  <c r="K53" i="58"/>
  <c r="J67" i="58"/>
  <c r="J55" i="58"/>
  <c r="I57" i="58"/>
  <c r="H59" i="58"/>
  <c r="H47" i="58"/>
  <c r="L50" i="58"/>
  <c r="J54" i="58"/>
  <c r="R68" i="58"/>
  <c r="R56" i="58"/>
  <c r="Q61" i="58"/>
  <c r="Q49" i="58"/>
  <c r="P66" i="58"/>
  <c r="P54" i="58"/>
  <c r="O68" i="58"/>
  <c r="O56" i="58"/>
  <c r="N58" i="58"/>
  <c r="N46" i="58"/>
  <c r="M60" i="58"/>
  <c r="M48" i="58"/>
  <c r="L62" i="58"/>
  <c r="K64" i="58"/>
  <c r="K52" i="58"/>
  <c r="J66" i="58"/>
  <c r="I68" i="58"/>
  <c r="R67" i="58"/>
  <c r="R55" i="58"/>
  <c r="Q60" i="58"/>
  <c r="Q48" i="58"/>
  <c r="P65" i="58"/>
  <c r="P53" i="58"/>
  <c r="O67" i="58"/>
  <c r="O55" i="58"/>
  <c r="N57" i="58"/>
  <c r="M59" i="58"/>
  <c r="M47" i="58"/>
  <c r="L61" i="58"/>
  <c r="L49" i="58"/>
  <c r="K63" i="58"/>
  <c r="K51" i="58"/>
  <c r="J65" i="58"/>
  <c r="J53" i="58"/>
  <c r="I67" i="58"/>
  <c r="I55" i="58"/>
  <c r="H57" i="58"/>
  <c r="R66" i="58"/>
  <c r="R54" i="58"/>
  <c r="Q59" i="58"/>
  <c r="Q47" i="58"/>
  <c r="P64" i="58"/>
  <c r="P52" i="58"/>
  <c r="O66" i="58"/>
  <c r="O54" i="58"/>
  <c r="N68" i="58"/>
  <c r="N56" i="58"/>
  <c r="M58" i="58"/>
  <c r="M46" i="58"/>
  <c r="L60" i="58"/>
  <c r="L48" i="58"/>
  <c r="K62" i="58"/>
  <c r="K50" i="58"/>
  <c r="J64" i="58"/>
  <c r="J52" i="58"/>
  <c r="I66" i="58"/>
  <c r="I54" i="58"/>
  <c r="H68" i="58"/>
  <c r="H56" i="58"/>
  <c r="R63" i="58"/>
  <c r="R51" i="58"/>
  <c r="Q68" i="58"/>
  <c r="Q56" i="58"/>
  <c r="P61" i="58"/>
  <c r="P49" i="58"/>
  <c r="O63" i="58"/>
  <c r="O51" i="58"/>
  <c r="N65" i="58"/>
  <c r="N53" i="58"/>
  <c r="M67" i="58"/>
  <c r="M55" i="58"/>
  <c r="L57" i="58"/>
  <c r="K59" i="58"/>
  <c r="K47" i="58"/>
  <c r="J61" i="58"/>
  <c r="J49" i="58"/>
  <c r="I63" i="58"/>
  <c r="I51" i="58"/>
  <c r="H65" i="58"/>
  <c r="H53" i="58"/>
  <c r="R62" i="58"/>
  <c r="R50" i="58"/>
  <c r="Q67" i="58"/>
  <c r="Q55" i="58"/>
  <c r="P60" i="58"/>
  <c r="P48" i="58"/>
  <c r="O62" i="58"/>
  <c r="O50" i="58"/>
  <c r="N64" i="58"/>
  <c r="N52" i="58"/>
  <c r="M66" i="58"/>
  <c r="M54" i="58"/>
  <c r="L68" i="58"/>
  <c r="L56" i="58"/>
  <c r="K58" i="58"/>
  <c r="K46" i="58"/>
  <c r="J60" i="58"/>
  <c r="J48" i="58"/>
  <c r="I62" i="58"/>
  <c r="I50" i="58"/>
  <c r="H64" i="58"/>
  <c r="H52" i="58"/>
  <c r="R58" i="58"/>
  <c r="P57" i="58"/>
  <c r="O60" i="58"/>
  <c r="N66" i="58"/>
  <c r="L52" i="58"/>
  <c r="K55" i="58"/>
  <c r="J57" i="58"/>
  <c r="I60" i="58"/>
  <c r="H50" i="58"/>
  <c r="R52" i="58"/>
  <c r="Q65" i="58"/>
  <c r="O58" i="58"/>
  <c r="N62" i="58"/>
  <c r="M65" i="58"/>
  <c r="I58" i="58"/>
  <c r="H67" i="58"/>
  <c r="S68" i="58"/>
  <c r="R49" i="58"/>
  <c r="Q64" i="58"/>
  <c r="P50" i="58"/>
  <c r="O53" i="58"/>
  <c r="N61" i="58"/>
  <c r="M64" i="58"/>
  <c r="L67" i="58"/>
  <c r="K48" i="58"/>
  <c r="I56" i="58"/>
  <c r="H46" i="58"/>
  <c r="R53" i="58"/>
  <c r="Q66" i="58"/>
  <c r="P56" i="58"/>
  <c r="O59" i="58"/>
  <c r="N63" i="58"/>
  <c r="M68" i="58"/>
  <c r="L47" i="58"/>
  <c r="K54" i="58"/>
  <c r="J56" i="58"/>
  <c r="I59" i="58"/>
  <c r="H49" i="58"/>
  <c r="P51" i="58"/>
  <c r="L46" i="58"/>
  <c r="K49" i="58"/>
  <c r="J51" i="58"/>
  <c r="H48" i="58"/>
  <c r="J50" i="58"/>
  <c r="H66" i="58"/>
  <c r="R47" i="58"/>
  <c r="Q58" i="58"/>
  <c r="P46" i="58"/>
  <c r="O49" i="58"/>
  <c r="N55" i="58"/>
  <c r="M62" i="58"/>
  <c r="L65" i="58"/>
  <c r="K68" i="58"/>
  <c r="J46" i="58"/>
  <c r="I52" i="58"/>
  <c r="H62" i="58"/>
  <c r="N51" i="58"/>
  <c r="R64" i="58"/>
  <c r="Q53" i="58"/>
  <c r="P63" i="58"/>
  <c r="R46" i="58"/>
  <c r="Q57" i="58"/>
  <c r="O48" i="58"/>
  <c r="N54" i="58"/>
  <c r="M57" i="58"/>
  <c r="L64" i="58"/>
  <c r="K67" i="58"/>
  <c r="I49" i="58"/>
  <c r="H61" i="58"/>
  <c r="R65" i="58"/>
  <c r="Q54" i="58"/>
  <c r="P68" i="58"/>
  <c r="O47" i="58"/>
  <c r="M56" i="58"/>
  <c r="L59" i="58"/>
  <c r="K66" i="58"/>
  <c r="J68" i="58"/>
  <c r="I48" i="58"/>
  <c r="H60" i="58"/>
  <c r="R60" i="58"/>
  <c r="L66" i="58"/>
  <c r="H51" i="58"/>
  <c r="Q63" i="58"/>
  <c r="N67" i="58"/>
  <c r="I65" i="58"/>
  <c r="R61" i="58"/>
  <c r="R59" i="58"/>
  <c r="Q52" i="58"/>
  <c r="O65" i="58"/>
  <c r="M63" i="58"/>
  <c r="K61" i="58"/>
  <c r="J63" i="58"/>
  <c r="R48" i="58"/>
  <c r="Q51" i="58"/>
  <c r="P62" i="58"/>
  <c r="O64" i="58"/>
  <c r="N60" i="58"/>
  <c r="M53" i="58"/>
  <c r="L58" i="58"/>
  <c r="K60" i="58"/>
  <c r="J62" i="58"/>
  <c r="I64" i="58"/>
  <c r="H63" i="58"/>
  <c r="I53" i="58"/>
  <c r="O46" i="58"/>
  <c r="N48" i="58"/>
  <c r="M50" i="58"/>
  <c r="J47" i="58"/>
  <c r="H54" i="58"/>
  <c r="I46" i="58"/>
  <c r="Q46" i="58"/>
  <c r="P59" i="58"/>
  <c r="O61" i="58"/>
  <c r="N50" i="58"/>
  <c r="M52" i="58"/>
  <c r="L55" i="58"/>
  <c r="K57" i="58"/>
  <c r="J59" i="58"/>
  <c r="I61" i="58"/>
  <c r="H58" i="58"/>
  <c r="P58" i="58"/>
  <c r="O52" i="58"/>
  <c r="N49" i="58"/>
  <c r="M51" i="58"/>
  <c r="L54" i="58"/>
  <c r="K56" i="58"/>
  <c r="J58" i="58"/>
  <c r="H55" i="58"/>
  <c r="P47" i="58"/>
  <c r="L53" i="58"/>
  <c r="I47" i="58"/>
  <c r="S63" i="58"/>
  <c r="S64" i="58"/>
  <c r="S56" i="58"/>
  <c r="S65" i="58"/>
  <c r="S66" i="58"/>
  <c r="S67" i="58"/>
  <c r="S58" i="58"/>
  <c r="S59" i="58"/>
  <c r="S61" i="58"/>
  <c r="S62" i="58"/>
  <c r="S57" i="58"/>
  <c r="S60" i="58"/>
  <c r="O38" i="61"/>
  <c r="C53" i="61" s="1"/>
  <c r="C4" i="61"/>
  <c r="C15" i="61" s="1"/>
  <c r="D4" i="61"/>
  <c r="D15" i="61" s="1"/>
  <c r="N4" i="61"/>
  <c r="N15" i="61" s="1"/>
  <c r="K4" i="61"/>
  <c r="K15" i="61" s="1"/>
  <c r="H4" i="61"/>
  <c r="H15" i="61" s="1"/>
  <c r="L4" i="61"/>
  <c r="L15" i="61" s="1"/>
  <c r="G4" i="61"/>
  <c r="G15" i="61" s="1"/>
  <c r="F4" i="61"/>
  <c r="F15" i="61" s="1"/>
  <c r="J4" i="61"/>
  <c r="J15" i="61" s="1"/>
  <c r="E4" i="61"/>
  <c r="E15" i="61" s="1"/>
  <c r="I4" i="61"/>
  <c r="I15" i="61" s="1"/>
  <c r="M4" i="61"/>
  <c r="M15" i="61" s="1"/>
  <c r="F92" i="61"/>
  <c r="H63" i="68"/>
  <c r="H92" i="61"/>
  <c r="R115" i="58"/>
  <c r="R103" i="58"/>
  <c r="Q120" i="58"/>
  <c r="Q108" i="58"/>
  <c r="P113" i="58"/>
  <c r="O115" i="58"/>
  <c r="O103" i="58"/>
  <c r="N117" i="58"/>
  <c r="N105" i="58"/>
  <c r="M119" i="58"/>
  <c r="M107" i="58"/>
  <c r="L121" i="58"/>
  <c r="L109" i="58"/>
  <c r="K123" i="58"/>
  <c r="K111" i="58"/>
  <c r="J113" i="58"/>
  <c r="I115" i="58"/>
  <c r="I103" i="58"/>
  <c r="H117" i="58"/>
  <c r="H105" i="58"/>
  <c r="K122" i="58"/>
  <c r="J112" i="58"/>
  <c r="R114" i="58"/>
  <c r="R102" i="58"/>
  <c r="Q119" i="58"/>
  <c r="Q107" i="58"/>
  <c r="P124" i="58"/>
  <c r="P112" i="58"/>
  <c r="O114" i="58"/>
  <c r="O102" i="58"/>
  <c r="N116" i="58"/>
  <c r="N104" i="58"/>
  <c r="M118" i="58"/>
  <c r="M106" i="58"/>
  <c r="L120" i="58"/>
  <c r="L108" i="58"/>
  <c r="K110" i="58"/>
  <c r="J124" i="58"/>
  <c r="R113" i="58"/>
  <c r="Q118" i="58"/>
  <c r="Q106" i="58"/>
  <c r="P123" i="58"/>
  <c r="P111" i="58"/>
  <c r="O113" i="58"/>
  <c r="N115" i="58"/>
  <c r="N103" i="58"/>
  <c r="M117" i="58"/>
  <c r="M105" i="58"/>
  <c r="L119" i="58"/>
  <c r="L107" i="58"/>
  <c r="K121" i="58"/>
  <c r="K109" i="58"/>
  <c r="J123" i="58"/>
  <c r="J111" i="58"/>
  <c r="I113" i="58"/>
  <c r="H115" i="58"/>
  <c r="H103" i="58"/>
  <c r="R124" i="58"/>
  <c r="R112" i="58"/>
  <c r="Q117" i="58"/>
  <c r="Q105" i="58"/>
  <c r="P122" i="58"/>
  <c r="P110" i="58"/>
  <c r="O124" i="58"/>
  <c r="O112" i="58"/>
  <c r="N114" i="58"/>
  <c r="N102" i="58"/>
  <c r="M116" i="58"/>
  <c r="M104" i="58"/>
  <c r="L118" i="58"/>
  <c r="L106" i="58"/>
  <c r="K120" i="58"/>
  <c r="K108" i="58"/>
  <c r="J122" i="58"/>
  <c r="J110" i="58"/>
  <c r="I124" i="58"/>
  <c r="I112" i="58"/>
  <c r="H114" i="58"/>
  <c r="H102" i="58"/>
  <c r="R121" i="58"/>
  <c r="R109" i="58"/>
  <c r="Q114" i="58"/>
  <c r="Q102" i="58"/>
  <c r="P119" i="58"/>
  <c r="P107" i="58"/>
  <c r="O121" i="58"/>
  <c r="O109" i="58"/>
  <c r="N123" i="58"/>
  <c r="N111" i="58"/>
  <c r="M113" i="58"/>
  <c r="L115" i="58"/>
  <c r="L103" i="58"/>
  <c r="K117" i="58"/>
  <c r="K105" i="58"/>
  <c r="J119" i="58"/>
  <c r="J107" i="58"/>
  <c r="I121" i="58"/>
  <c r="I109" i="58"/>
  <c r="H123" i="58"/>
  <c r="H111" i="58"/>
  <c r="R120" i="58"/>
  <c r="R108" i="58"/>
  <c r="Q113" i="58"/>
  <c r="P118" i="58"/>
  <c r="P106" i="58"/>
  <c r="O120" i="58"/>
  <c r="O108" i="58"/>
  <c r="N122" i="58"/>
  <c r="N110" i="58"/>
  <c r="M124" i="58"/>
  <c r="M112" i="58"/>
  <c r="L114" i="58"/>
  <c r="L102" i="58"/>
  <c r="K116" i="58"/>
  <c r="K104" i="58"/>
  <c r="J118" i="58"/>
  <c r="J106" i="58"/>
  <c r="I120" i="58"/>
  <c r="I108" i="58"/>
  <c r="H122" i="58"/>
  <c r="H110" i="58"/>
  <c r="R118" i="58"/>
  <c r="Q109" i="58"/>
  <c r="P116" i="58"/>
  <c r="O122" i="58"/>
  <c r="M108" i="58"/>
  <c r="L111" i="58"/>
  <c r="K113" i="58"/>
  <c r="J116" i="58"/>
  <c r="I123" i="58"/>
  <c r="I104" i="58"/>
  <c r="H113" i="58"/>
  <c r="Q103" i="58"/>
  <c r="P114" i="58"/>
  <c r="M102" i="58"/>
  <c r="L105" i="58"/>
  <c r="K107" i="58"/>
  <c r="J114" i="58"/>
  <c r="H109" i="58"/>
  <c r="R111" i="58"/>
  <c r="Q124" i="58"/>
  <c r="P109" i="58"/>
  <c r="N120" i="58"/>
  <c r="M123" i="58"/>
  <c r="L104" i="58"/>
  <c r="K106" i="58"/>
  <c r="J109" i="58"/>
  <c r="I118" i="58"/>
  <c r="H108" i="58"/>
  <c r="R117" i="58"/>
  <c r="Q104" i="58"/>
  <c r="P115" i="58"/>
  <c r="O119" i="58"/>
  <c r="N124" i="58"/>
  <c r="M103" i="58"/>
  <c r="L110" i="58"/>
  <c r="K112" i="58"/>
  <c r="J115" i="58"/>
  <c r="I122" i="58"/>
  <c r="I102" i="58"/>
  <c r="H112" i="58"/>
  <c r="R116" i="58"/>
  <c r="O118" i="58"/>
  <c r="N121" i="58"/>
  <c r="I119" i="58"/>
  <c r="O117" i="58"/>
  <c r="R107" i="58"/>
  <c r="Q122" i="58"/>
  <c r="P105" i="58"/>
  <c r="O111" i="58"/>
  <c r="N118" i="58"/>
  <c r="M121" i="58"/>
  <c r="L124" i="58"/>
  <c r="K102" i="58"/>
  <c r="J105" i="58"/>
  <c r="I116" i="58"/>
  <c r="H106" i="58"/>
  <c r="R104" i="58"/>
  <c r="R106" i="58"/>
  <c r="Q121" i="58"/>
  <c r="P104" i="58"/>
  <c r="O110" i="58"/>
  <c r="N113" i="58"/>
  <c r="M120" i="58"/>
  <c r="L123" i="58"/>
  <c r="J104" i="58"/>
  <c r="I114" i="58"/>
  <c r="H124" i="58"/>
  <c r="H104" i="58"/>
  <c r="R105" i="58"/>
  <c r="Q116" i="58"/>
  <c r="P103" i="58"/>
  <c r="O107" i="58"/>
  <c r="N112" i="58"/>
  <c r="M115" i="58"/>
  <c r="L122" i="58"/>
  <c r="K124" i="58"/>
  <c r="J103" i="58"/>
  <c r="I111" i="58"/>
  <c r="H121" i="58"/>
  <c r="Q111" i="58"/>
  <c r="P120" i="58"/>
  <c r="O116" i="58"/>
  <c r="N109" i="58"/>
  <c r="M114" i="58"/>
  <c r="L116" i="58"/>
  <c r="K118" i="58"/>
  <c r="J120" i="58"/>
  <c r="I117" i="58"/>
  <c r="H120" i="58"/>
  <c r="P102" i="58"/>
  <c r="O104" i="58"/>
  <c r="N106" i="58"/>
  <c r="K103" i="58"/>
  <c r="I106" i="58"/>
  <c r="H116" i="58"/>
  <c r="H107" i="58"/>
  <c r="R122" i="58"/>
  <c r="R119" i="58"/>
  <c r="M122" i="58"/>
  <c r="Q110" i="58"/>
  <c r="P117" i="58"/>
  <c r="O106" i="58"/>
  <c r="N108" i="58"/>
  <c r="M111" i="58"/>
  <c r="L113" i="58"/>
  <c r="K115" i="58"/>
  <c r="J117" i="58"/>
  <c r="I110" i="58"/>
  <c r="H119" i="58"/>
  <c r="M109" i="58"/>
  <c r="J102" i="58"/>
  <c r="P121" i="58"/>
  <c r="P108" i="58"/>
  <c r="O105" i="58"/>
  <c r="N107" i="58"/>
  <c r="M110" i="58"/>
  <c r="L112" i="58"/>
  <c r="K114" i="58"/>
  <c r="J108" i="58"/>
  <c r="I107" i="58"/>
  <c r="H118" i="58"/>
  <c r="I105" i="58"/>
  <c r="Q115" i="58"/>
  <c r="R110" i="58"/>
  <c r="N119" i="58"/>
  <c r="J121" i="58"/>
  <c r="R123" i="58"/>
  <c r="Q112" i="58"/>
  <c r="L117" i="58"/>
  <c r="Q123" i="58"/>
  <c r="O123" i="58"/>
  <c r="K119" i="58"/>
  <c r="H63" i="70"/>
  <c r="D110" i="74"/>
  <c r="D121" i="74" s="1"/>
  <c r="O8" i="61"/>
  <c r="C23" i="61" s="1"/>
  <c r="D92" i="61"/>
  <c r="L92" i="61"/>
  <c r="D106" i="70"/>
  <c r="O40" i="61"/>
  <c r="C55" i="61" s="1"/>
  <c r="O37" i="61"/>
  <c r="C52" i="61" s="1"/>
  <c r="G35" i="61"/>
  <c r="G46" i="61" s="1"/>
  <c r="F35" i="61"/>
  <c r="F46" i="61" s="1"/>
  <c r="N35" i="61"/>
  <c r="N46" i="61" s="1"/>
  <c r="K35" i="61"/>
  <c r="K46" i="61" s="1"/>
  <c r="H35" i="61"/>
  <c r="H46" i="61" s="1"/>
  <c r="L35" i="61"/>
  <c r="L46" i="61" s="1"/>
  <c r="E35" i="61"/>
  <c r="E46" i="61" s="1"/>
  <c r="D35" i="61"/>
  <c r="D46" i="61" s="1"/>
  <c r="I35" i="61"/>
  <c r="I46" i="61" s="1"/>
  <c r="J35" i="61"/>
  <c r="J46" i="61" s="1"/>
  <c r="M35" i="61"/>
  <c r="M46" i="61" s="1"/>
  <c r="C46" i="61"/>
  <c r="D121" i="73"/>
  <c r="D106" i="72"/>
  <c r="G91" i="71"/>
  <c r="H63" i="71"/>
  <c r="D121" i="70"/>
  <c r="G91" i="70"/>
  <c r="D106" i="69"/>
  <c r="G91" i="69"/>
  <c r="D106" i="68"/>
  <c r="D132" i="67"/>
  <c r="G197" i="66"/>
  <c r="D106" i="66"/>
  <c r="D132" i="65"/>
  <c r="D106" i="65"/>
  <c r="G197" i="64"/>
  <c r="D132" i="74"/>
  <c r="D132" i="73"/>
  <c r="G197" i="73"/>
  <c r="H63" i="73"/>
  <c r="G91" i="73"/>
  <c r="G197" i="72"/>
  <c r="G91" i="72"/>
  <c r="D132" i="72"/>
  <c r="D121" i="72"/>
  <c r="G197" i="71"/>
  <c r="D106" i="71"/>
  <c r="D132" i="71"/>
  <c r="D121" i="71"/>
  <c r="D132" i="70"/>
  <c r="G197" i="70"/>
  <c r="D132" i="69"/>
  <c r="G197" i="69"/>
  <c r="D121" i="69"/>
  <c r="H63" i="69"/>
  <c r="G197" i="68"/>
  <c r="D132" i="68"/>
  <c r="D121" i="68"/>
  <c r="G91" i="68"/>
  <c r="G197" i="67"/>
  <c r="G91" i="67"/>
  <c r="D121" i="67"/>
  <c r="H63" i="67"/>
  <c r="D132" i="66"/>
  <c r="G91" i="66"/>
  <c r="H63" i="66"/>
  <c r="D121" i="66"/>
  <c r="G91" i="65"/>
  <c r="G197" i="65"/>
  <c r="D121" i="65"/>
  <c r="D132" i="64"/>
  <c r="G91" i="64"/>
  <c r="D121" i="64"/>
  <c r="G52" i="58"/>
  <c r="G68" i="58"/>
  <c r="G56" i="58"/>
  <c r="G65" i="58"/>
  <c r="G53" i="58"/>
  <c r="G64" i="58"/>
  <c r="G61" i="58"/>
  <c r="G49" i="58"/>
  <c r="G63" i="58"/>
  <c r="G51" i="58"/>
  <c r="G62" i="58"/>
  <c r="G50" i="58"/>
  <c r="G60" i="58"/>
  <c r="G48" i="58"/>
  <c r="G59" i="58"/>
  <c r="G47" i="58"/>
  <c r="G58" i="58"/>
  <c r="G46" i="58"/>
  <c r="G57" i="58"/>
  <c r="B101" i="58"/>
  <c r="S112" i="58"/>
  <c r="G140" i="58" s="1"/>
  <c r="S124" i="58"/>
  <c r="G152" i="58" s="1"/>
  <c r="G121" i="58"/>
  <c r="G110" i="58"/>
  <c r="G113" i="58"/>
  <c r="S117" i="58"/>
  <c r="G145" i="58" s="1"/>
  <c r="G103" i="58"/>
  <c r="S118" i="58"/>
  <c r="G146" i="58" s="1"/>
  <c r="G104" i="58"/>
  <c r="S119" i="58"/>
  <c r="G147" i="58" s="1"/>
  <c r="G117" i="58"/>
  <c r="S121" i="58"/>
  <c r="G149" i="58" s="1"/>
  <c r="G108" i="58"/>
  <c r="G109" i="58"/>
  <c r="S113" i="58"/>
  <c r="G141" i="58" s="1"/>
  <c r="G122" i="58"/>
  <c r="S114" i="58"/>
  <c r="G142" i="58" s="1"/>
  <c r="G111" i="58"/>
  <c r="G123" i="58"/>
  <c r="S115" i="58"/>
  <c r="G143" i="58" s="1"/>
  <c r="G112" i="58"/>
  <c r="G124" i="58"/>
  <c r="S116" i="58"/>
  <c r="G144" i="58" s="1"/>
  <c r="G102" i="58"/>
  <c r="G114" i="58"/>
  <c r="G115" i="58"/>
  <c r="G116" i="58"/>
  <c r="G105" i="58"/>
  <c r="S120" i="58"/>
  <c r="G148" i="58" s="1"/>
  <c r="G106" i="58"/>
  <c r="G118" i="58"/>
  <c r="G107" i="58"/>
  <c r="S122" i="58"/>
  <c r="G150" i="58" s="1"/>
  <c r="G119" i="58"/>
  <c r="S123" i="58"/>
  <c r="G151" i="58" s="1"/>
  <c r="G120" i="58"/>
  <c r="B73" i="58"/>
  <c r="G89" i="58"/>
  <c r="G92" i="58"/>
  <c r="G94" i="58"/>
  <c r="G95" i="58"/>
  <c r="G96" i="58"/>
  <c r="G86" i="58"/>
  <c r="G87" i="58"/>
  <c r="G88" i="58"/>
  <c r="G90" i="58"/>
  <c r="G91" i="58"/>
  <c r="G93" i="58"/>
  <c r="G84" i="58"/>
  <c r="G85" i="58"/>
  <c r="G67" i="58"/>
  <c r="G55" i="58"/>
  <c r="G66" i="58"/>
  <c r="G54" i="58"/>
  <c r="C38" i="58"/>
  <c r="C39" i="58"/>
  <c r="D27" i="58"/>
  <c r="D25" i="58"/>
  <c r="D26" i="58"/>
  <c r="D34" i="58"/>
  <c r="D21" i="58"/>
  <c r="E21" i="58"/>
  <c r="H54" i="41"/>
  <c r="H55" i="41"/>
  <c r="H53" i="41"/>
  <c r="S104" i="58" l="1"/>
  <c r="G132" i="58" s="1"/>
  <c r="S111" i="58"/>
  <c r="G139" i="58" s="1"/>
  <c r="S49" i="58"/>
  <c r="G77" i="58" s="1"/>
  <c r="S55" i="58"/>
  <c r="G83" i="58" s="1"/>
  <c r="S107" i="58"/>
  <c r="G135" i="58" s="1"/>
  <c r="G45" i="58"/>
  <c r="R45" i="58"/>
  <c r="R69" i="58" s="1"/>
  <c r="O45" i="58"/>
  <c r="O69" i="58" s="1"/>
  <c r="I45" i="58"/>
  <c r="I69" i="58" s="1"/>
  <c r="N45" i="58"/>
  <c r="N69" i="58" s="1"/>
  <c r="H45" i="58"/>
  <c r="H69" i="58" s="1"/>
  <c r="L45" i="58"/>
  <c r="L69" i="58" s="1"/>
  <c r="Q45" i="58"/>
  <c r="Q69" i="58" s="1"/>
  <c r="M45" i="58"/>
  <c r="M69" i="58" s="1"/>
  <c r="P45" i="58"/>
  <c r="P69" i="58" s="1"/>
  <c r="J45" i="58"/>
  <c r="J69" i="58" s="1"/>
  <c r="K45" i="58"/>
  <c r="K69" i="58" s="1"/>
  <c r="S103" i="58"/>
  <c r="G131" i="58" s="1"/>
  <c r="S105" i="58"/>
  <c r="G133" i="58" s="1"/>
  <c r="S48" i="58"/>
  <c r="G76" i="58" s="1"/>
  <c r="S47" i="58"/>
  <c r="G75" i="58" s="1"/>
  <c r="S52" i="58"/>
  <c r="G80" i="58" s="1"/>
  <c r="S50" i="58"/>
  <c r="G78" i="58" s="1"/>
  <c r="R101" i="58"/>
  <c r="R125" i="58" s="1"/>
  <c r="O101" i="58"/>
  <c r="O125" i="58" s="1"/>
  <c r="I101" i="58"/>
  <c r="I125" i="58" s="1"/>
  <c r="N101" i="58"/>
  <c r="N125" i="58" s="1"/>
  <c r="H101" i="58"/>
  <c r="L101" i="58"/>
  <c r="L125" i="58" s="1"/>
  <c r="Q101" i="58"/>
  <c r="Q125" i="58" s="1"/>
  <c r="M101" i="58"/>
  <c r="M125" i="58" s="1"/>
  <c r="P101" i="58"/>
  <c r="P125" i="58" s="1"/>
  <c r="J101" i="58"/>
  <c r="J125" i="58" s="1"/>
  <c r="K101" i="58"/>
  <c r="K125" i="58" s="1"/>
  <c r="S53" i="58"/>
  <c r="G81" i="58" s="1"/>
  <c r="S110" i="58"/>
  <c r="G138" i="58" s="1"/>
  <c r="S109" i="58"/>
  <c r="G137" i="58" s="1"/>
  <c r="S102" i="58"/>
  <c r="G130" i="58" s="1"/>
  <c r="S106" i="58"/>
  <c r="G134" i="58" s="1"/>
  <c r="S108" i="58"/>
  <c r="G136" i="58" s="1"/>
  <c r="S46" i="58"/>
  <c r="G74" i="58" s="1"/>
  <c r="S54" i="58"/>
  <c r="G82" i="58" s="1"/>
  <c r="S51" i="58"/>
  <c r="G79" i="58" s="1"/>
  <c r="G101" i="58"/>
  <c r="D28" i="58"/>
  <c r="C40" i="58"/>
  <c r="P34" i="58"/>
  <c r="P21" i="58"/>
  <c r="H56" i="41"/>
  <c r="S45" i="58" l="1"/>
  <c r="G73" i="58" s="1"/>
  <c r="G97" i="58" s="1"/>
  <c r="G69" i="58"/>
  <c r="S101" i="58"/>
  <c r="S125" i="58" s="1"/>
  <c r="G125" i="58"/>
  <c r="H125" i="58"/>
  <c r="B4" i="54" a="1"/>
  <c r="C129" i="61"/>
  <c r="C128" i="61"/>
  <c r="C127" i="61"/>
  <c r="C126" i="61"/>
  <c r="C125" i="61"/>
  <c r="C124" i="61"/>
  <c r="C123" i="61"/>
  <c r="C122" i="61"/>
  <c r="C121" i="61"/>
  <c r="C120" i="61"/>
  <c r="C119" i="61"/>
  <c r="C118" i="61"/>
  <c r="C117" i="61"/>
  <c r="C116" i="61"/>
  <c r="C115" i="61"/>
  <c r="C114" i="61"/>
  <c r="C113" i="61"/>
  <c r="C112" i="61"/>
  <c r="C111" i="61"/>
  <c r="C110" i="61"/>
  <c r="C109" i="61"/>
  <c r="C108" i="61"/>
  <c r="C107" i="61"/>
  <c r="C106" i="61"/>
  <c r="B74" i="61"/>
  <c r="O7" i="58"/>
  <c r="N7" i="58"/>
  <c r="M7" i="58"/>
  <c r="L7" i="58"/>
  <c r="K7" i="58"/>
  <c r="J7" i="58"/>
  <c r="I7" i="58"/>
  <c r="H7" i="58"/>
  <c r="G7" i="58"/>
  <c r="G129" i="58" l="1"/>
  <c r="G153" i="58" s="1"/>
  <c r="S69" i="58"/>
  <c r="C130" i="61"/>
  <c r="O106" i="61"/>
  <c r="B4" i="54"/>
  <c r="E5" i="54"/>
  <c r="C5" i="54"/>
  <c r="C6" i="54"/>
  <c r="D6" i="54"/>
  <c r="D5" i="54"/>
  <c r="E6" i="54"/>
  <c r="G6" i="54"/>
  <c r="F6" i="54"/>
  <c r="G5" i="54"/>
  <c r="F5" i="54"/>
  <c r="I6" i="54"/>
  <c r="H6" i="54"/>
  <c r="I5" i="54"/>
  <c r="H5" i="54"/>
  <c r="O41" i="61"/>
  <c r="C56" i="61" s="1"/>
  <c r="O36" i="61"/>
  <c r="C51" i="61" s="1"/>
  <c r="O111" i="61"/>
  <c r="C139" i="61" s="1"/>
  <c r="O113" i="61"/>
  <c r="C141" i="61" s="1"/>
  <c r="O119" i="61"/>
  <c r="C147" i="61" s="1"/>
  <c r="O126" i="61"/>
  <c r="C154" i="61" s="1"/>
  <c r="O109" i="61"/>
  <c r="C137" i="61" s="1"/>
  <c r="O116" i="61"/>
  <c r="C144" i="61" s="1"/>
  <c r="O124" i="61"/>
  <c r="C152" i="61" s="1"/>
  <c r="O114" i="61"/>
  <c r="C142" i="61" s="1"/>
  <c r="O108" i="61"/>
  <c r="C136" i="61" s="1"/>
  <c r="O120" i="61"/>
  <c r="C148" i="61" s="1"/>
  <c r="O129" i="61"/>
  <c r="C157" i="61" s="1"/>
  <c r="O125" i="61"/>
  <c r="C153" i="61" s="1"/>
  <c r="O107" i="61"/>
  <c r="C135" i="61" s="1"/>
  <c r="O117" i="61"/>
  <c r="C145" i="61" s="1"/>
  <c r="O123" i="61"/>
  <c r="C151" i="61" s="1"/>
  <c r="O128" i="61"/>
  <c r="C156" i="61" s="1"/>
  <c r="O110" i="61"/>
  <c r="C138" i="61" s="1"/>
  <c r="O112" i="61"/>
  <c r="C140" i="61" s="1"/>
  <c r="O115" i="61"/>
  <c r="C143" i="61" s="1"/>
  <c r="O118" i="61"/>
  <c r="C146" i="61" s="1"/>
  <c r="O121" i="61"/>
  <c r="C149" i="61" s="1"/>
  <c r="O122" i="61"/>
  <c r="C150" i="61" s="1"/>
  <c r="O127" i="61"/>
  <c r="C155" i="61" s="1"/>
  <c r="L3" i="62"/>
  <c r="H3" i="62"/>
  <c r="K3" i="62"/>
  <c r="J3" i="62"/>
  <c r="I3" i="62"/>
  <c r="G3" i="62"/>
  <c r="F3" i="62"/>
  <c r="E3" i="62"/>
  <c r="D3" i="62"/>
  <c r="N3" i="62"/>
  <c r="M3" i="62"/>
  <c r="C3" i="62"/>
  <c r="B173" i="41" a="1"/>
  <c r="B67" i="41" a="1"/>
  <c r="B95" i="41" a="1"/>
  <c r="B110" i="41" a="1"/>
  <c r="B143" i="41"/>
  <c r="D54" i="41"/>
  <c r="D53" i="41"/>
  <c r="D115" i="41" l="1"/>
  <c r="D114" i="41"/>
  <c r="D116" i="41"/>
  <c r="D117" i="41"/>
  <c r="D113" i="41"/>
  <c r="D111" i="41"/>
  <c r="D118" i="41"/>
  <c r="D119" i="41"/>
  <c r="D120" i="41"/>
  <c r="D112" i="41"/>
  <c r="B173" i="41"/>
  <c r="G173" i="41" s="1"/>
  <c r="G177" i="41"/>
  <c r="G189" i="41"/>
  <c r="G187" i="41"/>
  <c r="G176" i="41"/>
  <c r="G188" i="41"/>
  <c r="G178" i="41"/>
  <c r="G190" i="41"/>
  <c r="G179" i="41"/>
  <c r="G191" i="41"/>
  <c r="G186" i="41"/>
  <c r="G174" i="41"/>
  <c r="G180" i="41"/>
  <c r="G192" i="41"/>
  <c r="G181" i="41"/>
  <c r="G193" i="41"/>
  <c r="G182" i="41"/>
  <c r="G194" i="41"/>
  <c r="G183" i="41"/>
  <c r="G195" i="41"/>
  <c r="G184" i="41"/>
  <c r="G196" i="41"/>
  <c r="G185" i="41"/>
  <c r="G175" i="41"/>
  <c r="B95" i="41"/>
  <c r="D95" i="41" s="1"/>
  <c r="D103" i="41"/>
  <c r="D99" i="41"/>
  <c r="D104" i="41"/>
  <c r="D105" i="41"/>
  <c r="D101" i="41"/>
  <c r="D96" i="41"/>
  <c r="D97" i="41"/>
  <c r="D98" i="41"/>
  <c r="D100" i="41"/>
  <c r="D102" i="41"/>
  <c r="B67" i="41"/>
  <c r="G67" i="41" s="1"/>
  <c r="G74" i="41"/>
  <c r="G86" i="41"/>
  <c r="G83" i="41"/>
  <c r="G72" i="41"/>
  <c r="G85" i="41"/>
  <c r="G75" i="41"/>
  <c r="G87" i="41"/>
  <c r="G76" i="41"/>
  <c r="G88" i="41"/>
  <c r="G70" i="41"/>
  <c r="G71" i="41"/>
  <c r="G73" i="41"/>
  <c r="G69" i="41"/>
  <c r="G77" i="41"/>
  <c r="G89" i="41"/>
  <c r="G78" i="41"/>
  <c r="G90" i="41"/>
  <c r="G79" i="41"/>
  <c r="G68" i="41"/>
  <c r="G80" i="41"/>
  <c r="G81" i="41"/>
  <c r="G82" i="41"/>
  <c r="G84" i="41"/>
  <c r="O130" i="61"/>
  <c r="O3" i="62"/>
  <c r="C4" i="54"/>
  <c r="H4" i="54"/>
  <c r="H7" i="54" s="1"/>
  <c r="D4" i="54"/>
  <c r="D7" i="54" s="1"/>
  <c r="G4" i="54"/>
  <c r="G7" i="54" s="1"/>
  <c r="F4" i="54"/>
  <c r="F7" i="54" s="1"/>
  <c r="E4" i="54"/>
  <c r="E7" i="54" s="1"/>
  <c r="I4" i="54"/>
  <c r="I7" i="54" s="1"/>
  <c r="O7" i="61"/>
  <c r="C22" i="61" s="1"/>
  <c r="O5" i="61"/>
  <c r="C20" i="61" s="1"/>
  <c r="O6" i="61"/>
  <c r="C21" i="61" s="1"/>
  <c r="O35" i="61"/>
  <c r="C50" i="61" s="1"/>
  <c r="C61" i="61" s="1"/>
  <c r="B110" i="41"/>
  <c r="D110" i="41" s="1"/>
  <c r="E7" i="58"/>
  <c r="F7" i="58"/>
  <c r="C134" i="61"/>
  <c r="C158" i="61" s="1"/>
  <c r="D55" i="41"/>
  <c r="D145" i="41"/>
  <c r="D146" i="41"/>
  <c r="D147" i="41"/>
  <c r="D148" i="41"/>
  <c r="D149" i="41"/>
  <c r="D150" i="41"/>
  <c r="D151" i="41"/>
  <c r="D152" i="41"/>
  <c r="D153" i="41"/>
  <c r="D154" i="41"/>
  <c r="D155" i="41"/>
  <c r="D156" i="41"/>
  <c r="D157" i="41"/>
  <c r="D158" i="41"/>
  <c r="D159" i="41"/>
  <c r="D160" i="41"/>
  <c r="D161" i="41"/>
  <c r="D162" i="41"/>
  <c r="D163" i="41"/>
  <c r="D164" i="41"/>
  <c r="D165" i="41"/>
  <c r="D166" i="41"/>
  <c r="D167" i="41"/>
  <c r="D168" i="41"/>
  <c r="C1" i="41"/>
  <c r="B1" i="55" s="1"/>
  <c r="W34" i="55"/>
  <c r="B3" i="57"/>
  <c r="B2" i="57"/>
  <c r="B99" i="58" l="1"/>
  <c r="B48" i="61"/>
  <c r="AI1" i="55"/>
  <c r="B85" i="61"/>
  <c r="AC1" i="55"/>
  <c r="Z1" i="55"/>
  <c r="T1" i="55"/>
  <c r="E1" i="55"/>
  <c r="AF1" i="55"/>
  <c r="B63" i="61"/>
  <c r="B33" i="61"/>
  <c r="B2" i="61"/>
  <c r="W1" i="55"/>
  <c r="B32" i="54"/>
  <c r="B2" i="54"/>
  <c r="K1" i="55"/>
  <c r="H1" i="55"/>
  <c r="B104" i="61"/>
  <c r="Q1" i="55"/>
  <c r="N1" i="55"/>
  <c r="D121" i="41"/>
  <c r="B16" i="58"/>
  <c r="B2" i="58"/>
  <c r="B43" i="58"/>
  <c r="B30" i="58"/>
  <c r="D1" i="41"/>
  <c r="C90" i="61"/>
  <c r="O90" i="61" s="1"/>
  <c r="C99" i="61" s="1"/>
  <c r="D139" i="41"/>
  <c r="D106" i="41"/>
  <c r="G91" i="41"/>
  <c r="D138" i="41"/>
  <c r="D137" i="41"/>
  <c r="D136" i="41"/>
  <c r="C88" i="61"/>
  <c r="O88" i="61" s="1"/>
  <c r="C97" i="61" s="1"/>
  <c r="C89" i="61"/>
  <c r="O89" i="61" s="1"/>
  <c r="C98" i="61" s="1"/>
  <c r="C87" i="61"/>
  <c r="O87" i="61" s="1"/>
  <c r="O46" i="61"/>
  <c r="O4" i="61"/>
  <c r="C19" i="61" s="1"/>
  <c r="C30" i="61" s="1"/>
  <c r="H61" i="41"/>
  <c r="H62" i="41"/>
  <c r="H60" i="41"/>
  <c r="G197" i="41"/>
  <c r="D6" i="58"/>
  <c r="D4" i="58"/>
  <c r="D5" i="58"/>
  <c r="C71" i="61"/>
  <c r="C69" i="61"/>
  <c r="C68" i="61"/>
  <c r="C67" i="61"/>
  <c r="C66" i="61"/>
  <c r="O66" i="61" s="1"/>
  <c r="C65" i="61"/>
  <c r="C70" i="61"/>
  <c r="D169" i="41"/>
  <c r="D141" i="41" l="1"/>
  <c r="O92" i="61"/>
  <c r="O65" i="61"/>
  <c r="C72" i="61"/>
  <c r="P5" i="58"/>
  <c r="D12" i="58" s="1"/>
  <c r="P4" i="58"/>
  <c r="D11" i="58" s="1"/>
  <c r="P6" i="58"/>
  <c r="C92" i="61"/>
  <c r="C96" i="61"/>
  <c r="C101" i="61" s="1"/>
  <c r="O15" i="61"/>
  <c r="O67" i="61"/>
  <c r="C78" i="61" s="1"/>
  <c r="O68" i="61"/>
  <c r="C79" i="61" s="1"/>
  <c r="O70" i="61"/>
  <c r="C81" i="61" s="1"/>
  <c r="C77" i="61"/>
  <c r="O69" i="61"/>
  <c r="C80" i="61" s="1"/>
  <c r="O71" i="61"/>
  <c r="C82" i="61" s="1"/>
  <c r="H63" i="41"/>
  <c r="D7" i="58"/>
  <c r="W36" i="55"/>
  <c r="U1" i="70" l="1"/>
  <c r="J34" i="54"/>
  <c r="P7" i="58"/>
  <c r="D13" i="58"/>
  <c r="D14" i="58" s="1"/>
  <c r="O72" i="61"/>
  <c r="C76" i="61"/>
  <c r="C83" i="61" s="1"/>
  <c r="B134" i="41"/>
  <c r="O35" i="54"/>
  <c r="B108" i="41"/>
  <c r="B123" i="41"/>
  <c r="AC34" i="55"/>
  <c r="AC36" i="55" s="1"/>
  <c r="AI34" i="55"/>
  <c r="AI36" i="55" s="1"/>
  <c r="T34" i="55"/>
  <c r="T36" i="55" s="1"/>
  <c r="Q33" i="55"/>
  <c r="Q35" i="55" s="1"/>
  <c r="N34" i="55"/>
  <c r="N36" i="55" s="1"/>
  <c r="H34" i="55"/>
  <c r="H36" i="55" s="1"/>
  <c r="AF33" i="55"/>
  <c r="AF35" i="55" s="1"/>
  <c r="Z33" i="55"/>
  <c r="K33" i="55"/>
  <c r="K35" i="55" s="1"/>
  <c r="E31" i="55"/>
  <c r="E33" i="55" s="1"/>
  <c r="U1" i="64" s="1"/>
  <c r="B35" i="55"/>
  <c r="O8" i="54"/>
  <c r="B36" i="55" l="1"/>
  <c r="U1" i="41" s="1"/>
  <c r="U1" i="74"/>
  <c r="N34" i="54"/>
  <c r="U1" i="73"/>
  <c r="M34" i="54"/>
  <c r="U1" i="72"/>
  <c r="L34" i="54"/>
  <c r="U1" i="69"/>
  <c r="I34" i="54"/>
  <c r="U1" i="68"/>
  <c r="H34" i="54"/>
  <c r="U1" i="67"/>
  <c r="G34" i="54"/>
  <c r="U1" i="66"/>
  <c r="F34" i="54"/>
  <c r="U1" i="65"/>
  <c r="E34" i="54"/>
  <c r="Z35" i="55"/>
  <c r="D34" i="54"/>
  <c r="C7" i="54"/>
  <c r="O6" i="54"/>
  <c r="D131" i="41"/>
  <c r="D127" i="41"/>
  <c r="D125" i="41"/>
  <c r="D126" i="41"/>
  <c r="D128" i="41"/>
  <c r="D129" i="41"/>
  <c r="D130" i="41"/>
  <c r="D132" i="41" l="1"/>
  <c r="C34" i="54"/>
  <c r="U1" i="71"/>
  <c r="K34" i="54"/>
  <c r="O34" i="54" l="1"/>
  <c r="O5" i="54"/>
  <c r="O4" i="54"/>
  <c r="N7" i="54"/>
  <c r="O7" i="54"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<sst xmlns="http://schemas.openxmlformats.org/spreadsheetml/2006/main" count="1853" uniqueCount="182">
  <si>
    <t>Date of Incident</t>
  </si>
  <si>
    <t>Location</t>
  </si>
  <si>
    <t>Station</t>
  </si>
  <si>
    <t>Day</t>
  </si>
  <si>
    <t xml:space="preserve">January </t>
  </si>
  <si>
    <t>February</t>
  </si>
  <si>
    <t>March</t>
  </si>
  <si>
    <t>April</t>
  </si>
  <si>
    <t>May</t>
  </si>
  <si>
    <t>June</t>
  </si>
  <si>
    <t>July</t>
  </si>
  <si>
    <t>August</t>
  </si>
  <si>
    <t>September</t>
  </si>
  <si>
    <t>October</t>
  </si>
  <si>
    <t>November</t>
  </si>
  <si>
    <t>December</t>
  </si>
  <si>
    <t>TOTAL</t>
  </si>
  <si>
    <t>Bedroom</t>
  </si>
  <si>
    <t>Bathroom</t>
  </si>
  <si>
    <t>Hallway</t>
  </si>
  <si>
    <t>Location of Falls</t>
  </si>
  <si>
    <t>Falls by Station</t>
  </si>
  <si>
    <t>Day of the Week</t>
  </si>
  <si>
    <t>Time of Shift</t>
  </si>
  <si>
    <t>Fall Type</t>
  </si>
  <si>
    <t>Major Injury</t>
  </si>
  <si>
    <t>BIMS Score</t>
  </si>
  <si>
    <t>Brief Interview for Mental Status</t>
  </si>
  <si>
    <t>Year</t>
  </si>
  <si>
    <t>Severe</t>
  </si>
  <si>
    <t>Cognitive Impairment</t>
  </si>
  <si>
    <t>Moderate</t>
  </si>
  <si>
    <t>Intact</t>
  </si>
  <si>
    <t>Hour</t>
  </si>
  <si>
    <t>Shift</t>
  </si>
  <si>
    <t>Total</t>
  </si>
  <si>
    <t>Goal</t>
  </si>
  <si>
    <t>Name</t>
  </si>
  <si>
    <t>Month Totals</t>
  </si>
  <si>
    <t>Activity Room</t>
  </si>
  <si>
    <t>Witnessed</t>
  </si>
  <si>
    <t>Yes</t>
  </si>
  <si>
    <t>No</t>
  </si>
  <si>
    <t>Potential High Fall Risk</t>
  </si>
  <si>
    <t>BIMS Scores of Resident Falls</t>
  </si>
  <si>
    <t>Score</t>
  </si>
  <si>
    <t>Sun</t>
  </si>
  <si>
    <t>Mon</t>
  </si>
  <si>
    <t>Wed</t>
  </si>
  <si>
    <t>Fri</t>
  </si>
  <si>
    <t>Sat</t>
  </si>
  <si>
    <t>Thu</t>
  </si>
  <si>
    <t>Tue</t>
  </si>
  <si>
    <t>Number of Falls by Resident</t>
  </si>
  <si>
    <t>Falls by Resident</t>
  </si>
  <si>
    <t>Census #</t>
  </si>
  <si>
    <t>Falls Total</t>
  </si>
  <si>
    <t>Falls Rate</t>
  </si>
  <si>
    <t>January</t>
  </si>
  <si>
    <t>Total Falls:</t>
  </si>
  <si>
    <t>Facility Rate</t>
  </si>
  <si>
    <t>Avg</t>
  </si>
  <si>
    <t>Fall Rate:</t>
  </si>
  <si>
    <t>Facility Name</t>
  </si>
  <si>
    <t>Nurses Stations</t>
  </si>
  <si>
    <t>Edit Shifts</t>
  </si>
  <si>
    <t>Reaching for an item</t>
  </si>
  <si>
    <t>Showering or bathing</t>
  </si>
  <si>
    <t>Toileting</t>
  </si>
  <si>
    <t>Dressing or undressing</t>
  </si>
  <si>
    <t>Transferring to or from bed, chair, wheelchair, etc.</t>
  </si>
  <si>
    <t>Ambulating with staff assistance</t>
  </si>
  <si>
    <t>Ambulating with assistive device (walker, cane, wheelchair)</t>
  </si>
  <si>
    <t>Ambulating without assistance or assistive device</t>
  </si>
  <si>
    <t>Changing position (e.g., in bed, chair)</t>
  </si>
  <si>
    <t>Other activity</t>
  </si>
  <si>
    <t>Unknown</t>
  </si>
  <si>
    <t>No Injury</t>
  </si>
  <si>
    <t>Falls by Activity</t>
  </si>
  <si>
    <t>Overwhelming Force</t>
  </si>
  <si>
    <t>Notes on resident activity prior to fall.</t>
  </si>
  <si>
    <t>RCA
Completed?</t>
  </si>
  <si>
    <t>RCA Completed</t>
  </si>
  <si>
    <t>Result</t>
  </si>
  <si>
    <t>Witnessed
Fall?</t>
  </si>
  <si>
    <t>Witnessed Falls</t>
  </si>
  <si>
    <t>Activity</t>
  </si>
  <si>
    <t>All Falls</t>
  </si>
  <si>
    <t>Injury (Except Major)</t>
  </si>
  <si>
    <t xml:space="preserve"> Date of Post Fall Evaluation</t>
  </si>
  <si>
    <t>Injury Type</t>
  </si>
  <si>
    <t>Offsite</t>
  </si>
  <si>
    <t>Contributing Factors</t>
  </si>
  <si>
    <t>Staff</t>
  </si>
  <si>
    <t>Certified Nurse Assistance</t>
  </si>
  <si>
    <t>Nurse</t>
  </si>
  <si>
    <t>Witness Name</t>
  </si>
  <si>
    <t>Shower Room</t>
  </si>
  <si>
    <t>Dining Room</t>
  </si>
  <si>
    <t>Process(s) not followed</t>
  </si>
  <si>
    <t>Fall Circumstances</t>
  </si>
  <si>
    <t>Intercepted</t>
  </si>
  <si>
    <t>N/A</t>
  </si>
  <si>
    <t>Falls by BIMS Score</t>
  </si>
  <si>
    <t>Room</t>
  </si>
  <si>
    <t>Resident Name</t>
  </si>
  <si>
    <t>Falls by Contributing Factors</t>
  </si>
  <si>
    <t>Shifts Summary</t>
  </si>
  <si>
    <t>Add to/Edit</t>
  </si>
  <si>
    <t xml:space="preserve">Add to/Edit </t>
  </si>
  <si>
    <t>Example: Mock/Sample Data</t>
  </si>
  <si>
    <t>Enter Year</t>
  </si>
  <si>
    <t>Data Validation Tab</t>
  </si>
  <si>
    <t>Graphs Tab: Falls</t>
  </si>
  <si>
    <t>Fall Rate and Census</t>
  </si>
  <si>
    <t>23:00–24:00</t>
  </si>
  <si>
    <t>24:00–01:00</t>
  </si>
  <si>
    <t>01:00–02:00</t>
  </si>
  <si>
    <t>02:00–03:00</t>
  </si>
  <si>
    <t>03:00–04:00</t>
  </si>
  <si>
    <t>04:00–05:00</t>
  </si>
  <si>
    <t>05:00–06:00</t>
  </si>
  <si>
    <t>06:00–07:00</t>
  </si>
  <si>
    <t>07:00–08:00</t>
  </si>
  <si>
    <t>08:00–09:00</t>
  </si>
  <si>
    <t>09:00–10:00</t>
  </si>
  <si>
    <t>10:00–11:00</t>
  </si>
  <si>
    <t>11:00–12:00</t>
  </si>
  <si>
    <t>12:00–13:00</t>
  </si>
  <si>
    <t>13:00–14:00</t>
  </si>
  <si>
    <t>14:00–15:00</t>
  </si>
  <si>
    <t>15:00–16:00</t>
  </si>
  <si>
    <t>16:00–17:00</t>
  </si>
  <si>
    <t>17:00–18:00</t>
  </si>
  <si>
    <t>18:00–19:00</t>
  </si>
  <si>
    <t>19:00–20:00</t>
  </si>
  <si>
    <t>20:00–21:00</t>
  </si>
  <si>
    <t>21:00–22:00</t>
  </si>
  <si>
    <t>22:00–23:00</t>
  </si>
  <si>
    <t>11–7</t>
  </si>
  <si>
    <t>7–3</t>
  </si>
  <si>
    <t>3–11</t>
  </si>
  <si>
    <t>Severe (1–7)</t>
  </si>
  <si>
    <t>Moderate (8–12)</t>
  </si>
  <si>
    <t>Intact (13–15)</t>
  </si>
  <si>
    <t>Months Tab: January– December</t>
  </si>
  <si>
    <t>The purpose of this tracker is to provide information to assist the Quality Assurance and Performance Improvement (QAPI) committee to develop appropriate interventions that are data driven for their residents who have fallen. </t>
  </si>
  <si>
    <t>*iQIES = Internet Quality Improvement &amp; Evaluation System</t>
  </si>
  <si>
    <t>What was the resident doing prior to fall?</t>
  </si>
  <si>
    <t>Assisted/caregiver transfer</t>
  </si>
  <si>
    <t>Bowel and bladder (B&amp;B) needs</t>
  </si>
  <si>
    <t>Behavioral or situational</t>
  </si>
  <si>
    <t>Change of condition</t>
  </si>
  <si>
    <t>Environmental factors</t>
  </si>
  <si>
    <t>Equipment malfunction</t>
  </si>
  <si>
    <t>Equipment or assistive device</t>
  </si>
  <si>
    <t>Medication related</t>
  </si>
  <si>
    <t>Resident health conditions</t>
  </si>
  <si>
    <t>What was resident doing prior to fall?</t>
  </si>
  <si>
    <t>Enter Facility Name</t>
  </si>
  <si>
    <t>Sunshine No Fall Villas</t>
  </si>
  <si>
    <t>10B</t>
  </si>
  <si>
    <t>Assisted/Caregiver Transfer</t>
  </si>
  <si>
    <t>CN Name</t>
  </si>
  <si>
    <t>C.N.A. Name</t>
  </si>
  <si>
    <t>63A</t>
  </si>
  <si>
    <t>B&amp;B Needs</t>
  </si>
  <si>
    <t>61A</t>
  </si>
  <si>
    <t>Equipment Malfunction</t>
  </si>
  <si>
    <t>Certified Nurse Assistant</t>
  </si>
  <si>
    <t>Cumulative Number of 
Falls by Shift</t>
  </si>
  <si>
    <t>Number of Falls by Hour</t>
  </si>
  <si>
    <t xml:space="preserve">   *RN = Registered Nurse; CNA = Certified Nursing Assistant</t>
  </si>
  <si>
    <t>Falls by Location</t>
  </si>
  <si>
    <t>What was resident doing prior to fall.</t>
  </si>
  <si>
    <t>Jennifer</t>
  </si>
  <si>
    <t>Megan</t>
  </si>
  <si>
    <t>John</t>
  </si>
  <si>
    <t>Year 2025</t>
  </si>
  <si>
    <t xml:space="preserve">       </t>
  </si>
  <si>
    <t>11-7</t>
  </si>
  <si>
    <t>This material was prepared by Health Services Advisory Group (HSAG), a Quality Innovation Network-Quality Improvement Organization (QIN-QIO) under contract with the Centers for Medicare &amp; Medicaid Services (CMS), an agency of the U.S. Department of Health and Human Services (HHS). Views expressed in this material do not necessarily reflect the official views or policy of CMS or HHS, and any reference to a specific product or entity herein does not constitute endorsement of that product or entity by CMS or HHS. Publication No. QN-13SOW-XC-07312026-01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</si>
</sst>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mm/dd/yy;@"/>
    <numFmt numFmtId="165" formatCode="0.0"/>
    <numFmt numFmtId="166" formatCode="mm/dd/yyyy"/>
  </numFmts>
  <fonts count="24" x14ac:knownFonts="1">
    <font>
      <sz val="11"/>
      <color theme="1"/>
      <name val="Calibri"/>
      <family val="2"/>
      <scheme val="minor"/>
    </font>
    <font>
      <sz val="8"/>
      <color theme="1"/>
      <name val="Calibri"/>
      <family val="2"/>
      <scheme val="minor"/>
    </font>
    <font>
      <b/>
      <sz val="11"/>
      <color theme="1"/>
      <name val="Calibri"/>
      <family val="2"/>
      <scheme val="minor"/>
    </font>
    <font>
      <b/>
      <sz val="12"/>
      <color theme="1"/>
      <name val="Calibri"/>
      <family val="2"/>
      <scheme val="minor"/>
    </font>
    <font>
      <sz val="11"/>
      <name val="Calibri"/>
      <family val="2"/>
      <scheme val="minor"/>
    </font>
    <font>
      <b/>
      <sz val="12"/>
      <name val="Calibri"/>
      <family val="2"/>
      <scheme val="minor"/>
    </font>
    <font>
      <b/>
      <sz val="11"/>
      <color theme="0"/>
      <name val="Calibri"/>
      <family val="2"/>
      <scheme val="minor"/>
    </font>
    <font>
      <sz val="9"/>
      <color theme="1"/>
      <name val="Calibri"/>
      <family val="2"/>
      <scheme val="minor"/>
    </font>
    <font>
      <sz val="8"/>
      <name val="Calibri"/>
      <family val="2"/>
      <scheme val="minor"/>
    </font>
    <font>
      <b/>
      <sz val="14"/>
      <color theme="1"/>
      <name val="Calibri"/>
      <family val="2"/>
      <scheme val="minor"/>
    </font>
    <font>
      <u/>
      <sz val="11"/>
      <color theme="10"/>
      <name val="Calibri"/>
      <family val="2"/>
      <scheme val="minor"/>
    </font>
    <font>
      <b/>
      <sz val="11"/>
      <color theme="2" tint="-0.749992370372631"/>
      <name val="Calibri"/>
      <family val="2"/>
      <scheme val="minor"/>
    </font>
    <font>
      <b/>
      <sz val="12"/>
      <color theme="2" tint="-0.749992370372631"/>
      <name val="Calibri"/>
      <family val="2"/>
      <scheme val="minor"/>
    </font>
    <font>
      <sz val="12"/>
      <color theme="1"/>
      <name val="Calibri"/>
      <family val="2"/>
      <scheme val="minor"/>
    </font>
    <font>
      <b/>
      <sz val="11"/>
      <name val="Calibri"/>
      <family val="2"/>
      <scheme val="minor"/>
    </font>
    <font>
      <b/>
      <sz val="12"/>
      <color rgb="FF000000"/>
      <name val="Calibri"/>
      <family val="2"/>
      <scheme val="minor"/>
    </font>
    <font>
      <b/>
      <sz val="11"/>
      <color rgb="FFFF0000"/>
      <name val="Calibri"/>
      <family val="2"/>
      <scheme val="minor"/>
    </font>
    <font>
      <b/>
      <u/>
      <sz val="11"/>
      <color theme="10"/>
      <name val="Calibri"/>
      <family val="2"/>
      <scheme val="minor"/>
    </font>
    <font>
      <b/>
      <sz val="8"/>
      <color theme="1"/>
      <name val="Calibri Light"/>
      <family val="2"/>
      <scheme val="major"/>
    </font>
    <font>
      <sz val="8"/>
      <color theme="1"/>
      <name val="Calibri Light"/>
      <family val="2"/>
      <scheme val="major"/>
    </font>
    <font>
      <i/>
      <sz val="10"/>
      <color theme="1"/>
      <name val="Calibri"/>
      <family val="2"/>
      <scheme val="minor"/>
    </font>
    <font>
      <b/>
      <sz val="10"/>
      <color theme="1"/>
      <name val="Calibri"/>
      <family val="2"/>
      <scheme val="minor"/>
    </font>
    <font>
      <i/>
      <sz val="11"/>
      <color theme="1"/>
      <name val="Calibri"/>
      <family val="2"/>
      <scheme val="minor"/>
    </font>
    <font>
      <b/>
      <sz val="12"/>
      <color rgb="FFED0000"/>
      <name val="Calibri"/>
      <family val="2"/>
      <scheme val="minor"/>
    </font>
  </fonts>
  <fills count="13">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rgb="FFF7F7F7"/>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theme="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14999847407452621"/>
        <bgColor theme="6"/>
      </patternFill>
    </fill>
    <fill>
      <patternFill patternType="solid">
        <fgColor rgb="FFFF0000"/>
        <bgColor indexed="64"/>
      </patternFill>
    </fill>
    <fill>
      <patternFill patternType="solid">
        <fgColor theme="2" tint="-9.9978637043366805E-2"/>
        <bgColor indexed="64"/>
      </patternFill>
    </fill>
  </fills>
  <borders count="120">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theme="2" tint="-0.249977111117893"/>
      </left>
      <right style="thin">
        <color theme="2" tint="-0.249977111117893"/>
      </right>
      <top style="thin">
        <color theme="2" tint="-0.249977111117893"/>
      </top>
      <bottom style="thin">
        <color theme="2" tint="-0.249977111117893"/>
      </bottom>
      <diagonal/>
    </border>
    <border>
      <left style="thin">
        <color theme="2" tint="-0.249977111117893"/>
      </left>
      <right/>
      <top/>
      <bottom style="thin">
        <color theme="2" tint="-0.249977111117893"/>
      </bottom>
      <diagonal/>
    </border>
    <border>
      <left/>
      <right style="thin">
        <color theme="2" tint="-0.249977111117893"/>
      </right>
      <top/>
      <bottom style="thin">
        <color theme="2" tint="-0.249977111117893"/>
      </bottom>
      <diagonal/>
    </border>
    <border>
      <left/>
      <right/>
      <top/>
      <bottom style="medium">
        <color theme="2" tint="-0.249977111117893"/>
      </bottom>
      <diagonal/>
    </border>
    <border>
      <left/>
      <right/>
      <top style="thin">
        <color theme="2" tint="-0.249977111117893"/>
      </top>
      <bottom style="medium">
        <color theme="2" tint="-0.249977111117893"/>
      </bottom>
      <diagonal/>
    </border>
    <border>
      <left style="medium">
        <color theme="2" tint="-9.9948118533890809E-2"/>
      </left>
      <right/>
      <top style="medium">
        <color theme="2" tint="-0.24994659260841701"/>
      </top>
      <bottom style="medium">
        <color theme="2" tint="-0.24994659260841701"/>
      </bottom>
      <diagonal/>
    </border>
    <border>
      <left/>
      <right/>
      <top style="medium">
        <color theme="2" tint="-0.24994659260841701"/>
      </top>
      <bottom style="medium">
        <color theme="2" tint="-0.24994659260841701"/>
      </bottom>
      <diagonal/>
    </border>
    <border>
      <left/>
      <right style="medium">
        <color theme="2" tint="-9.9948118533890809E-2"/>
      </right>
      <top style="medium">
        <color theme="2" tint="-0.24994659260841701"/>
      </top>
      <bottom style="medium">
        <color theme="2" tint="-0.24994659260841701"/>
      </bottom>
      <diagonal/>
    </border>
    <border>
      <left style="thin">
        <color theme="2" tint="-0.249977111117893"/>
      </left>
      <right style="thin">
        <color theme="2" tint="-0.249977111117893"/>
      </right>
      <top style="thin">
        <color theme="2" tint="-0.249977111117893"/>
      </top>
      <bottom style="medium">
        <color theme="2" tint="-0.249977111117893"/>
      </bottom>
      <diagonal/>
    </border>
    <border>
      <left style="thin">
        <color theme="2" tint="-0.249977111117893"/>
      </left>
      <right style="thin">
        <color theme="2" tint="-0.249977111117893"/>
      </right>
      <top/>
      <bottom style="medium">
        <color theme="2" tint="-0.249977111117893"/>
      </bottom>
      <diagonal/>
    </border>
    <border>
      <left/>
      <right/>
      <top style="thin">
        <color theme="2" tint="-0.249977111117893"/>
      </top>
      <bottom/>
      <diagonal/>
    </border>
    <border>
      <left style="thin">
        <color theme="2" tint="-0.249977111117893"/>
      </left>
      <right/>
      <top style="thin">
        <color theme="2" tint="-0.249977111117893"/>
      </top>
      <bottom style="medium">
        <color theme="2" tint="-0.24994659260841701"/>
      </bottom>
      <diagonal/>
    </border>
    <border>
      <left style="thin">
        <color theme="2" tint="-0.249977111117893"/>
      </left>
      <right/>
      <top style="thin">
        <color theme="2" tint="-0.249977111117893"/>
      </top>
      <bottom style="thin">
        <color theme="2" tint="-0.249977111117893"/>
      </bottom>
      <diagonal/>
    </border>
    <border>
      <left/>
      <right style="thin">
        <color theme="2" tint="-0.249977111117893"/>
      </right>
      <top style="thin">
        <color theme="2" tint="-0.249977111117893"/>
      </top>
      <bottom style="thin">
        <color theme="2" tint="-0.249977111117893"/>
      </bottom>
      <diagonal/>
    </border>
    <border>
      <left style="thin">
        <color theme="2" tint="-0.249977111117893"/>
      </left>
      <right/>
      <top style="medium">
        <color theme="2" tint="-0.24994659260841701"/>
      </top>
      <bottom style="thin">
        <color theme="2" tint="-0.249977111117893"/>
      </bottom>
      <diagonal/>
    </border>
    <border>
      <left style="thin">
        <color theme="0" tint="-0.249977111117893"/>
      </left>
      <right/>
      <top/>
      <bottom/>
      <diagonal/>
    </border>
    <border>
      <left/>
      <right style="thin">
        <color theme="0" tint="-0.249977111117893"/>
      </right>
      <top/>
      <bottom/>
      <diagonal/>
    </border>
    <border>
      <left/>
      <right style="thin">
        <color theme="2" tint="-0.249977111117893"/>
      </right>
      <top style="medium">
        <color theme="2" tint="-0.24994659260841701"/>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right style="thin">
        <color theme="2" tint="-0.249977111117893"/>
      </right>
      <top style="medium">
        <color theme="2" tint="-0.24994659260841701"/>
      </top>
      <bottom style="medium">
        <color theme="2" tint="-0.24994659260841701"/>
      </bottom>
      <diagonal/>
    </border>
    <border>
      <left style="thin">
        <color theme="0" tint="-0.249977111117893"/>
      </left>
      <right/>
      <top style="medium">
        <color theme="2" tint="-0.24994659260841701"/>
      </top>
      <bottom style="thin">
        <color theme="0" tint="-0.249977111117893"/>
      </bottom>
      <diagonal/>
    </border>
    <border>
      <left/>
      <right/>
      <top style="medium">
        <color theme="2" tint="-0.24994659260841701"/>
      </top>
      <bottom style="thin">
        <color theme="0" tint="-0.249977111117893"/>
      </bottom>
      <diagonal/>
    </border>
    <border>
      <left style="thin">
        <color theme="0" tint="-0.249977111117893"/>
      </left>
      <right style="thin">
        <color theme="0" tint="-0.249977111117893"/>
      </right>
      <top style="thin">
        <color theme="2" tint="-0.249977111117893"/>
      </top>
      <bottom style="thin">
        <color theme="2" tint="-0.249977111117893"/>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right style="thin">
        <color theme="0" tint="-0.249977111117893"/>
      </right>
      <top/>
      <bottom style="thin">
        <color theme="0" tint="-0.249977111117893"/>
      </bottom>
      <diagonal/>
    </border>
    <border>
      <left style="medium">
        <color theme="2" tint="-9.9948118533890809E-2"/>
      </left>
      <right/>
      <top style="medium">
        <color theme="0" tint="-0.249977111117893"/>
      </top>
      <bottom style="medium">
        <color theme="2" tint="-0.24994659260841701"/>
      </bottom>
      <diagonal/>
    </border>
    <border>
      <left/>
      <right style="thin">
        <color theme="2" tint="-0.249977111117893"/>
      </right>
      <top style="medium">
        <color theme="0" tint="-0.249977111117893"/>
      </top>
      <bottom style="medium">
        <color theme="2" tint="-0.24994659260841701"/>
      </bottom>
      <diagonal/>
    </border>
    <border>
      <left style="medium">
        <color theme="2" tint="-9.9948118533890809E-2"/>
      </left>
      <right/>
      <top style="medium">
        <color theme="2" tint="-0.24994659260841701"/>
      </top>
      <bottom style="medium">
        <color theme="0" tint="-0.249977111117893"/>
      </bottom>
      <diagonal/>
    </border>
    <border>
      <left/>
      <right/>
      <top style="medium">
        <color theme="2" tint="-0.24994659260841701"/>
      </top>
      <bottom style="medium">
        <color theme="0" tint="-0.249977111117893"/>
      </bottom>
      <diagonal/>
    </border>
    <border>
      <left/>
      <right style="medium">
        <color theme="2" tint="-9.9948118533890809E-2"/>
      </right>
      <top style="medium">
        <color theme="2" tint="-0.24994659260841701"/>
      </top>
      <bottom style="medium">
        <color theme="0" tint="-0.249977111117893"/>
      </bottom>
      <diagonal/>
    </border>
    <border>
      <left/>
      <right style="thin">
        <color theme="0" tint="-0.249977111117893"/>
      </right>
      <top style="thin">
        <color theme="0" tint="-0.249977111117893"/>
      </top>
      <bottom style="medium">
        <color theme="0" tint="-0.249977111117893"/>
      </bottom>
      <diagonal/>
    </border>
    <border>
      <left style="thin">
        <color theme="0" tint="-0.249977111117893"/>
      </left>
      <right/>
      <top/>
      <bottom style="thin">
        <color theme="0" tint="-0.249977111117893"/>
      </bottom>
      <diagonal/>
    </border>
    <border>
      <left style="thin">
        <color theme="0" tint="-0.249977111117893"/>
      </left>
      <right/>
      <top style="medium">
        <color theme="0" tint="-0.249977111117893"/>
      </top>
      <bottom style="thin">
        <color theme="0" tint="-0.249977111117893"/>
      </bottom>
      <diagonal/>
    </border>
    <border>
      <left/>
      <right style="thin">
        <color theme="0" tint="-0.249977111117893"/>
      </right>
      <top style="medium">
        <color theme="0" tint="-0.249977111117893"/>
      </top>
      <bottom style="thin">
        <color theme="0" tint="-0.249977111117893"/>
      </bottom>
      <diagonal/>
    </border>
    <border>
      <left/>
      <right/>
      <top style="medium">
        <color theme="2" tint="-0.24994659260841701"/>
      </top>
      <bottom style="thin">
        <color theme="2" tint="-0.249977111117893"/>
      </bottom>
      <diagonal/>
    </border>
    <border>
      <left/>
      <right/>
      <top style="thin">
        <color theme="2" tint="-0.249977111117893"/>
      </top>
      <bottom style="thin">
        <color theme="2" tint="-0.249977111117893"/>
      </bottom>
      <diagonal/>
    </border>
    <border>
      <left/>
      <right/>
      <top style="thin">
        <color theme="2" tint="-0.249977111117893"/>
      </top>
      <bottom style="medium">
        <color theme="2" tint="-0.24994659260841701"/>
      </bottom>
      <diagonal/>
    </border>
    <border>
      <left style="thin">
        <color theme="2" tint="-0.249977111117893"/>
      </left>
      <right style="thin">
        <color theme="2" tint="-0.249977111117893"/>
      </right>
      <top style="medium">
        <color theme="2" tint="-0.249977111117893"/>
      </top>
      <bottom style="medium">
        <color theme="2" tint="-0.249977111117893"/>
      </bottom>
      <diagonal/>
    </border>
    <border>
      <left/>
      <right style="thin">
        <color theme="1"/>
      </right>
      <top/>
      <bottom/>
      <diagonal/>
    </border>
    <border>
      <left/>
      <right/>
      <top style="thin">
        <color theme="1"/>
      </top>
      <bottom style="thin">
        <color theme="1"/>
      </bottom>
      <diagonal/>
    </border>
    <border>
      <left style="thin">
        <color theme="1"/>
      </left>
      <right style="thin">
        <color theme="1"/>
      </right>
      <top style="thin">
        <color indexed="64"/>
      </top>
      <bottom style="thin">
        <color indexed="64"/>
      </bottom>
      <diagonal/>
    </border>
    <border>
      <left/>
      <right/>
      <top/>
      <bottom style="medium">
        <color theme="2" tint="-0.24994659260841701"/>
      </bottom>
      <diagonal/>
    </border>
    <border>
      <left style="thin">
        <color theme="1"/>
      </left>
      <right style="thin">
        <color theme="1"/>
      </right>
      <top/>
      <bottom style="medium">
        <color theme="2" tint="-0.249977111117893"/>
      </bottom>
      <diagonal/>
    </border>
    <border>
      <left/>
      <right/>
      <top style="thin">
        <color indexed="64"/>
      </top>
      <bottom style="thin">
        <color theme="1"/>
      </bottom>
      <diagonal/>
    </border>
    <border>
      <left/>
      <right style="thin">
        <color theme="1"/>
      </right>
      <top style="thin">
        <color indexed="64"/>
      </top>
      <bottom style="thin">
        <color theme="1"/>
      </bottom>
      <diagonal/>
    </border>
    <border>
      <left/>
      <right style="thin">
        <color theme="2" tint="-0.249977111117893"/>
      </right>
      <top style="thin">
        <color theme="0" tint="-0.249977111117893"/>
      </top>
      <bottom style="thin">
        <color theme="2" tint="-9.9978637043366805E-2"/>
      </bottom>
      <diagonal/>
    </border>
    <border>
      <left style="thin">
        <color theme="0" tint="-0.249977111117893"/>
      </left>
      <right/>
      <top style="thin">
        <color theme="0" tint="-0.249977111117893"/>
      </top>
      <bottom style="thin">
        <color theme="2" tint="-0.249977111117893"/>
      </bottom>
      <diagonal/>
    </border>
    <border>
      <left style="thin">
        <color theme="0" tint="-0.249977111117893"/>
      </left>
      <right/>
      <top style="thin">
        <color theme="2" tint="-0.249977111117893"/>
      </top>
      <bottom style="thin">
        <color theme="2" tint="-0.249977111117893"/>
      </bottom>
      <diagonal/>
    </border>
    <border>
      <left style="thin">
        <color theme="2" tint="-0.249977111117893"/>
      </left>
      <right style="thin">
        <color theme="2" tint="-0.249977111117893"/>
      </right>
      <top style="thin">
        <color theme="2" tint="-0.249977111117893"/>
      </top>
      <bottom/>
      <diagonal/>
    </border>
    <border>
      <left style="thin">
        <color theme="1"/>
      </left>
      <right/>
      <top style="thin">
        <color indexed="64"/>
      </top>
      <bottom style="thin">
        <color indexed="64"/>
      </bottom>
      <diagonal/>
    </border>
    <border>
      <left style="thin">
        <color theme="1"/>
      </left>
      <right style="thin">
        <color theme="1"/>
      </right>
      <top style="thin">
        <color indexed="64"/>
      </top>
      <bottom style="thin">
        <color theme="1"/>
      </bottom>
      <diagonal/>
    </border>
    <border>
      <left style="thin">
        <color theme="1"/>
      </left>
      <right style="thin">
        <color indexed="64"/>
      </right>
      <top style="thin">
        <color indexed="64"/>
      </top>
      <bottom style="thin">
        <color indexed="64"/>
      </bottom>
      <diagonal/>
    </border>
    <border>
      <left/>
      <right style="thin">
        <color indexed="64"/>
      </right>
      <top style="thin">
        <color indexed="64"/>
      </top>
      <bottom style="thin">
        <color theme="1"/>
      </bottom>
      <diagonal/>
    </border>
    <border>
      <left style="thin">
        <color theme="1"/>
      </left>
      <right/>
      <top style="thin">
        <color theme="1"/>
      </top>
      <bottom style="medium">
        <color theme="2" tint="-0.24994659260841701"/>
      </bottom>
      <diagonal/>
    </border>
    <border>
      <left style="thin">
        <color theme="1"/>
      </left>
      <right/>
      <top style="thin">
        <color indexed="64"/>
      </top>
      <bottom style="thin">
        <color theme="1"/>
      </bottom>
      <diagonal/>
    </border>
    <border>
      <left style="thin">
        <color theme="1"/>
      </left>
      <right/>
      <top/>
      <bottom style="medium">
        <color theme="2" tint="-0.24994659260841701"/>
      </bottom>
      <diagonal/>
    </border>
    <border>
      <left/>
      <right style="thin">
        <color indexed="64"/>
      </right>
      <top style="medium">
        <color theme="2" tint="-0.24994659260841701"/>
      </top>
      <bottom style="thin">
        <color indexed="64"/>
      </bottom>
      <diagonal/>
    </border>
    <border>
      <left style="thin">
        <color theme="1"/>
      </left>
      <right/>
      <top style="medium">
        <color theme="2" tint="-0.24994659260841701"/>
      </top>
      <bottom style="thin">
        <color indexed="64"/>
      </bottom>
      <diagonal/>
    </border>
    <border>
      <left/>
      <right style="thin">
        <color theme="1"/>
      </right>
      <top style="medium">
        <color theme="2" tint="-0.24994659260841701"/>
      </top>
      <bottom style="thin">
        <color indexed="64"/>
      </bottom>
      <diagonal/>
    </border>
    <border>
      <left/>
      <right style="thin">
        <color theme="2" tint="-0.249977111117893"/>
      </right>
      <top style="thin">
        <color theme="2" tint="-0.249977111117893"/>
      </top>
      <bottom style="medium">
        <color theme="2" tint="-0.24994659260841701"/>
      </bottom>
      <diagonal/>
    </border>
    <border>
      <left style="thin">
        <color indexed="64"/>
      </left>
      <right style="thin">
        <color indexed="64"/>
      </right>
      <top/>
      <bottom/>
      <diagonal/>
    </border>
    <border>
      <left style="medium">
        <color theme="2" tint="-9.9948118533890809E-2"/>
      </left>
      <right style="thin">
        <color theme="2" tint="-0.24994659260841701"/>
      </right>
      <top style="medium">
        <color theme="2" tint="-0.24994659260841701"/>
      </top>
      <bottom style="medium">
        <color theme="2" tint="-0.24994659260841701"/>
      </bottom>
      <diagonal/>
    </border>
    <border>
      <left style="thin">
        <color theme="2" tint="-0.24994659260841701"/>
      </left>
      <right style="medium">
        <color theme="2" tint="-9.9948118533890809E-2"/>
      </right>
      <top style="medium">
        <color theme="2" tint="-0.24994659260841701"/>
      </top>
      <bottom style="medium">
        <color theme="2" tint="-0.24994659260841701"/>
      </bottom>
      <diagonal/>
    </border>
    <border>
      <left style="medium">
        <color theme="2" tint="-9.9948118533890809E-2"/>
      </left>
      <right style="medium">
        <color theme="2" tint="-9.9948118533890809E-2"/>
      </right>
      <top style="thin">
        <color theme="2" tint="-9.9948118533890809E-2"/>
      </top>
      <bottom style="thin">
        <color theme="2" tint="-9.9948118533890809E-2"/>
      </bottom>
      <diagonal/>
    </border>
    <border>
      <left style="medium">
        <color theme="2" tint="-9.9948118533890809E-2"/>
      </left>
      <right style="medium">
        <color theme="2" tint="-9.9948118533890809E-2"/>
      </right>
      <top style="thin">
        <color theme="2" tint="-0.249977111117893"/>
      </top>
      <bottom style="medium">
        <color theme="2" tint="-0.249977111117893"/>
      </bottom>
      <diagonal/>
    </border>
    <border>
      <left style="medium">
        <color theme="2" tint="-9.9948118533890809E-2"/>
      </left>
      <right style="medium">
        <color theme="2" tint="-9.9948118533890809E-2"/>
      </right>
      <top style="medium">
        <color theme="2" tint="-0.24994659260841701"/>
      </top>
      <bottom style="medium">
        <color theme="2" tint="-0.24994659260841701"/>
      </bottom>
      <diagonal/>
    </border>
    <border>
      <left style="thin">
        <color theme="2" tint="-0.24994659260841701"/>
      </left>
      <right/>
      <top style="medium">
        <color theme="2" tint="-0.24994659260841701"/>
      </top>
      <bottom/>
      <diagonal/>
    </border>
    <border>
      <left style="medium">
        <color theme="2" tint="-9.9948118533890809E-2"/>
      </left>
      <right style="thin">
        <color theme="2" tint="-0.24994659260841701"/>
      </right>
      <top style="medium">
        <color theme="2" tint="-0.24994659260841701"/>
      </top>
      <bottom/>
      <diagonal/>
    </border>
    <border>
      <left style="medium">
        <color theme="2" tint="-9.9948118533890809E-2"/>
      </left>
      <right/>
      <top style="medium">
        <color theme="2" tint="-0.24994659260841701"/>
      </top>
      <bottom/>
      <diagonal/>
    </border>
    <border>
      <left style="medium">
        <color theme="2" tint="-9.9948118533890809E-2"/>
      </left>
      <right style="medium">
        <color theme="2" tint="-9.9948118533890809E-2"/>
      </right>
      <top style="medium">
        <color theme="2" tint="-0.24994659260841701"/>
      </top>
      <bottom/>
      <diagonal/>
    </border>
    <border>
      <left style="medium">
        <color theme="2" tint="-9.9948118533890809E-2"/>
      </left>
      <right/>
      <top style="thin">
        <color theme="2" tint="-9.9948118533890809E-2"/>
      </top>
      <bottom/>
      <diagonal/>
    </border>
    <border>
      <left style="medium">
        <color theme="2" tint="-9.9948118533890809E-2"/>
      </left>
      <right style="medium">
        <color theme="2" tint="-9.9948118533890809E-2"/>
      </right>
      <top style="thin">
        <color theme="2" tint="-9.9948118533890809E-2"/>
      </top>
      <bottom/>
      <diagonal/>
    </border>
    <border>
      <left style="medium">
        <color theme="2" tint="-9.9948118533890809E-2"/>
      </left>
      <right style="thin">
        <color theme="2" tint="-0.249977111117893"/>
      </right>
      <top style="thin">
        <color theme="2" tint="-0.249977111117893"/>
      </top>
      <bottom/>
      <diagonal/>
    </border>
    <border>
      <left style="medium">
        <color theme="2" tint="-9.9948118533890809E-2"/>
      </left>
      <right/>
      <top style="thin">
        <color theme="2" tint="-0.249977111117893"/>
      </top>
      <bottom style="medium">
        <color theme="2" tint="-0.249977111117893"/>
      </bottom>
      <diagonal/>
    </border>
    <border>
      <left style="thin">
        <color theme="2" tint="-0.249977111117893"/>
      </left>
      <right/>
      <top style="thin">
        <color theme="2" tint="-0.249977111117893"/>
      </top>
      <bottom/>
      <diagonal/>
    </border>
    <border>
      <left style="thin">
        <color theme="2" tint="-0.249977111117893"/>
      </left>
      <right/>
      <top/>
      <bottom/>
      <diagonal/>
    </border>
    <border>
      <left style="medium">
        <color theme="2" tint="-9.9948118533890809E-2"/>
      </left>
      <right/>
      <top/>
      <bottom/>
      <diagonal/>
    </border>
    <border>
      <left style="thin">
        <color theme="2" tint="-0.24994659260841701"/>
      </left>
      <right style="medium">
        <color theme="2" tint="-9.9948118533890809E-2"/>
      </right>
      <top style="medium">
        <color theme="2" tint="-0.24994659260841701"/>
      </top>
      <bottom style="medium">
        <color theme="2" tint="-0.249977111117893"/>
      </bottom>
      <diagonal/>
    </border>
    <border>
      <left style="thin">
        <color theme="6"/>
      </left>
      <right/>
      <top style="thin">
        <color theme="6"/>
      </top>
      <bottom style="thin">
        <color theme="2" tint="-0.249977111117893"/>
      </bottom>
      <diagonal/>
    </border>
    <border>
      <left/>
      <right/>
      <top style="thin">
        <color theme="6"/>
      </top>
      <bottom style="thin">
        <color theme="2" tint="-0.249977111117893"/>
      </bottom>
      <diagonal/>
    </border>
    <border>
      <left style="medium">
        <color theme="2" tint="-9.9948118533890809E-2"/>
      </left>
      <right/>
      <top style="thin">
        <color theme="2" tint="-9.9948118533890809E-2"/>
      </top>
      <bottom style="thin">
        <color theme="2" tint="-9.9948118533890809E-2"/>
      </bottom>
      <diagonal/>
    </border>
    <border>
      <left/>
      <right style="medium">
        <color theme="2" tint="-9.9948118533890809E-2"/>
      </right>
      <top style="thin">
        <color theme="2" tint="-9.9948118533890809E-2"/>
      </top>
      <bottom style="thin">
        <color theme="2" tint="-9.9948118533890809E-2"/>
      </bottom>
      <diagonal/>
    </border>
    <border>
      <left style="medium">
        <color theme="2" tint="-9.9948118533890809E-2"/>
      </left>
      <right/>
      <top style="medium">
        <color theme="2" tint="-0.24994659260841701"/>
      </top>
      <bottom style="thin">
        <color theme="2" tint="-9.9948118533890809E-2"/>
      </bottom>
      <diagonal/>
    </border>
    <border>
      <left/>
      <right style="medium">
        <color theme="2" tint="-9.9948118533890809E-2"/>
      </right>
      <top style="medium">
        <color theme="2" tint="-0.24994659260841701"/>
      </top>
      <bottom style="thin">
        <color theme="2" tint="-9.9948118533890809E-2"/>
      </bottom>
      <diagonal/>
    </border>
    <border>
      <left/>
      <right/>
      <top/>
      <bottom style="thin">
        <color theme="2" tint="-0.249977111117893"/>
      </bottom>
      <diagonal/>
    </border>
    <border>
      <left/>
      <right style="thin">
        <color theme="2" tint="-0.24994659260841701"/>
      </right>
      <top style="medium">
        <color theme="2" tint="-0.24994659260841701"/>
      </top>
      <bottom style="medium">
        <color theme="2" tint="-0.24994659260841701"/>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bottom style="thin">
        <color theme="0" tint="-0.34998626667073579"/>
      </bottom>
      <diagonal/>
    </border>
    <border>
      <left/>
      <right/>
      <top style="thin">
        <color theme="0" tint="-0.34998626667073579"/>
      </top>
      <bottom style="thin">
        <color theme="0" tint="-0.34998626667073579"/>
      </bottom>
      <diagonal/>
    </border>
    <border>
      <left/>
      <right/>
      <top style="thin">
        <color theme="0" tint="-0.34998626667073579"/>
      </top>
      <bottom/>
      <diagonal/>
    </border>
    <border>
      <left style="medium">
        <color theme="2" tint="-9.9948118533890809E-2"/>
      </left>
      <right style="medium">
        <color theme="2" tint="-9.9948118533890809E-2"/>
      </right>
      <top style="thin">
        <color theme="2" tint="-9.9948118533890809E-2"/>
      </top>
      <bottom style="medium">
        <color theme="2" tint="-0.249977111117893"/>
      </bottom>
      <diagonal/>
    </border>
    <border>
      <left/>
      <right style="thin">
        <color theme="0" tint="-0.34998626667073579"/>
      </right>
      <top/>
      <bottom style="thin">
        <color theme="0" tint="-0.34998626667073579"/>
      </bottom>
      <diagonal/>
    </border>
    <border>
      <left style="thin">
        <color theme="0" tint="-0.34998626667073579"/>
      </left>
      <right/>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style="thin">
        <color theme="0" tint="-0.34998626667073579"/>
      </right>
      <top style="thin">
        <color theme="0" tint="-0.34998626667073579"/>
      </top>
      <bottom/>
      <diagonal/>
    </border>
    <border>
      <left style="thin">
        <color theme="0" tint="-0.34998626667073579"/>
      </left>
      <right/>
      <top style="thin">
        <color theme="0" tint="-0.34998626667073579"/>
      </top>
      <bottom/>
      <diagonal/>
    </border>
    <border>
      <left/>
      <right/>
      <top style="thin">
        <color theme="2" tint="-9.9948118533890809E-2"/>
      </top>
      <bottom style="thin">
        <color theme="2" tint="-9.9948118533890809E-2"/>
      </bottom>
      <diagonal/>
    </border>
    <border>
      <left/>
      <right/>
      <top style="medium">
        <color theme="2" tint="-0.24994659260841701"/>
      </top>
      <bottom style="thin">
        <color theme="2" tint="-9.9948118533890809E-2"/>
      </bottom>
      <diagonal/>
    </border>
    <border>
      <left style="thin">
        <color indexed="64"/>
      </left>
      <right style="thin">
        <color theme="1"/>
      </right>
      <top/>
      <bottom style="thin">
        <color indexed="64"/>
      </bottom>
      <diagonal/>
    </border>
    <border>
      <left/>
      <right/>
      <top/>
      <bottom style="thin">
        <color theme="1"/>
      </bottom>
      <diagonal/>
    </border>
    <border>
      <left style="thin">
        <color theme="2" tint="-0.249977111117893"/>
      </left>
      <right style="thin">
        <color theme="2" tint="-0.249977111117893"/>
      </right>
      <top/>
      <bottom style="thin">
        <color theme="2" tint="-0.249977111117893"/>
      </bottom>
      <diagonal/>
    </border>
    <border>
      <left/>
      <right style="medium">
        <color theme="2" tint="-9.9948118533890809E-2"/>
      </right>
      <top style="thin">
        <color theme="2" tint="-0.249977111117893"/>
      </top>
      <bottom style="medium">
        <color theme="2" tint="-0.249977111117893"/>
      </bottom>
      <diagonal/>
    </border>
    <border>
      <left style="medium">
        <color theme="2" tint="-9.9948118533890809E-2"/>
      </left>
      <right/>
      <top style="thin">
        <color theme="2" tint="-9.9948118533890809E-2"/>
      </top>
      <bottom style="medium">
        <color theme="2" tint="-0.249977111117893"/>
      </bottom>
      <diagonal/>
    </border>
    <border>
      <left/>
      <right style="medium">
        <color theme="2" tint="-9.9948118533890809E-2"/>
      </right>
      <top style="thin">
        <color theme="2" tint="-9.9948118533890809E-2"/>
      </top>
      <bottom style="medium">
        <color theme="2" tint="-0.249977111117893"/>
      </bottom>
      <diagonal/>
    </border>
    <border>
      <left/>
      <right style="thin">
        <color theme="2" tint="-0.249977111117893"/>
      </right>
      <top style="medium">
        <color theme="2" tint="-0.249977111117893"/>
      </top>
      <bottom style="thin">
        <color theme="2" tint="-0.249977111117893"/>
      </bottom>
      <diagonal/>
    </border>
    <border>
      <left/>
      <right/>
      <top style="medium">
        <color theme="2" tint="-0.249977111117893"/>
      </top>
      <bottom style="thin">
        <color theme="2" tint="-0.249977111117893"/>
      </bottom>
      <diagonal/>
    </border>
    <border>
      <left style="medium">
        <color theme="2" tint="-9.9948118533890809E-2"/>
      </left>
      <right style="thin">
        <color theme="2" tint="-0.249977111117893"/>
      </right>
      <top style="medium">
        <color theme="2" tint="-0.249977111117893"/>
      </top>
      <bottom style="thin">
        <color theme="2" tint="-0.249977111117893"/>
      </bottom>
      <diagonal/>
    </border>
    <border>
      <left style="medium">
        <color theme="2" tint="-9.9948118533890809E-2"/>
      </left>
      <right style="thin">
        <color theme="2" tint="-0.249977111117893"/>
      </right>
      <top/>
      <bottom/>
      <diagonal/>
    </border>
  </borders>
  <cellStyleXfs count="2">
    <xf numFmtId="0" fontId="0" fillId="0" borderId="0"/>
    <xf numFmtId="0" fontId="10" fillId="0" borderId="0" applyNumberFormat="0" applyFill="0" applyBorder="0" applyAlignment="0" applyProtection="0"/>
  </cellStyleXfs>
  <cellXfs count="342">
    <xf numFmtId="0" fontId="0" fillId="0" borderId="0" xfId="0"/>
    <xf numFmtId="0" fontId="1" fillId="0" borderId="0" xfId="0" applyFont="1" applyAlignment="1" applyProtection="1">
      <alignment horizontal="center" vertical="center"/>
      <protection locked="0"/>
    </xf>
    <xf numFmtId="0" fontId="1" fillId="0" borderId="0" xfId="0" applyFont="1" applyAlignment="1" applyProtection="1">
      <alignment horizontal="center" vertical="center" wrapText="1"/>
      <protection locked="0"/>
    </xf>
    <xf numFmtId="0" fontId="1" fillId="0" borderId="0" xfId="0" applyFont="1" applyAlignment="1" applyProtection="1">
      <alignment horizontal="left" vertical="center" wrapText="1"/>
      <protection locked="0"/>
    </xf>
    <xf numFmtId="0" fontId="10" fillId="0" borderId="0" xfId="1" applyAlignment="1" applyProtection="1">
      <alignment horizontal="centerContinuous"/>
    </xf>
    <xf numFmtId="0" fontId="1" fillId="0" borderId="0" xfId="0" applyFont="1" applyAlignment="1" applyProtection="1">
      <alignment horizontal="left" vertical="center"/>
      <protection locked="0"/>
    </xf>
    <xf numFmtId="0" fontId="2" fillId="6" borderId="1" xfId="0" applyFont="1" applyFill="1" applyBorder="1" applyAlignment="1" applyProtection="1">
      <alignment horizontal="center" vertical="center" wrapText="1"/>
      <protection locked="0"/>
    </xf>
    <xf numFmtId="0" fontId="2" fillId="6" borderId="1" xfId="0" applyFont="1" applyFill="1" applyBorder="1" applyAlignment="1" applyProtection="1">
      <alignment horizontal="center"/>
      <protection locked="0"/>
    </xf>
    <xf numFmtId="0" fontId="2" fillId="0" borderId="0" xfId="0" applyFont="1" applyAlignment="1">
      <alignment vertical="top" wrapText="1"/>
    </xf>
    <xf numFmtId="0" fontId="15" fillId="0" borderId="0" xfId="0" applyFont="1"/>
    <xf numFmtId="0" fontId="0" fillId="0" borderId="0" xfId="0" applyAlignment="1">
      <alignment horizontal="center"/>
    </xf>
    <xf numFmtId="0" fontId="0" fillId="0" borderId="0" xfId="0" applyAlignment="1">
      <alignment horizontal="center" vertical="center"/>
    </xf>
    <xf numFmtId="0" fontId="1" fillId="3" borderId="0" xfId="0" applyFont="1" applyFill="1" applyAlignment="1" applyProtection="1">
      <alignment horizontal="center" vertical="center" wrapText="1"/>
      <protection locked="0"/>
    </xf>
    <xf numFmtId="0" fontId="2" fillId="0" borderId="0" xfId="0" applyFont="1"/>
    <xf numFmtId="0" fontId="0" fillId="0" borderId="0" xfId="0" applyAlignment="1">
      <alignment horizontal="left"/>
    </xf>
    <xf numFmtId="0" fontId="2" fillId="0" borderId="0" xfId="0" applyFont="1" applyAlignment="1">
      <alignment horizontal="centerContinuous"/>
    </xf>
    <xf numFmtId="0" fontId="0" fillId="0" borderId="0" xfId="0" applyAlignment="1">
      <alignment horizontal="centerContinuous"/>
    </xf>
    <xf numFmtId="0" fontId="2" fillId="0" borderId="0" xfId="0" applyFont="1" applyAlignment="1">
      <alignment horizontal="right"/>
    </xf>
    <xf numFmtId="0" fontId="2" fillId="0" borderId="0" xfId="0" applyFont="1" applyAlignment="1">
      <alignment horizontal="left" vertical="top"/>
    </xf>
    <xf numFmtId="0" fontId="1" fillId="0" borderId="0" xfId="0" applyFont="1" applyAlignment="1">
      <alignment vertical="center" wrapText="1"/>
    </xf>
    <xf numFmtId="0" fontId="1" fillId="0" borderId="0" xfId="0" applyFont="1" applyAlignment="1">
      <alignment horizontal="center" vertical="center" wrapText="1"/>
    </xf>
    <xf numFmtId="0" fontId="1" fillId="0" borderId="0" xfId="0" applyFont="1"/>
    <xf numFmtId="164" fontId="1" fillId="0" borderId="0" xfId="0" applyNumberFormat="1" applyFont="1" applyAlignment="1">
      <alignment horizontal="center" vertical="center"/>
    </xf>
    <xf numFmtId="164" fontId="1" fillId="0" borderId="0" xfId="0" applyNumberFormat="1" applyFont="1" applyAlignment="1">
      <alignment horizontal="center" vertical="center" wrapText="1"/>
    </xf>
    <xf numFmtId="0" fontId="1" fillId="4" borderId="0" xfId="0" applyFont="1" applyFill="1" applyAlignment="1">
      <alignment horizontal="center" vertical="center" wrapText="1"/>
    </xf>
    <xf numFmtId="0" fontId="1" fillId="0" borderId="0" xfId="0" applyFont="1" applyAlignment="1">
      <alignment horizontal="left" vertical="center" wrapText="1"/>
    </xf>
    <xf numFmtId="0" fontId="1" fillId="0" borderId="0" xfId="0" applyFont="1" applyAlignment="1">
      <alignment horizontal="center"/>
    </xf>
    <xf numFmtId="0" fontId="1" fillId="4" borderId="0" xfId="0" applyFont="1" applyFill="1" applyAlignment="1">
      <alignment horizontal="center" vertical="center"/>
    </xf>
    <xf numFmtId="0" fontId="11" fillId="4" borderId="7" xfId="0" applyFont="1" applyFill="1" applyBorder="1" applyAlignment="1">
      <alignment horizontal="center"/>
    </xf>
    <xf numFmtId="0" fontId="11" fillId="4" borderId="19" xfId="0" applyFont="1" applyFill="1" applyBorder="1"/>
    <xf numFmtId="0" fontId="11" fillId="4" borderId="46" xfId="0" applyFont="1" applyFill="1" applyBorder="1"/>
    <xf numFmtId="0" fontId="0" fillId="0" borderId="7" xfId="0" applyBorder="1" applyAlignment="1">
      <alignment horizontal="center"/>
    </xf>
    <xf numFmtId="0" fontId="11" fillId="4" borderId="18" xfId="0" applyFont="1" applyFill="1" applyBorder="1"/>
    <xf numFmtId="0" fontId="11" fillId="4" borderId="47" xfId="0" applyFont="1" applyFill="1" applyBorder="1"/>
    <xf numFmtId="0" fontId="0" fillId="0" borderId="15" xfId="0" applyBorder="1" applyAlignment="1">
      <alignment horizontal="center"/>
    </xf>
    <xf numFmtId="0" fontId="11" fillId="7" borderId="16" xfId="0" applyFont="1" applyFill="1" applyBorder="1" applyAlignment="1">
      <alignment horizontal="center" vertical="center" wrapText="1"/>
    </xf>
    <xf numFmtId="0" fontId="0" fillId="0" borderId="59" xfId="0" applyBorder="1" applyAlignment="1">
      <alignment horizontal="center"/>
    </xf>
    <xf numFmtId="0" fontId="11" fillId="7" borderId="48" xfId="0" applyFont="1" applyFill="1" applyBorder="1" applyAlignment="1">
      <alignment horizontal="center" vertical="center" wrapText="1"/>
    </xf>
    <xf numFmtId="0" fontId="0" fillId="0" borderId="23" xfId="0" applyBorder="1"/>
    <xf numFmtId="0" fontId="2" fillId="4" borderId="0" xfId="0" applyFont="1" applyFill="1" applyAlignment="1">
      <alignment horizontal="left"/>
    </xf>
    <xf numFmtId="0" fontId="0" fillId="4" borderId="0" xfId="0" applyFill="1" applyAlignment="1">
      <alignment horizontal="left"/>
    </xf>
    <xf numFmtId="0" fontId="0" fillId="4" borderId="23" xfId="0" applyFill="1" applyBorder="1" applyAlignment="1">
      <alignment horizontal="left"/>
    </xf>
    <xf numFmtId="0" fontId="0" fillId="0" borderId="31" xfId="0" applyBorder="1" applyAlignment="1">
      <alignment horizontal="center"/>
    </xf>
    <xf numFmtId="0" fontId="0" fillId="0" borderId="22" xfId="0" applyBorder="1"/>
    <xf numFmtId="0" fontId="2" fillId="4" borderId="26" xfId="0" applyFont="1" applyFill="1" applyBorder="1" applyAlignment="1">
      <alignment horizontal="left"/>
    </xf>
    <xf numFmtId="0" fontId="0" fillId="4" borderId="26" xfId="0" applyFill="1" applyBorder="1" applyAlignment="1">
      <alignment horizontal="left"/>
    </xf>
    <xf numFmtId="0" fontId="0" fillId="4" borderId="27" xfId="0" applyFill="1" applyBorder="1" applyAlignment="1">
      <alignment horizontal="left"/>
    </xf>
    <xf numFmtId="0" fontId="11" fillId="4" borderId="0" xfId="0" applyFont="1" applyFill="1" applyAlignment="1">
      <alignment horizontal="left"/>
    </xf>
    <xf numFmtId="0" fontId="11" fillId="4" borderId="23" xfId="0" applyFont="1" applyFill="1" applyBorder="1" applyAlignment="1">
      <alignment horizontal="left"/>
    </xf>
    <xf numFmtId="0" fontId="11" fillId="4" borderId="9" xfId="0" applyFont="1" applyFill="1" applyBorder="1" applyAlignment="1">
      <alignment horizontal="center"/>
    </xf>
    <xf numFmtId="0" fontId="11" fillId="4" borderId="42" xfId="0" applyFont="1" applyFill="1" applyBorder="1"/>
    <xf numFmtId="0" fontId="11" fillId="4" borderId="35" xfId="0" applyFont="1" applyFill="1" applyBorder="1"/>
    <xf numFmtId="0" fontId="0" fillId="0" borderId="20" xfId="0" applyBorder="1" applyAlignment="1">
      <alignment horizontal="center"/>
    </xf>
    <xf numFmtId="0" fontId="11" fillId="4" borderId="25" xfId="0" applyFont="1" applyFill="1" applyBorder="1"/>
    <xf numFmtId="0" fontId="11" fillId="4" borderId="56" xfId="0" applyFont="1" applyFill="1" applyBorder="1"/>
    <xf numFmtId="0" fontId="11" fillId="4" borderId="57" xfId="0" applyFont="1" applyFill="1" applyBorder="1"/>
    <xf numFmtId="0" fontId="11" fillId="4" borderId="9" xfId="0" applyFont="1" applyFill="1" applyBorder="1"/>
    <xf numFmtId="0" fontId="11" fillId="4" borderId="58" xfId="0" applyFont="1" applyFill="1" applyBorder="1"/>
    <xf numFmtId="0" fontId="11" fillId="4" borderId="20" xfId="0" applyFont="1" applyFill="1" applyBorder="1"/>
    <xf numFmtId="0" fontId="11" fillId="4" borderId="0" xfId="0" applyFont="1" applyFill="1"/>
    <xf numFmtId="0" fontId="11" fillId="4" borderId="23" xfId="0" applyFont="1" applyFill="1" applyBorder="1"/>
    <xf numFmtId="0" fontId="11" fillId="4" borderId="41" xfId="0" applyFont="1" applyFill="1" applyBorder="1"/>
    <xf numFmtId="0" fontId="11" fillId="4" borderId="19" xfId="0" applyFont="1" applyFill="1" applyBorder="1" applyAlignment="1">
      <alignment horizontal="left"/>
    </xf>
    <xf numFmtId="0" fontId="11" fillId="4" borderId="20" xfId="0" applyFont="1" applyFill="1" applyBorder="1" applyAlignment="1">
      <alignment horizontal="left"/>
    </xf>
    <xf numFmtId="0" fontId="11" fillId="4" borderId="18" xfId="0" applyFont="1" applyFill="1" applyBorder="1" applyAlignment="1">
      <alignment horizontal="left"/>
    </xf>
    <xf numFmtId="0" fontId="11" fillId="0" borderId="12" xfId="0" applyFont="1" applyBorder="1" applyAlignment="1">
      <alignment horizontal="left" vertical="center" wrapText="1"/>
    </xf>
    <xf numFmtId="0" fontId="11" fillId="0" borderId="13" xfId="0" applyFont="1" applyBorder="1" applyAlignment="1">
      <alignment horizontal="left" vertical="center" wrapText="1"/>
    </xf>
    <xf numFmtId="0" fontId="11" fillId="0" borderId="0" xfId="0" applyFont="1" applyAlignment="1">
      <alignment horizontal="center" vertical="center" wrapText="1"/>
    </xf>
    <xf numFmtId="0" fontId="11" fillId="4" borderId="70" xfId="0" applyFont="1" applyFill="1" applyBorder="1"/>
    <xf numFmtId="0" fontId="2" fillId="5" borderId="2" xfId="0" applyFont="1" applyFill="1" applyBorder="1" applyAlignment="1">
      <alignment horizontal="centerContinuous" wrapText="1"/>
    </xf>
    <xf numFmtId="0" fontId="2" fillId="5" borderId="3" xfId="0" applyFont="1" applyFill="1" applyBorder="1" applyAlignment="1">
      <alignment horizontal="centerContinuous" wrapText="1"/>
    </xf>
    <xf numFmtId="0" fontId="2" fillId="2" borderId="4" xfId="0" applyFont="1" applyFill="1" applyBorder="1" applyAlignment="1">
      <alignment horizontal="center"/>
    </xf>
    <xf numFmtId="0" fontId="0" fillId="0" borderId="1" xfId="0"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2" fillId="5" borderId="1" xfId="0" applyFont="1" applyFill="1" applyBorder="1" applyAlignment="1">
      <alignment horizontal="centerContinuous" wrapText="1"/>
    </xf>
    <xf numFmtId="0" fontId="0" fillId="0" borderId="1" xfId="0" applyBorder="1" applyAlignment="1">
      <alignment horizontal="center"/>
    </xf>
    <xf numFmtId="0" fontId="2" fillId="5" borderId="1" xfId="0" applyFont="1" applyFill="1" applyBorder="1" applyAlignment="1">
      <alignment horizontal="centerContinuous" vertical="center" wrapText="1"/>
    </xf>
    <xf numFmtId="0" fontId="0" fillId="5" borderId="1" xfId="0" applyFill="1" applyBorder="1" applyAlignment="1">
      <alignment horizontal="centerContinuous" vertical="center" wrapText="1"/>
    </xf>
    <xf numFmtId="0" fontId="0" fillId="5" borderId="1" xfId="0" applyFill="1" applyBorder="1" applyAlignment="1">
      <alignment horizontal="centerContinuous" wrapText="1"/>
    </xf>
    <xf numFmtId="0" fontId="2" fillId="2" borderId="60" xfId="0" applyFont="1" applyFill="1" applyBorder="1"/>
    <xf numFmtId="0" fontId="2" fillId="2" borderId="2" xfId="0" applyFont="1" applyFill="1" applyBorder="1"/>
    <xf numFmtId="0" fontId="2" fillId="2" borderId="1" xfId="0" applyFont="1" applyFill="1" applyBorder="1" applyAlignment="1">
      <alignment horizontal="center" vertical="center"/>
    </xf>
    <xf numFmtId="0" fontId="11" fillId="2" borderId="65" xfId="0" applyFont="1" applyFill="1" applyBorder="1"/>
    <xf numFmtId="0" fontId="11" fillId="2" borderId="54" xfId="0" applyFont="1" applyFill="1" applyBorder="1"/>
    <xf numFmtId="0" fontId="2" fillId="2" borderId="1" xfId="0" applyFont="1" applyFill="1" applyBorder="1" applyAlignment="1">
      <alignment horizontal="center"/>
    </xf>
    <xf numFmtId="0" fontId="11" fillId="2" borderId="66" xfId="0" applyFont="1" applyFill="1" applyBorder="1"/>
    <xf numFmtId="0" fontId="11" fillId="2" borderId="52" xfId="0" applyFont="1" applyFill="1" applyBorder="1"/>
    <xf numFmtId="0" fontId="2" fillId="5" borderId="68" xfId="0" applyFont="1" applyFill="1" applyBorder="1" applyAlignment="1">
      <alignment horizontal="left" wrapText="1"/>
    </xf>
    <xf numFmtId="0" fontId="2" fillId="0" borderId="0" xfId="0" applyFont="1" applyAlignment="1">
      <alignment horizontal="center" wrapText="1"/>
    </xf>
    <xf numFmtId="0" fontId="0" fillId="5" borderId="1" xfId="0" applyFill="1" applyBorder="1" applyAlignment="1">
      <alignment horizontal="centerContinuous"/>
    </xf>
    <xf numFmtId="0" fontId="2" fillId="5" borderId="60" xfId="0" applyFont="1" applyFill="1" applyBorder="1" applyAlignment="1">
      <alignment horizontal="left" wrapText="1"/>
    </xf>
    <xf numFmtId="0" fontId="2" fillId="5" borderId="67" xfId="0" applyFont="1" applyFill="1" applyBorder="1" applyAlignment="1">
      <alignment horizontal="centerContinuous" wrapText="1"/>
    </xf>
    <xf numFmtId="0" fontId="2" fillId="2" borderId="1" xfId="0" applyFont="1" applyFill="1" applyBorder="1" applyAlignment="1">
      <alignment horizontal="center" wrapText="1"/>
    </xf>
    <xf numFmtId="0" fontId="2" fillId="5" borderId="5" xfId="0" applyFont="1" applyFill="1" applyBorder="1" applyAlignment="1">
      <alignment horizontal="left" wrapText="1"/>
    </xf>
    <xf numFmtId="0" fontId="2" fillId="2" borderId="51" xfId="0" applyFont="1" applyFill="1" applyBorder="1" applyAlignment="1">
      <alignment horizontal="center"/>
    </xf>
    <xf numFmtId="0" fontId="0" fillId="0" borderId="49" xfId="0" applyBorder="1"/>
    <xf numFmtId="0" fontId="0" fillId="3" borderId="61" xfId="0" applyFill="1" applyBorder="1" applyAlignment="1">
      <alignment horizontal="centerContinuous"/>
    </xf>
    <xf numFmtId="0" fontId="0" fillId="3" borderId="53" xfId="0" applyFill="1" applyBorder="1" applyAlignment="1">
      <alignment horizontal="centerContinuous"/>
    </xf>
    <xf numFmtId="0" fontId="2" fillId="5" borderId="69" xfId="0" applyFont="1" applyFill="1" applyBorder="1" applyAlignment="1">
      <alignment horizontal="centerContinuous" wrapText="1"/>
    </xf>
    <xf numFmtId="0" fontId="2" fillId="5" borderId="62" xfId="0" applyFont="1" applyFill="1" applyBorder="1" applyAlignment="1">
      <alignment horizontal="centerContinuous" wrapText="1"/>
    </xf>
    <xf numFmtId="0" fontId="2" fillId="5" borderId="65" xfId="0" applyFont="1" applyFill="1" applyBorder="1" applyAlignment="1">
      <alignment horizontal="centerContinuous" vertical="center" wrapText="1"/>
    </xf>
    <xf numFmtId="0" fontId="2" fillId="5" borderId="63" xfId="0" applyFont="1" applyFill="1" applyBorder="1" applyAlignment="1">
      <alignment horizontal="centerContinuous" vertical="center" wrapText="1"/>
    </xf>
    <xf numFmtId="0" fontId="11" fillId="2" borderId="33" xfId="0" applyFont="1" applyFill="1" applyBorder="1" applyAlignment="1">
      <alignment horizontal="left"/>
    </xf>
    <xf numFmtId="0" fontId="11" fillId="2" borderId="32" xfId="0" applyFont="1" applyFill="1" applyBorder="1" applyAlignment="1">
      <alignment horizontal="center"/>
    </xf>
    <xf numFmtId="0" fontId="11" fillId="2" borderId="33" xfId="0" applyFont="1" applyFill="1" applyBorder="1"/>
    <xf numFmtId="0" fontId="0" fillId="3" borderId="32" xfId="0" applyFill="1" applyBorder="1" applyAlignment="1">
      <alignment horizontal="center"/>
    </xf>
    <xf numFmtId="0" fontId="11" fillId="2" borderId="64" xfId="0" applyFont="1" applyFill="1" applyBorder="1"/>
    <xf numFmtId="0" fontId="0" fillId="3" borderId="53" xfId="0" applyFill="1" applyBorder="1" applyAlignment="1">
      <alignment horizontal="center"/>
    </xf>
    <xf numFmtId="0" fontId="2" fillId="5" borderId="51" xfId="0" applyFont="1" applyFill="1" applyBorder="1" applyAlignment="1">
      <alignment horizontal="centerContinuous" wrapText="1"/>
    </xf>
    <xf numFmtId="0" fontId="2" fillId="5" borderId="6" xfId="0" applyFont="1" applyFill="1" applyBorder="1" applyAlignment="1">
      <alignment horizontal="centerContinuous" vertical="center" wrapText="1"/>
    </xf>
    <xf numFmtId="0" fontId="0" fillId="5" borderId="6" xfId="0" applyFill="1" applyBorder="1" applyAlignment="1">
      <alignment horizontal="centerContinuous" vertical="center" wrapText="1"/>
    </xf>
    <xf numFmtId="0" fontId="2" fillId="2" borderId="33" xfId="0" applyFont="1" applyFill="1" applyBorder="1" applyAlignment="1">
      <alignment horizontal="left" vertical="center" wrapText="1"/>
    </xf>
    <xf numFmtId="0" fontId="2" fillId="2" borderId="50" xfId="0" applyFont="1" applyFill="1" applyBorder="1" applyAlignment="1">
      <alignment horizontal="left" vertical="center" wrapText="1"/>
    </xf>
    <xf numFmtId="0" fontId="2" fillId="2" borderId="34" xfId="0" applyFont="1" applyFill="1" applyBorder="1" applyAlignment="1">
      <alignment horizontal="left" vertical="center" wrapText="1"/>
    </xf>
    <xf numFmtId="0" fontId="2" fillId="2" borderId="3" xfId="0" applyFont="1" applyFill="1" applyBorder="1" applyAlignment="1">
      <alignment horizontal="center" vertical="center"/>
    </xf>
    <xf numFmtId="0" fontId="2" fillId="2" borderId="33" xfId="0" applyFont="1" applyFill="1" applyBorder="1" applyAlignment="1">
      <alignment horizontal="left"/>
    </xf>
    <xf numFmtId="0" fontId="0" fillId="2" borderId="50" xfId="0" applyFill="1" applyBorder="1" applyAlignment="1">
      <alignment horizontal="left"/>
    </xf>
    <xf numFmtId="0" fontId="0" fillId="2" borderId="34" xfId="0" applyFill="1" applyBorder="1" applyAlignment="1">
      <alignment horizontal="left"/>
    </xf>
    <xf numFmtId="0" fontId="0" fillId="0" borderId="3" xfId="0" applyBorder="1" applyAlignment="1">
      <alignment horizontal="center"/>
    </xf>
    <xf numFmtId="0" fontId="2" fillId="2" borderId="50" xfId="0" applyFont="1" applyFill="1" applyBorder="1" applyAlignment="1">
      <alignment horizontal="left"/>
    </xf>
    <xf numFmtId="0" fontId="2" fillId="2" borderId="34" xfId="0" applyFont="1" applyFill="1" applyBorder="1" applyAlignment="1">
      <alignment horizontal="left"/>
    </xf>
    <xf numFmtId="0" fontId="2" fillId="2" borderId="3" xfId="0" applyFont="1" applyFill="1" applyBorder="1" applyAlignment="1">
      <alignment horizontal="center"/>
    </xf>
    <xf numFmtId="0" fontId="2" fillId="2" borderId="65" xfId="0" applyFont="1" applyFill="1" applyBorder="1" applyAlignment="1">
      <alignment horizontal="left" vertical="center" wrapText="1"/>
    </xf>
    <xf numFmtId="0" fontId="2" fillId="2" borderId="54" xfId="0" applyFont="1" applyFill="1" applyBorder="1" applyAlignment="1">
      <alignment horizontal="left" vertical="center" wrapText="1"/>
    </xf>
    <xf numFmtId="0" fontId="2" fillId="2" borderId="55" xfId="0" applyFont="1" applyFill="1" applyBorder="1" applyAlignment="1">
      <alignment horizontal="left" vertical="center" wrapText="1"/>
    </xf>
    <xf numFmtId="0" fontId="2" fillId="2" borderId="51" xfId="0" applyFont="1" applyFill="1" applyBorder="1" applyAlignment="1">
      <alignment horizontal="center" vertical="center" wrapText="1"/>
    </xf>
    <xf numFmtId="0" fontId="2" fillId="2" borderId="61" xfId="0" applyFont="1" applyFill="1" applyBorder="1" applyAlignment="1">
      <alignment horizontal="center"/>
    </xf>
    <xf numFmtId="0" fontId="2" fillId="2" borderId="33" xfId="0" applyFont="1" applyFill="1" applyBorder="1" applyAlignment="1">
      <alignment horizontal="left" vertical="center"/>
    </xf>
    <xf numFmtId="0" fontId="2" fillId="2" borderId="50" xfId="0" applyFont="1" applyFill="1" applyBorder="1" applyAlignment="1">
      <alignment horizontal="left" vertical="center"/>
    </xf>
    <xf numFmtId="0" fontId="2" fillId="2" borderId="34" xfId="0" applyFont="1" applyFill="1" applyBorder="1" applyAlignment="1">
      <alignment horizontal="left" vertical="center"/>
    </xf>
    <xf numFmtId="0" fontId="2" fillId="2" borderId="1" xfId="0" applyFont="1" applyFill="1" applyBorder="1"/>
    <xf numFmtId="0" fontId="2" fillId="2" borderId="4" xfId="0" applyFont="1" applyFill="1" applyBorder="1" applyAlignment="1">
      <alignment horizontal="left"/>
    </xf>
    <xf numFmtId="0" fontId="2" fillId="0" borderId="0" xfId="0" applyFont="1" applyAlignment="1">
      <alignment horizontal="center"/>
    </xf>
    <xf numFmtId="0" fontId="3" fillId="5" borderId="5" xfId="0" applyFont="1" applyFill="1" applyBorder="1" applyAlignment="1">
      <alignment horizontal="centerContinuous" wrapText="1"/>
    </xf>
    <xf numFmtId="0" fontId="0" fillId="0" borderId="1" xfId="0" applyBorder="1" applyAlignment="1">
      <alignment horizontal="center" vertical="center"/>
    </xf>
    <xf numFmtId="0" fontId="3" fillId="5" borderId="1" xfId="0" applyFont="1" applyFill="1" applyBorder="1" applyAlignment="1">
      <alignment horizontal="centerContinuous"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horizontal="centerContinuous" vertical="center" wrapText="1"/>
    </xf>
    <xf numFmtId="0" fontId="2" fillId="2" borderId="1" xfId="0" applyFont="1" applyFill="1" applyBorder="1" applyAlignment="1">
      <alignment horizontal="left"/>
    </xf>
    <xf numFmtId="0" fontId="4" fillId="0" borderId="0" xfId="0" applyFont="1" applyAlignment="1">
      <alignment horizontal="center"/>
    </xf>
    <xf numFmtId="0" fontId="5" fillId="0" borderId="0" xfId="0" applyFont="1" applyAlignment="1">
      <alignment horizontal="center"/>
    </xf>
    <xf numFmtId="0" fontId="4" fillId="0" borderId="1" xfId="0" applyFont="1" applyBorder="1" applyAlignment="1">
      <alignment horizontal="center"/>
    </xf>
    <xf numFmtId="0" fontId="2" fillId="5" borderId="5" xfId="0" applyFont="1" applyFill="1" applyBorder="1" applyAlignment="1">
      <alignment horizontal="centerContinuous" wrapText="1"/>
    </xf>
    <xf numFmtId="0" fontId="0" fillId="5" borderId="2" xfId="0" applyFill="1" applyBorder="1" applyAlignment="1">
      <alignment horizontal="centerContinuous" wrapText="1"/>
    </xf>
    <xf numFmtId="0" fontId="0" fillId="5" borderId="3" xfId="0" applyFill="1" applyBorder="1" applyAlignment="1">
      <alignment horizontal="centerContinuous" wrapText="1"/>
    </xf>
    <xf numFmtId="0" fontId="2" fillId="2" borderId="4" xfId="0" applyFont="1" applyFill="1" applyBorder="1"/>
    <xf numFmtId="0" fontId="2" fillId="2" borderId="4" xfId="0" applyFont="1" applyFill="1" applyBorder="1" applyAlignment="1">
      <alignment horizontal="center" vertical="center"/>
    </xf>
    <xf numFmtId="0" fontId="0" fillId="5" borderId="3" xfId="0" applyFill="1" applyBorder="1" applyAlignment="1">
      <alignment horizontal="centerContinuous"/>
    </xf>
    <xf numFmtId="0" fontId="2" fillId="0" borderId="4" xfId="0" applyFont="1" applyBorder="1" applyAlignment="1">
      <alignment horizontal="center" vertical="center"/>
    </xf>
    <xf numFmtId="20" fontId="2" fillId="2" borderId="1" xfId="0" applyNumberFormat="1" applyFont="1" applyFill="1" applyBorder="1" applyAlignment="1">
      <alignment horizontal="center" vertical="center" wrapText="1"/>
    </xf>
    <xf numFmtId="0" fontId="2" fillId="5" borderId="1" xfId="0" applyFont="1" applyFill="1" applyBorder="1" applyAlignment="1">
      <alignment horizontal="centerContinuous"/>
    </xf>
    <xf numFmtId="0" fontId="2" fillId="5" borderId="1" xfId="0" applyFont="1" applyFill="1" applyBorder="1" applyAlignment="1">
      <alignment horizontal="centerContinuous" vertical="center"/>
    </xf>
    <xf numFmtId="0" fontId="2" fillId="2" borderId="6" xfId="0" applyFont="1" applyFill="1" applyBorder="1" applyAlignment="1">
      <alignment horizontal="center" vertical="center" wrapText="1"/>
    </xf>
    <xf numFmtId="0" fontId="2" fillId="2" borderId="32" xfId="0" applyFont="1" applyFill="1" applyBorder="1" applyAlignment="1">
      <alignment horizontal="center"/>
    </xf>
    <xf numFmtId="0" fontId="2" fillId="2" borderId="71" xfId="0" applyFont="1" applyFill="1" applyBorder="1" applyAlignment="1">
      <alignment horizontal="center" vertical="center"/>
    </xf>
    <xf numFmtId="0" fontId="2" fillId="0" borderId="0" xfId="0" applyFont="1" applyAlignment="1">
      <alignment horizontal="center" vertical="center"/>
    </xf>
    <xf numFmtId="0" fontId="2" fillId="2" borderId="1" xfId="0" applyFont="1" applyFill="1" applyBorder="1" applyAlignment="1">
      <alignment horizontal="centerContinuous"/>
    </xf>
    <xf numFmtId="0" fontId="0" fillId="2" borderId="1" xfId="0" applyFill="1" applyBorder="1" applyAlignment="1">
      <alignment horizontal="centerContinuous"/>
    </xf>
    <xf numFmtId="0" fontId="2" fillId="2" borderId="6" xfId="0" applyFont="1" applyFill="1" applyBorder="1" applyAlignment="1">
      <alignment horizontal="center" vertical="center"/>
    </xf>
    <xf numFmtId="0" fontId="0" fillId="0" borderId="1" xfId="0" applyBorder="1"/>
    <xf numFmtId="0" fontId="7" fillId="0" borderId="0" xfId="0" applyFont="1"/>
    <xf numFmtId="0" fontId="17" fillId="0" borderId="0" xfId="1" applyFont="1" applyAlignment="1" applyProtection="1">
      <alignment horizontal="centerContinuous"/>
    </xf>
    <xf numFmtId="0" fontId="2" fillId="2" borderId="110" xfId="0" applyFont="1" applyFill="1" applyBorder="1" applyAlignment="1">
      <alignment horizontal="center" vertical="center"/>
    </xf>
    <xf numFmtId="0" fontId="0" fillId="0" borderId="111" xfId="0" applyBorder="1"/>
    <xf numFmtId="0" fontId="0" fillId="5" borderId="5" xfId="0" applyFill="1" applyBorder="1" applyAlignment="1">
      <alignment horizontal="centerContinuous"/>
    </xf>
    <xf numFmtId="0" fontId="0" fillId="5" borderId="34" xfId="0" applyFill="1" applyBorder="1" applyAlignment="1">
      <alignment horizontal="centerContinuous"/>
    </xf>
    <xf numFmtId="0" fontId="2" fillId="2" borderId="65" xfId="0" applyFont="1" applyFill="1" applyBorder="1" applyAlignment="1">
      <alignment horizontal="left" vertical="center"/>
    </xf>
    <xf numFmtId="0" fontId="1" fillId="0" borderId="0" xfId="0" applyFont="1" applyAlignment="1" applyProtection="1">
      <alignment vertical="center" wrapText="1"/>
      <protection locked="0"/>
    </xf>
    <xf numFmtId="0" fontId="2" fillId="9" borderId="98" xfId="0" applyFont="1" applyFill="1" applyBorder="1" applyAlignment="1" applyProtection="1">
      <alignment horizontal="center" vertical="center"/>
      <protection locked="0"/>
    </xf>
    <xf numFmtId="0" fontId="20" fillId="0" borderId="0" xfId="0" applyFont="1" applyAlignment="1">
      <alignment horizontal="center" wrapText="1"/>
    </xf>
    <xf numFmtId="0" fontId="21" fillId="0" borderId="0" xfId="0" applyFont="1"/>
    <xf numFmtId="0" fontId="14" fillId="10" borderId="97" xfId="0" applyFont="1" applyFill="1" applyBorder="1" applyAlignment="1">
      <alignment horizontal="center" vertical="center"/>
    </xf>
    <xf numFmtId="0" fontId="2" fillId="9" borderId="98" xfId="0" applyFont="1" applyFill="1" applyBorder="1" applyAlignment="1">
      <alignment horizontal="center" vertical="center"/>
    </xf>
    <xf numFmtId="0" fontId="0" fillId="0" borderId="0" xfId="0" applyAlignment="1">
      <alignment vertical="center"/>
    </xf>
    <xf numFmtId="0" fontId="2" fillId="9" borderId="98" xfId="0" applyFont="1" applyFill="1" applyBorder="1" applyAlignment="1">
      <alignment horizontal="center" vertical="center" wrapText="1"/>
    </xf>
    <xf numFmtId="0" fontId="2" fillId="12" borderId="102" xfId="0" applyFont="1" applyFill="1" applyBorder="1" applyAlignment="1">
      <alignment horizontal="center" vertical="center"/>
    </xf>
    <xf numFmtId="0" fontId="2" fillId="12" borderId="103" xfId="0" applyFont="1" applyFill="1" applyBorder="1" applyAlignment="1">
      <alignment horizontal="center" vertical="center"/>
    </xf>
    <xf numFmtId="0" fontId="2" fillId="12" borderId="97" xfId="0" applyFont="1" applyFill="1" applyBorder="1" applyAlignment="1">
      <alignment horizontal="center" vertical="center" wrapText="1"/>
    </xf>
    <xf numFmtId="0" fontId="2" fillId="12" borderId="102" xfId="0" applyFont="1" applyFill="1" applyBorder="1" applyAlignment="1">
      <alignment horizontal="center" vertical="center" wrapText="1"/>
    </xf>
    <xf numFmtId="0" fontId="2" fillId="12" borderId="103" xfId="0" applyFont="1" applyFill="1" applyBorder="1" applyAlignment="1">
      <alignment horizontal="center" vertical="center" wrapText="1"/>
    </xf>
    <xf numFmtId="0" fontId="2" fillId="12" borderId="98" xfId="0" applyFont="1" applyFill="1" applyBorder="1" applyAlignment="1">
      <alignment horizontal="center" vertical="center" wrapText="1"/>
    </xf>
    <xf numFmtId="0" fontId="1" fillId="8" borderId="104" xfId="0" applyFont="1" applyFill="1" applyBorder="1" applyAlignment="1">
      <alignment horizontal="center"/>
    </xf>
    <xf numFmtId="0" fontId="7" fillId="0" borderId="0" xfId="0" applyFont="1" applyAlignment="1">
      <alignment horizontal="center"/>
    </xf>
    <xf numFmtId="0" fontId="1" fillId="8" borderId="97" xfId="0" applyFont="1" applyFill="1" applyBorder="1" applyAlignment="1">
      <alignment horizontal="center"/>
    </xf>
    <xf numFmtId="0" fontId="1" fillId="8" borderId="105" xfId="0" applyFont="1" applyFill="1" applyBorder="1" applyAlignment="1">
      <alignment horizontal="center"/>
    </xf>
    <xf numFmtId="0" fontId="1" fillId="8" borderId="99" xfId="0" applyFont="1" applyFill="1" applyBorder="1" applyAlignment="1">
      <alignment horizontal="center"/>
    </xf>
    <xf numFmtId="0" fontId="1" fillId="8" borderId="100" xfId="0" applyFont="1" applyFill="1" applyBorder="1" applyAlignment="1">
      <alignment horizontal="center"/>
    </xf>
    <xf numFmtId="0" fontId="7" fillId="0" borderId="0" xfId="0" applyFont="1" applyAlignment="1">
      <alignment horizontal="center" vertical="center" wrapText="1"/>
    </xf>
    <xf numFmtId="0" fontId="1" fillId="8" borderId="106" xfId="0" applyFont="1" applyFill="1" applyBorder="1" applyAlignment="1">
      <alignment horizontal="center"/>
    </xf>
    <xf numFmtId="0" fontId="1" fillId="8" borderId="107" xfId="0" applyFont="1" applyFill="1" applyBorder="1" applyAlignment="1">
      <alignment horizontal="center"/>
    </xf>
    <xf numFmtId="0" fontId="7" fillId="0" borderId="0" xfId="0" applyFont="1" applyAlignment="1">
      <alignment vertical="center" wrapText="1"/>
    </xf>
    <xf numFmtId="0" fontId="1" fillId="0" borderId="0" xfId="0" applyFont="1" applyAlignment="1">
      <alignment vertical="center"/>
    </xf>
    <xf numFmtId="0" fontId="1" fillId="0" borderId="0" xfId="0" applyFont="1" applyAlignment="1">
      <alignment horizontal="center" vertical="center"/>
    </xf>
    <xf numFmtId="0" fontId="9" fillId="5" borderId="5" xfId="0" applyFont="1" applyFill="1" applyBorder="1" applyAlignment="1">
      <alignment horizontal="centerContinuous" wrapText="1"/>
    </xf>
    <xf numFmtId="0" fontId="2" fillId="2" borderId="4" xfId="0" applyFont="1" applyFill="1" applyBorder="1" applyAlignment="1">
      <alignment horizontal="center" vertical="center" wrapText="1"/>
    </xf>
    <xf numFmtId="0" fontId="14" fillId="2" borderId="1" xfId="0" applyFont="1" applyFill="1" applyBorder="1" applyAlignment="1">
      <alignment horizontal="left" vertical="center" wrapText="1"/>
    </xf>
    <xf numFmtId="0" fontId="2" fillId="6" borderId="1" xfId="0" applyFont="1" applyFill="1" applyBorder="1" applyAlignment="1">
      <alignment horizontal="left" vertical="center" wrapText="1"/>
    </xf>
    <xf numFmtId="0" fontId="2" fillId="6"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5" borderId="1" xfId="0" applyFont="1" applyFill="1" applyBorder="1" applyAlignment="1">
      <alignment horizontal="center" vertical="center"/>
    </xf>
    <xf numFmtId="0" fontId="2" fillId="0" borderId="1" xfId="0" applyFont="1" applyBorder="1"/>
    <xf numFmtId="165" fontId="2" fillId="0" borderId="1" xfId="0" applyNumberFormat="1" applyFont="1" applyBorder="1" applyAlignment="1">
      <alignment horizontal="center"/>
    </xf>
    <xf numFmtId="0" fontId="2" fillId="6" borderId="1" xfId="0" applyFont="1" applyFill="1" applyBorder="1"/>
    <xf numFmtId="165" fontId="2" fillId="6" borderId="1" xfId="0" applyNumberFormat="1" applyFont="1" applyFill="1" applyBorder="1" applyAlignment="1">
      <alignment horizontal="center"/>
    </xf>
    <xf numFmtId="0" fontId="2" fillId="7" borderId="101" xfId="0" applyFont="1" applyFill="1" applyBorder="1"/>
    <xf numFmtId="0" fontId="2" fillId="7" borderId="75" xfId="0" applyFont="1" applyFill="1" applyBorder="1" applyAlignment="1">
      <alignment horizontal="right"/>
    </xf>
    <xf numFmtId="0" fontId="3" fillId="0" borderId="0" xfId="0" applyFont="1" applyAlignment="1">
      <alignment horizontal="right"/>
    </xf>
    <xf numFmtId="0" fontId="2" fillId="0" borderId="0" xfId="0" applyFont="1" applyAlignment="1">
      <alignment horizontal="left"/>
    </xf>
    <xf numFmtId="0" fontId="2" fillId="7" borderId="0" xfId="0" applyFont="1" applyFill="1"/>
    <xf numFmtId="0" fontId="2" fillId="7" borderId="10" xfId="0" applyFont="1" applyFill="1" applyBorder="1"/>
    <xf numFmtId="0" fontId="2" fillId="7" borderId="8" xfId="0" applyFont="1" applyFill="1" applyBorder="1"/>
    <xf numFmtId="0" fontId="2" fillId="7" borderId="11" xfId="0" applyFont="1" applyFill="1" applyBorder="1"/>
    <xf numFmtId="0" fontId="0" fillId="0" borderId="101" xfId="0" applyBorder="1"/>
    <xf numFmtId="0" fontId="23" fillId="0" borderId="0" xfId="0" applyFont="1"/>
    <xf numFmtId="0" fontId="16" fillId="0" borderId="0" xfId="0" applyFont="1"/>
    <xf numFmtId="0" fontId="6" fillId="0" borderId="0" xfId="0" applyFont="1"/>
    <xf numFmtId="0" fontId="4" fillId="0" borderId="0" xfId="0" applyFont="1" applyAlignment="1">
      <alignment vertical="center"/>
    </xf>
    <xf numFmtId="0" fontId="14" fillId="10" borderId="7" xfId="0" applyFont="1" applyFill="1" applyBorder="1" applyAlignment="1">
      <alignment horizontal="center" vertical="center"/>
    </xf>
    <xf numFmtId="0" fontId="14" fillId="10" borderId="95" xfId="0" applyFont="1" applyFill="1" applyBorder="1" applyAlignment="1">
      <alignment horizontal="center" vertical="center"/>
    </xf>
    <xf numFmtId="0" fontId="14" fillId="10" borderId="95" xfId="0" applyFont="1" applyFill="1" applyBorder="1" applyAlignment="1">
      <alignment horizontal="center" vertical="center" wrapText="1"/>
    </xf>
    <xf numFmtId="0" fontId="14" fillId="9" borderId="7" xfId="0" applyFont="1" applyFill="1" applyBorder="1" applyAlignment="1">
      <alignment horizontal="center" vertical="center"/>
    </xf>
    <xf numFmtId="0" fontId="7" fillId="0" borderId="46" xfId="0" applyFont="1" applyBorder="1" applyAlignment="1">
      <alignment horizontal="center"/>
    </xf>
    <xf numFmtId="49" fontId="7" fillId="0" borderId="7" xfId="0" applyNumberFormat="1" applyFont="1" applyBorder="1" applyAlignment="1">
      <alignment horizontal="center"/>
    </xf>
    <xf numFmtId="0" fontId="7" fillId="0" borderId="17" xfId="0" applyFont="1" applyBorder="1" applyAlignment="1">
      <alignment horizontal="center"/>
    </xf>
    <xf numFmtId="0" fontId="18" fillId="7" borderId="73" xfId="0" applyFont="1" applyFill="1" applyBorder="1" applyAlignment="1">
      <alignment horizontal="left" vertical="center" wrapText="1"/>
    </xf>
    <xf numFmtId="0" fontId="18" fillId="7" borderId="12" xfId="0" applyFont="1" applyFill="1" applyBorder="1" applyAlignment="1">
      <alignment horizontal="center" vertical="center" wrapText="1"/>
    </xf>
    <xf numFmtId="0" fontId="18" fillId="7" borderId="13" xfId="0" applyFont="1" applyFill="1" applyBorder="1" applyAlignment="1">
      <alignment horizontal="center" vertical="center" wrapText="1"/>
    </xf>
    <xf numFmtId="0" fontId="18" fillId="7" borderId="76" xfId="0" applyFont="1" applyFill="1" applyBorder="1" applyAlignment="1">
      <alignment horizontal="center" vertical="center" wrapText="1"/>
    </xf>
    <xf numFmtId="0" fontId="18" fillId="7" borderId="76" xfId="0" applyFont="1" applyFill="1" applyBorder="1" applyAlignment="1">
      <alignment vertical="center" wrapText="1"/>
    </xf>
    <xf numFmtId="0" fontId="18" fillId="3" borderId="76" xfId="0" applyFont="1" applyFill="1" applyBorder="1" applyAlignment="1">
      <alignment horizontal="center" vertical="center" wrapText="1"/>
    </xf>
    <xf numFmtId="0" fontId="18" fillId="3" borderId="72" xfId="0" applyFont="1" applyFill="1" applyBorder="1" applyAlignment="1">
      <alignment horizontal="center" vertical="center" wrapText="1"/>
    </xf>
    <xf numFmtId="0" fontId="19" fillId="0" borderId="74" xfId="0" applyFont="1" applyBorder="1" applyAlignment="1">
      <alignment horizontal="left" vertical="center"/>
    </xf>
    <xf numFmtId="164" fontId="19" fillId="0" borderId="93" xfId="0" applyNumberFormat="1" applyFont="1" applyBorder="1" applyAlignment="1">
      <alignment horizontal="center" vertical="center"/>
    </xf>
    <xf numFmtId="164" fontId="19" fillId="0" borderId="109" xfId="0" applyNumberFormat="1" applyFont="1" applyBorder="1" applyAlignment="1">
      <alignment horizontal="center" vertical="center" wrapText="1"/>
    </xf>
    <xf numFmtId="0" fontId="19" fillId="0" borderId="74" xfId="0" applyFont="1" applyBorder="1" applyAlignment="1">
      <alignment horizontal="center" vertical="center" wrapText="1"/>
    </xf>
    <xf numFmtId="0" fontId="19" fillId="4" borderId="74" xfId="0" applyFont="1" applyFill="1" applyBorder="1" applyAlignment="1">
      <alignment horizontal="center" vertical="center" wrapText="1"/>
    </xf>
    <xf numFmtId="0" fontId="19" fillId="0" borderId="74" xfId="0" applyFont="1" applyBorder="1" applyAlignment="1">
      <alignment horizontal="center" vertical="center"/>
    </xf>
    <xf numFmtId="0" fontId="19" fillId="11" borderId="74" xfId="0" applyFont="1" applyFill="1" applyBorder="1" applyAlignment="1">
      <alignment horizontal="left" vertical="center" wrapText="1"/>
    </xf>
    <xf numFmtId="0" fontId="19" fillId="0" borderId="74" xfId="0" applyFont="1" applyBorder="1" applyAlignment="1">
      <alignment wrapText="1"/>
    </xf>
    <xf numFmtId="0" fontId="19" fillId="0" borderId="74" xfId="0" applyFont="1" applyBorder="1" applyAlignment="1">
      <alignment horizontal="left" vertical="center" wrapText="1"/>
    </xf>
    <xf numFmtId="14" fontId="19" fillId="0" borderId="74" xfId="0" applyNumberFormat="1" applyFont="1" applyBorder="1" applyAlignment="1">
      <alignment horizontal="left" vertical="center"/>
    </xf>
    <xf numFmtId="164" fontId="19" fillId="0" borderId="91" xfId="0" applyNumberFormat="1" applyFont="1" applyBorder="1" applyAlignment="1">
      <alignment horizontal="center" vertical="center"/>
    </xf>
    <xf numFmtId="164" fontId="19" fillId="0" borderId="108" xfId="0" applyNumberFormat="1" applyFont="1" applyBorder="1" applyAlignment="1">
      <alignment horizontal="center" vertical="center" wrapText="1"/>
    </xf>
    <xf numFmtId="0" fontId="2" fillId="7" borderId="77" xfId="0" applyFont="1" applyFill="1" applyBorder="1"/>
    <xf numFmtId="0" fontId="2" fillId="7" borderId="88" xfId="0" applyFont="1" applyFill="1" applyBorder="1"/>
    <xf numFmtId="0" fontId="2" fillId="7" borderId="78" xfId="0" applyFont="1" applyFill="1" applyBorder="1"/>
    <xf numFmtId="0" fontId="2" fillId="7" borderId="79" xfId="0" applyFont="1" applyFill="1" applyBorder="1"/>
    <xf numFmtId="0" fontId="2" fillId="7" borderId="87" xfId="0" applyFont="1" applyFill="1" applyBorder="1"/>
    <xf numFmtId="0" fontId="0" fillId="0" borderId="80" xfId="0" applyBorder="1"/>
    <xf numFmtId="0" fontId="2" fillId="7" borderId="81" xfId="0" applyFont="1" applyFill="1" applyBorder="1"/>
    <xf numFmtId="0" fontId="0" fillId="0" borderId="82" xfId="0" applyBorder="1"/>
    <xf numFmtId="0" fontId="2" fillId="7" borderId="118" xfId="0" applyFont="1" applyFill="1" applyBorder="1"/>
    <xf numFmtId="0" fontId="2" fillId="7" borderId="112" xfId="0" applyFont="1" applyFill="1" applyBorder="1"/>
    <xf numFmtId="0" fontId="2" fillId="7" borderId="84" xfId="0" applyFont="1" applyFill="1" applyBorder="1"/>
    <xf numFmtId="0" fontId="2" fillId="7" borderId="86" xfId="0" applyFont="1" applyFill="1" applyBorder="1"/>
    <xf numFmtId="0" fontId="2" fillId="7" borderId="119" xfId="0" applyFont="1" applyFill="1" applyBorder="1"/>
    <xf numFmtId="0" fontId="2" fillId="7" borderId="85" xfId="0" applyFont="1" applyFill="1" applyBorder="1"/>
    <xf numFmtId="0" fontId="2" fillId="7" borderId="83" xfId="0" applyFont="1" applyFill="1" applyBorder="1"/>
    <xf numFmtId="0" fontId="0" fillId="0" borderId="0" xfId="0" applyProtection="1">
      <protection locked="0"/>
    </xf>
    <xf numFmtId="0" fontId="0" fillId="0" borderId="10" xfId="0" applyBorder="1" applyProtection="1">
      <protection locked="0"/>
    </xf>
    <xf numFmtId="0" fontId="2" fillId="0" borderId="9" xfId="0" applyFont="1" applyBorder="1"/>
    <xf numFmtId="0" fontId="2" fillId="0" borderId="11" xfId="0" applyFont="1" applyBorder="1" applyAlignment="1">
      <alignment horizontal="right"/>
    </xf>
    <xf numFmtId="166" fontId="1" fillId="0" borderId="0" xfId="0" applyNumberFormat="1" applyFont="1" applyAlignment="1" applyProtection="1">
      <alignment horizontal="center" vertical="center"/>
      <protection locked="0"/>
    </xf>
    <xf numFmtId="166" fontId="1" fillId="0" borderId="0" xfId="0" applyNumberFormat="1" applyFont="1" applyAlignment="1" applyProtection="1">
      <alignment horizontal="center" vertical="center" wrapText="1"/>
      <protection locked="0"/>
    </xf>
    <xf numFmtId="1" fontId="0" fillId="0" borderId="1" xfId="0" applyNumberFormat="1" applyBorder="1" applyAlignment="1">
      <alignment horizontal="center" vertical="center"/>
    </xf>
    <xf numFmtId="49" fontId="1" fillId="0" borderId="0" xfId="0" applyNumberFormat="1" applyFont="1" applyAlignment="1" applyProtection="1">
      <alignment horizontal="center" vertical="center"/>
      <protection locked="0"/>
    </xf>
    <xf numFmtId="49" fontId="1" fillId="0" borderId="0" xfId="0" applyNumberFormat="1" applyFont="1" applyAlignment="1" applyProtection="1">
      <alignment horizontal="center" vertical="center" wrapText="1"/>
      <protection locked="0"/>
    </xf>
    <xf numFmtId="49" fontId="1" fillId="0" borderId="105" xfId="0" applyNumberFormat="1" applyFont="1" applyBorder="1" applyAlignment="1" applyProtection="1">
      <alignment horizontal="center"/>
      <protection locked="0"/>
    </xf>
    <xf numFmtId="49" fontId="1" fillId="0" borderId="107" xfId="0" applyNumberFormat="1" applyFont="1" applyBorder="1" applyAlignment="1" applyProtection="1">
      <alignment horizontal="center"/>
      <protection locked="0"/>
    </xf>
    <xf numFmtId="49" fontId="7" fillId="0" borderId="99" xfId="0" applyNumberFormat="1" applyFont="1" applyBorder="1" applyAlignment="1" applyProtection="1">
      <alignment horizontal="center"/>
      <protection locked="0"/>
    </xf>
    <xf numFmtId="49" fontId="7" fillId="0" borderId="100" xfId="0" applyNumberFormat="1" applyFont="1" applyBorder="1" applyAlignment="1" applyProtection="1">
      <alignment horizontal="center"/>
      <protection locked="0"/>
    </xf>
    <xf numFmtId="49" fontId="13" fillId="0" borderId="97" xfId="0" applyNumberFormat="1" applyFont="1" applyBorder="1" applyAlignment="1" applyProtection="1">
      <alignment horizontal="left" vertical="center"/>
      <protection locked="0"/>
    </xf>
    <xf numFmtId="0" fontId="3" fillId="0" borderId="0" xfId="0" applyFont="1" applyAlignment="1">
      <alignment horizontal="center" vertical="center" wrapText="1"/>
    </xf>
    <xf numFmtId="0" fontId="3" fillId="0" borderId="0" xfId="0" applyFont="1" applyAlignment="1">
      <alignment horizontal="center"/>
    </xf>
    <xf numFmtId="0" fontId="2" fillId="0" borderId="0" xfId="0" applyFont="1" applyAlignment="1">
      <alignment horizontal="center"/>
    </xf>
    <xf numFmtId="0" fontId="7" fillId="0" borderId="0" xfId="0" applyFont="1" applyAlignment="1">
      <alignment horizontal="center" wrapText="1"/>
    </xf>
    <xf numFmtId="0" fontId="22" fillId="0" borderId="0" xfId="0" applyFont="1" applyAlignment="1">
      <alignment horizontal="center"/>
    </xf>
    <xf numFmtId="0" fontId="20" fillId="0" borderId="0" xfId="0" applyFont="1" applyAlignment="1">
      <alignment horizontal="center" wrapText="1"/>
    </xf>
    <xf numFmtId="0" fontId="21" fillId="0" borderId="0" xfId="0" applyFont="1" applyAlignment="1">
      <alignment horizontal="center"/>
    </xf>
    <xf numFmtId="0" fontId="11" fillId="7" borderId="12" xfId="0" applyFont="1" applyFill="1" applyBorder="1" applyAlignment="1">
      <alignment horizontal="center" vertical="center" wrapText="1"/>
    </xf>
    <xf numFmtId="0" fontId="11" fillId="7" borderId="13" xfId="0" applyFont="1" applyFill="1" applyBorder="1" applyAlignment="1">
      <alignment horizontal="center" vertical="center" wrapText="1"/>
    </xf>
    <xf numFmtId="0" fontId="11" fillId="7" borderId="14" xfId="0" applyFont="1" applyFill="1" applyBorder="1" applyAlignment="1">
      <alignment horizontal="center" vertical="center" wrapText="1"/>
    </xf>
    <xf numFmtId="0" fontId="11" fillId="4" borderId="21" xfId="0" applyFont="1" applyFill="1" applyBorder="1" applyAlignment="1">
      <alignment horizontal="left"/>
    </xf>
    <xf numFmtId="0" fontId="11" fillId="4" borderId="45" xfId="0" applyFont="1" applyFill="1" applyBorder="1" applyAlignment="1">
      <alignment horizontal="left"/>
    </xf>
    <xf numFmtId="0" fontId="11" fillId="7" borderId="12" xfId="0" applyFont="1" applyFill="1" applyBorder="1" applyAlignment="1">
      <alignment horizontal="left" vertical="center" wrapText="1"/>
    </xf>
    <xf numFmtId="0" fontId="11" fillId="7" borderId="13" xfId="0" applyFont="1" applyFill="1" applyBorder="1" applyAlignment="1">
      <alignment horizontal="left" vertical="center" wrapText="1"/>
    </xf>
    <xf numFmtId="0" fontId="11" fillId="7" borderId="28" xfId="0" applyFont="1" applyFill="1" applyBorder="1" applyAlignment="1">
      <alignment horizontal="left" vertical="center" wrapText="1"/>
    </xf>
    <xf numFmtId="0" fontId="12" fillId="4" borderId="29" xfId="0" applyFont="1" applyFill="1" applyBorder="1" applyAlignment="1">
      <alignment horizontal="left" vertical="center" wrapText="1"/>
    </xf>
    <xf numFmtId="0" fontId="12" fillId="4" borderId="30" xfId="0" applyFont="1" applyFill="1" applyBorder="1" applyAlignment="1">
      <alignment horizontal="left" vertical="center" wrapText="1"/>
    </xf>
    <xf numFmtId="0" fontId="12" fillId="4" borderId="24" xfId="0" applyFont="1" applyFill="1" applyBorder="1" applyAlignment="1">
      <alignment horizontal="left" vertical="center" wrapText="1"/>
    </xf>
    <xf numFmtId="0" fontId="12" fillId="4" borderId="7" xfId="0" applyFont="1" applyFill="1" applyBorder="1" applyAlignment="1">
      <alignment horizontal="left" vertical="center" wrapText="1"/>
    </xf>
    <xf numFmtId="0" fontId="11" fillId="4" borderId="7" xfId="0" applyFont="1" applyFill="1" applyBorder="1" applyAlignment="1">
      <alignment horizontal="left"/>
    </xf>
    <xf numFmtId="0" fontId="11" fillId="7" borderId="38" xfId="0" applyFont="1" applyFill="1" applyBorder="1" applyAlignment="1">
      <alignment horizontal="center" vertical="center" wrapText="1"/>
    </xf>
    <xf numFmtId="0" fontId="11" fillId="7" borderId="39" xfId="0" applyFont="1" applyFill="1" applyBorder="1" applyAlignment="1">
      <alignment horizontal="center" vertical="center" wrapText="1"/>
    </xf>
    <xf numFmtId="0" fontId="11" fillId="7" borderId="40" xfId="0" applyFont="1" applyFill="1" applyBorder="1" applyAlignment="1">
      <alignment horizontal="center" vertical="center" wrapText="1"/>
    </xf>
    <xf numFmtId="0" fontId="11" fillId="7" borderId="36" xfId="0" applyFont="1" applyFill="1" applyBorder="1" applyAlignment="1">
      <alignment horizontal="left" vertical="center" wrapText="1"/>
    </xf>
    <xf numFmtId="0" fontId="11" fillId="7" borderId="37" xfId="0" applyFont="1" applyFill="1" applyBorder="1" applyAlignment="1">
      <alignment horizontal="left" vertical="center" wrapText="1"/>
    </xf>
    <xf numFmtId="0" fontId="11" fillId="4" borderId="43" xfId="0" applyFont="1" applyFill="1" applyBorder="1" applyAlignment="1">
      <alignment horizontal="left"/>
    </xf>
    <xf numFmtId="0" fontId="11" fillId="4" borderId="44" xfId="0" applyFont="1" applyFill="1" applyBorder="1" applyAlignment="1">
      <alignment horizontal="left"/>
    </xf>
    <xf numFmtId="0" fontId="3" fillId="0" borderId="52" xfId="0" applyFont="1" applyBorder="1" applyAlignment="1">
      <alignment horizontal="center"/>
    </xf>
    <xf numFmtId="0" fontId="2" fillId="7" borderId="0" xfId="0" applyFont="1" applyFill="1" applyAlignment="1">
      <alignment horizontal="left"/>
    </xf>
    <xf numFmtId="0" fontId="0" fillId="0" borderId="91" xfId="0" applyBorder="1" applyAlignment="1">
      <alignment horizontal="center"/>
    </xf>
    <xf numFmtId="0" fontId="0" fillId="0" borderId="92" xfId="0" applyBorder="1" applyAlignment="1">
      <alignment horizontal="center"/>
    </xf>
    <xf numFmtId="0" fontId="2" fillId="7" borderId="13" xfId="0" applyFont="1" applyFill="1" applyBorder="1" applyAlignment="1">
      <alignment horizontal="center"/>
    </xf>
    <xf numFmtId="0" fontId="2" fillId="7" borderId="96" xfId="0" applyFont="1" applyFill="1" applyBorder="1" applyAlignment="1">
      <alignment horizontal="center"/>
    </xf>
    <xf numFmtId="0" fontId="2" fillId="7" borderId="84" xfId="0" applyFont="1" applyFill="1" applyBorder="1" applyAlignment="1">
      <alignment horizontal="right"/>
    </xf>
    <xf numFmtId="0" fontId="2" fillId="7" borderId="113" xfId="0" applyFont="1" applyFill="1" applyBorder="1" applyAlignment="1">
      <alignment horizontal="right"/>
    </xf>
    <xf numFmtId="0" fontId="2" fillId="7" borderId="95" xfId="0" applyFont="1" applyFill="1" applyBorder="1" applyAlignment="1">
      <alignment horizontal="right"/>
    </xf>
    <xf numFmtId="0" fontId="2" fillId="7" borderId="9" xfId="0" applyFont="1" applyFill="1" applyBorder="1" applyAlignment="1">
      <alignment horizontal="right"/>
    </xf>
    <xf numFmtId="0" fontId="2" fillId="7" borderId="117" xfId="0" applyFont="1" applyFill="1" applyBorder="1" applyAlignment="1">
      <alignment horizontal="right"/>
    </xf>
    <xf numFmtId="0" fontId="2" fillId="7" borderId="116" xfId="0" applyFont="1" applyFill="1" applyBorder="1" applyAlignment="1">
      <alignment horizontal="right"/>
    </xf>
    <xf numFmtId="0" fontId="0" fillId="0" borderId="114" xfId="0" applyBorder="1" applyAlignment="1">
      <alignment horizontal="center"/>
    </xf>
    <xf numFmtId="0" fontId="0" fillId="0" borderId="115" xfId="0" applyBorder="1" applyAlignment="1">
      <alignment horizontal="center"/>
    </xf>
    <xf numFmtId="164" fontId="19" fillId="0" borderId="91" xfId="0" applyNumberFormat="1" applyFont="1" applyBorder="1" applyAlignment="1">
      <alignment horizontal="center" vertical="center"/>
    </xf>
    <xf numFmtId="164" fontId="19" fillId="0" borderId="92" xfId="0" applyNumberFormat="1" applyFont="1" applyBorder="1" applyAlignment="1">
      <alignment horizontal="center" vertical="center"/>
    </xf>
    <xf numFmtId="164" fontId="19" fillId="0" borderId="93" xfId="0" applyNumberFormat="1" applyFont="1" applyBorder="1" applyAlignment="1">
      <alignment horizontal="center" vertical="center"/>
    </xf>
    <xf numFmtId="164" fontId="19" fillId="0" borderId="94" xfId="0" applyNumberFormat="1" applyFont="1" applyBorder="1" applyAlignment="1">
      <alignment horizontal="center" vertical="center"/>
    </xf>
    <xf numFmtId="0" fontId="18" fillId="7" borderId="12" xfId="0" applyFont="1" applyFill="1" applyBorder="1" applyAlignment="1">
      <alignment horizontal="center" vertical="center" wrapText="1"/>
    </xf>
    <xf numFmtId="0" fontId="18" fillId="7" borderId="14" xfId="0" applyFont="1" applyFill="1" applyBorder="1" applyAlignment="1">
      <alignment horizontal="center" vertical="center" wrapText="1"/>
    </xf>
    <xf numFmtId="0" fontId="13" fillId="0" borderId="19" xfId="0" applyFont="1" applyBorder="1" applyAlignment="1">
      <alignment horizontal="left" vertical="center"/>
    </xf>
    <xf numFmtId="0" fontId="13" fillId="0" borderId="46" xfId="0" applyFont="1" applyBorder="1" applyAlignment="1">
      <alignment horizontal="left" vertical="center"/>
    </xf>
    <xf numFmtId="0" fontId="13" fillId="0" borderId="20" xfId="0" applyFont="1" applyBorder="1" applyAlignment="1">
      <alignment horizontal="left" vertical="center"/>
    </xf>
    <xf numFmtId="0" fontId="18" fillId="7" borderId="13" xfId="0" applyFont="1" applyFill="1" applyBorder="1" applyAlignment="1">
      <alignment horizontal="center" vertical="center" wrapText="1"/>
    </xf>
    <xf numFmtId="0" fontId="19" fillId="0" borderId="91" xfId="0" applyFont="1" applyBorder="1" applyAlignment="1">
      <alignment horizontal="left" vertical="center"/>
    </xf>
    <xf numFmtId="0" fontId="19" fillId="0" borderId="108" xfId="0" applyFont="1" applyBorder="1" applyAlignment="1">
      <alignment horizontal="left" vertical="center"/>
    </xf>
    <xf numFmtId="0" fontId="19" fillId="0" borderId="93" xfId="0" applyFont="1" applyBorder="1" applyAlignment="1">
      <alignment horizontal="left" vertical="center"/>
    </xf>
    <xf numFmtId="0" fontId="19" fillId="0" borderId="109" xfId="0" applyFont="1" applyBorder="1" applyAlignment="1">
      <alignment horizontal="left" vertical="center"/>
    </xf>
    <xf numFmtId="0" fontId="7" fillId="0" borderId="7" xfId="0" applyFont="1" applyBorder="1" applyAlignment="1">
      <alignment horizontal="center" vertical="center" wrapText="1"/>
    </xf>
    <xf numFmtId="0" fontId="14" fillId="9" borderId="7" xfId="0" applyFont="1" applyFill="1" applyBorder="1" applyAlignment="1">
      <alignment horizontal="center" vertical="center" wrapText="1"/>
    </xf>
    <xf numFmtId="0" fontId="20" fillId="0" borderId="95" xfId="0" applyFont="1" applyBorder="1" applyAlignment="1">
      <alignment horizontal="center" wrapText="1"/>
    </xf>
    <xf numFmtId="0" fontId="19" fillId="0" borderId="91" xfId="0" applyFont="1" applyBorder="1" applyAlignment="1">
      <alignment horizontal="center" vertical="center" wrapText="1"/>
    </xf>
    <xf numFmtId="0" fontId="19" fillId="0" borderId="92" xfId="0" applyFont="1" applyBorder="1" applyAlignment="1">
      <alignment horizontal="center" vertical="center" wrapText="1"/>
    </xf>
    <xf numFmtId="0" fontId="19" fillId="0" borderId="93" xfId="0" applyFont="1" applyBorder="1" applyAlignment="1">
      <alignment horizontal="center" vertical="center" wrapText="1"/>
    </xf>
    <xf numFmtId="0" fontId="19" fillId="0" borderId="94" xfId="0" applyFont="1" applyBorder="1" applyAlignment="1">
      <alignment horizontal="center" vertical="center" wrapText="1"/>
    </xf>
    <xf numFmtId="0" fontId="14" fillId="10" borderId="89" xfId="0" applyFont="1" applyFill="1" applyBorder="1" applyAlignment="1">
      <alignment horizontal="left" vertical="center"/>
    </xf>
    <xf numFmtId="0" fontId="14" fillId="10" borderId="90" xfId="0" applyFont="1" applyFill="1" applyBorder="1" applyAlignment="1">
      <alignment horizontal="left" vertical="center"/>
    </xf>
    <xf numFmtId="0" fontId="0" fillId="0" borderId="52" xfId="0" applyBorder="1" applyAlignment="1">
      <alignment horizontal="left"/>
    </xf>
    <xf numFmtId="0" fontId="7" fillId="8" borderId="7" xfId="0" applyFont="1" applyFill="1" applyBorder="1" applyAlignment="1">
      <alignment horizontal="center"/>
    </xf>
    <xf numFmtId="0" fontId="14" fillId="9" borderId="7" xfId="0" applyFont="1" applyFill="1" applyBorder="1" applyAlignment="1">
      <alignment horizontal="center" vertical="center"/>
    </xf>
    <xf numFmtId="0" fontId="0" fillId="0" borderId="93" xfId="0" applyBorder="1" applyAlignment="1">
      <alignment horizontal="center"/>
    </xf>
    <xf numFmtId="0" fontId="0" fillId="0" borderId="94" xfId="0" applyBorder="1" applyAlignment="1">
      <alignment horizontal="center"/>
    </xf>
  </cellXfs>
  <cellStyles count="2">
    <cellStyle name="Hyperlink" xfId="1" builtinId="8"/>
    <cellStyle name="Normal" xfId="0" builtinId="0"/>
  </cellStyles>
  <dxfs count="1005">
    <dxf>
      <font>
        <b/>
        <i val="0"/>
        <color rgb="FFFF0000"/>
      </font>
    </dxf>
    <dxf>
      <font>
        <color rgb="FF9C0006"/>
      </font>
      <fill>
        <patternFill>
          <bgColor rgb="FFFFC7CE"/>
        </patternFill>
      </fill>
    </dxf>
    <dxf>
      <font>
        <color theme="5" tint="-0.24994659260841701"/>
      </font>
      <fill>
        <patternFill>
          <bgColor theme="5" tint="0.39994506668294322"/>
        </patternFill>
      </fill>
    </dxf>
    <dxf>
      <font>
        <b/>
        <i val="0"/>
        <color rgb="FFC00000"/>
      </font>
      <fill>
        <patternFill>
          <bgColor rgb="FFFFCCCC"/>
        </patternFill>
      </fill>
    </dxf>
    <dxf>
      <fill>
        <patternFill patternType="none">
          <bgColor auto="1"/>
        </patternFill>
      </fill>
    </dxf>
    <dxf>
      <font>
        <color rgb="FF9C5700"/>
      </font>
      <fill>
        <patternFill>
          <bgColor rgb="FFFFEB9C"/>
        </patternFill>
      </fill>
    </dxf>
    <dxf>
      <font>
        <color theme="5" tint="-0.24994659260841701"/>
      </font>
      <fill>
        <patternFill>
          <bgColor theme="5" tint="0.39994506668294322"/>
        </patternFill>
      </fill>
    </dxf>
    <dxf>
      <font>
        <color rgb="FF9C0006"/>
      </font>
      <fill>
        <patternFill>
          <bgColor rgb="FFFFC7CE"/>
        </patternFill>
      </fill>
    </dxf>
    <dxf>
      <font>
        <b/>
        <i val="0"/>
        <color rgb="FFC00000"/>
      </font>
      <fill>
        <patternFill>
          <bgColor rgb="FFFFCCCC"/>
        </patternFill>
      </fill>
    </dxf>
    <dxf>
      <fill>
        <patternFill patternType="none">
          <bgColor auto="1"/>
        </patternFill>
      </fill>
    </dxf>
    <dxf>
      <font>
        <color theme="0"/>
      </font>
    </dxf>
    <dxf>
      <font>
        <color theme="4" tint="0.79998168889431442"/>
      </font>
    </dxf>
    <dxf>
      <font>
        <color theme="0"/>
      </font>
    </dxf>
    <dxf>
      <font>
        <color theme="0"/>
      </font>
    </dxf>
    <dxf>
      <font>
        <color theme="0"/>
      </font>
    </dxf>
    <dxf>
      <font>
        <color theme="0"/>
      </font>
    </dxf>
    <dxf>
      <font>
        <color theme="0"/>
      </font>
    </dxf>
    <dxf>
      <font>
        <color theme="0"/>
      </font>
    </dxf>
    <dxf>
      <font>
        <color theme="0"/>
      </font>
    </dxf>
    <dxf>
      <font>
        <color theme="0"/>
      </font>
    </dxf>
    <dxf>
      <font>
        <color theme="4" tint="0.79998168889431442"/>
      </font>
    </dxf>
    <dxf>
      <font>
        <color theme="3"/>
      </font>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5700"/>
      </font>
      <fill>
        <patternFill>
          <bgColor rgb="FFFFF8D9"/>
        </patternFill>
      </fill>
    </dxf>
    <dxf>
      <font>
        <color rgb="FF006100"/>
      </font>
      <fill>
        <patternFill>
          <bgColor rgb="FFE8F8EB"/>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ont>
        <color theme="0"/>
      </font>
    </dxf>
    <dxf>
      <fill>
        <patternFill>
          <bgColor rgb="FFFF0000"/>
        </patternFill>
      </fill>
    </dxf>
    <dxf>
      <fill>
        <patternFill>
          <bgColor rgb="FFFF0000"/>
        </patternFill>
      </fill>
    </dxf>
    <dxf>
      <fill>
        <patternFill>
          <bgColor rgb="FFFF0000"/>
        </patternFill>
      </fill>
    </dxf>
    <dxf>
      <font>
        <color theme="0"/>
      </font>
    </dxf>
    <dxf>
      <font>
        <color theme="0"/>
      </font>
    </dxf>
    <dxf>
      <font>
        <color theme="0"/>
      </font>
    </dxf>
    <dxf>
      <fill>
        <patternFill>
          <bgColor rgb="FFFF0000"/>
        </patternFill>
      </fill>
    </dxf>
    <dxf>
      <font>
        <b/>
        <i val="0"/>
        <color rgb="FFFF0000"/>
      </font>
    </dxf>
    <dxf>
      <font>
        <color rgb="FFFF000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5700"/>
      </font>
      <fill>
        <patternFill>
          <bgColor rgb="FFFFF8D9"/>
        </patternFill>
      </fill>
    </dxf>
    <dxf>
      <font>
        <color rgb="FF006100"/>
      </font>
      <fill>
        <patternFill>
          <bgColor rgb="FFE8F8EB"/>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ont>
        <color theme="0"/>
      </font>
    </dxf>
    <dxf>
      <fill>
        <patternFill>
          <bgColor rgb="FFFF0000"/>
        </patternFill>
      </fill>
    </dxf>
    <dxf>
      <fill>
        <patternFill>
          <bgColor rgb="FFFF0000"/>
        </patternFill>
      </fill>
    </dxf>
    <dxf>
      <fill>
        <patternFill>
          <bgColor rgb="FFFF0000"/>
        </patternFill>
      </fill>
    </dxf>
    <dxf>
      <font>
        <color theme="0"/>
      </font>
    </dxf>
    <dxf>
      <font>
        <color theme="0"/>
      </font>
    </dxf>
    <dxf>
      <font>
        <color theme="0"/>
      </font>
    </dxf>
    <dxf>
      <fill>
        <patternFill>
          <bgColor rgb="FFFF0000"/>
        </patternFill>
      </fill>
    </dxf>
    <dxf>
      <font>
        <b/>
        <i val="0"/>
        <color rgb="FFFF0000"/>
      </font>
    </dxf>
    <dxf>
      <font>
        <color rgb="FFFF000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5700"/>
      </font>
      <fill>
        <patternFill>
          <bgColor rgb="FFFFF8D9"/>
        </patternFill>
      </fill>
    </dxf>
    <dxf>
      <font>
        <color rgb="FF006100"/>
      </font>
      <fill>
        <patternFill>
          <bgColor rgb="FFE8F8EB"/>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ont>
        <color theme="0"/>
      </font>
    </dxf>
    <dxf>
      <fill>
        <patternFill>
          <bgColor rgb="FFFF0000"/>
        </patternFill>
      </fill>
    </dxf>
    <dxf>
      <fill>
        <patternFill>
          <bgColor rgb="FFFF0000"/>
        </patternFill>
      </fill>
    </dxf>
    <dxf>
      <fill>
        <patternFill>
          <bgColor rgb="FFFF0000"/>
        </patternFill>
      </fill>
    </dxf>
    <dxf>
      <font>
        <color theme="0"/>
      </font>
    </dxf>
    <dxf>
      <font>
        <color theme="0"/>
      </font>
    </dxf>
    <dxf>
      <font>
        <color theme="0"/>
      </font>
    </dxf>
    <dxf>
      <fill>
        <patternFill>
          <bgColor rgb="FFFF0000"/>
        </patternFill>
      </fill>
    </dxf>
    <dxf>
      <font>
        <b/>
        <i val="0"/>
        <color rgb="FFFF0000"/>
      </font>
    </dxf>
    <dxf>
      <font>
        <color rgb="FFFF000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5700"/>
      </font>
      <fill>
        <patternFill>
          <bgColor rgb="FFFFF8D9"/>
        </patternFill>
      </fill>
    </dxf>
    <dxf>
      <font>
        <color rgb="FF006100"/>
      </font>
      <fill>
        <patternFill>
          <bgColor rgb="FFE8F8EB"/>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ont>
        <color theme="0"/>
      </font>
    </dxf>
    <dxf>
      <fill>
        <patternFill>
          <bgColor rgb="FFFF0000"/>
        </patternFill>
      </fill>
    </dxf>
    <dxf>
      <fill>
        <patternFill>
          <bgColor rgb="FFFF0000"/>
        </patternFill>
      </fill>
    </dxf>
    <dxf>
      <fill>
        <patternFill>
          <bgColor rgb="FFFF0000"/>
        </patternFill>
      </fill>
    </dxf>
    <dxf>
      <font>
        <color theme="0"/>
      </font>
    </dxf>
    <dxf>
      <font>
        <color theme="0"/>
      </font>
    </dxf>
    <dxf>
      <font>
        <color theme="0"/>
      </font>
    </dxf>
    <dxf>
      <fill>
        <patternFill>
          <bgColor rgb="FFFF0000"/>
        </patternFill>
      </fill>
    </dxf>
    <dxf>
      <font>
        <b/>
        <i val="0"/>
        <color rgb="FFFF0000"/>
      </font>
    </dxf>
    <dxf>
      <font>
        <color rgb="FFFF000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5700"/>
      </font>
      <fill>
        <patternFill>
          <bgColor rgb="FFFFF8D9"/>
        </patternFill>
      </fill>
    </dxf>
    <dxf>
      <font>
        <color rgb="FF006100"/>
      </font>
      <fill>
        <patternFill>
          <bgColor rgb="FFE8F8EB"/>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ont>
        <color theme="0"/>
      </font>
    </dxf>
    <dxf>
      <fill>
        <patternFill>
          <bgColor rgb="FFFF0000"/>
        </patternFill>
      </fill>
    </dxf>
    <dxf>
      <fill>
        <patternFill>
          <bgColor rgb="FFFF0000"/>
        </patternFill>
      </fill>
    </dxf>
    <dxf>
      <fill>
        <patternFill>
          <bgColor rgb="FFFF0000"/>
        </patternFill>
      </fill>
    </dxf>
    <dxf>
      <font>
        <color theme="0"/>
      </font>
    </dxf>
    <dxf>
      <font>
        <color theme="0"/>
      </font>
    </dxf>
    <dxf>
      <font>
        <color theme="0"/>
      </font>
    </dxf>
    <dxf>
      <fill>
        <patternFill>
          <bgColor rgb="FFFF0000"/>
        </patternFill>
      </fill>
    </dxf>
    <dxf>
      <font>
        <b/>
        <i val="0"/>
        <color rgb="FFFF0000"/>
      </font>
    </dxf>
    <dxf>
      <font>
        <color rgb="FFFF000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5700"/>
      </font>
      <fill>
        <patternFill>
          <bgColor rgb="FFFFF8D9"/>
        </patternFill>
      </fill>
    </dxf>
    <dxf>
      <font>
        <color rgb="FF006100"/>
      </font>
      <fill>
        <patternFill>
          <bgColor rgb="FFE8F8EB"/>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ont>
        <color theme="0"/>
      </font>
    </dxf>
    <dxf>
      <fill>
        <patternFill>
          <bgColor rgb="FFFF0000"/>
        </patternFill>
      </fill>
    </dxf>
    <dxf>
      <fill>
        <patternFill>
          <bgColor rgb="FFFF0000"/>
        </patternFill>
      </fill>
    </dxf>
    <dxf>
      <fill>
        <patternFill>
          <bgColor rgb="FFFF0000"/>
        </patternFill>
      </fill>
    </dxf>
    <dxf>
      <font>
        <color theme="0"/>
      </font>
    </dxf>
    <dxf>
      <font>
        <color theme="0"/>
      </font>
    </dxf>
    <dxf>
      <font>
        <color theme="0"/>
      </font>
    </dxf>
    <dxf>
      <fill>
        <patternFill>
          <bgColor rgb="FFFF0000"/>
        </patternFill>
      </fill>
    </dxf>
    <dxf>
      <font>
        <b/>
        <i val="0"/>
        <color rgb="FFFF0000"/>
      </font>
    </dxf>
    <dxf>
      <font>
        <color rgb="FFFF000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5700"/>
      </font>
      <fill>
        <patternFill>
          <bgColor rgb="FFFFF8D9"/>
        </patternFill>
      </fill>
    </dxf>
    <dxf>
      <font>
        <color rgb="FF006100"/>
      </font>
      <fill>
        <patternFill>
          <bgColor rgb="FFE8F8EB"/>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ont>
        <color theme="0"/>
      </font>
    </dxf>
    <dxf>
      <fill>
        <patternFill>
          <bgColor rgb="FFFF0000"/>
        </patternFill>
      </fill>
    </dxf>
    <dxf>
      <fill>
        <patternFill>
          <bgColor rgb="FFFF0000"/>
        </patternFill>
      </fill>
    </dxf>
    <dxf>
      <fill>
        <patternFill>
          <bgColor rgb="FFFF0000"/>
        </patternFill>
      </fill>
    </dxf>
    <dxf>
      <font>
        <color theme="0"/>
      </font>
    </dxf>
    <dxf>
      <font>
        <color theme="0"/>
      </font>
    </dxf>
    <dxf>
      <font>
        <color theme="0"/>
      </font>
    </dxf>
    <dxf>
      <fill>
        <patternFill>
          <bgColor rgb="FFFF0000"/>
        </patternFill>
      </fill>
    </dxf>
    <dxf>
      <font>
        <b/>
        <i val="0"/>
        <color rgb="FFFF0000"/>
      </font>
    </dxf>
    <dxf>
      <font>
        <color rgb="FFFF000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5700"/>
      </font>
      <fill>
        <patternFill>
          <bgColor rgb="FFFFF8D9"/>
        </patternFill>
      </fill>
    </dxf>
    <dxf>
      <font>
        <color rgb="FF006100"/>
      </font>
      <fill>
        <patternFill>
          <bgColor rgb="FFE8F8EB"/>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ont>
        <color theme="0"/>
      </font>
    </dxf>
    <dxf>
      <fill>
        <patternFill>
          <bgColor rgb="FFFF0000"/>
        </patternFill>
      </fill>
    </dxf>
    <dxf>
      <fill>
        <patternFill>
          <bgColor rgb="FFFF0000"/>
        </patternFill>
      </fill>
    </dxf>
    <dxf>
      <fill>
        <patternFill>
          <bgColor rgb="FFFF0000"/>
        </patternFill>
      </fill>
    </dxf>
    <dxf>
      <font>
        <color theme="0"/>
      </font>
    </dxf>
    <dxf>
      <font>
        <color theme="0"/>
      </font>
    </dxf>
    <dxf>
      <font>
        <color theme="0"/>
      </font>
    </dxf>
    <dxf>
      <fill>
        <patternFill>
          <bgColor rgb="FFFF0000"/>
        </patternFill>
      </fill>
    </dxf>
    <dxf>
      <font>
        <b/>
        <i val="0"/>
        <color rgb="FFFF0000"/>
      </font>
    </dxf>
    <dxf>
      <font>
        <color rgb="FFFF000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5700"/>
      </font>
      <fill>
        <patternFill>
          <bgColor rgb="FFFFF8D9"/>
        </patternFill>
      </fill>
    </dxf>
    <dxf>
      <font>
        <color rgb="FF006100"/>
      </font>
      <fill>
        <patternFill>
          <bgColor rgb="FFE8F8EB"/>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ont>
        <color theme="0"/>
      </font>
    </dxf>
    <dxf>
      <fill>
        <patternFill>
          <bgColor rgb="FFFF0000"/>
        </patternFill>
      </fill>
    </dxf>
    <dxf>
      <fill>
        <patternFill>
          <bgColor rgb="FFFF0000"/>
        </patternFill>
      </fill>
    </dxf>
    <dxf>
      <fill>
        <patternFill>
          <bgColor rgb="FFFF0000"/>
        </patternFill>
      </fill>
    </dxf>
    <dxf>
      <font>
        <color theme="0"/>
      </font>
    </dxf>
    <dxf>
      <font>
        <color theme="0"/>
      </font>
    </dxf>
    <dxf>
      <font>
        <color theme="0"/>
      </font>
    </dxf>
    <dxf>
      <fill>
        <patternFill>
          <bgColor rgb="FFFF0000"/>
        </patternFill>
      </fill>
    </dxf>
    <dxf>
      <font>
        <b/>
        <i val="0"/>
        <color rgb="FFFF0000"/>
      </font>
    </dxf>
    <dxf>
      <font>
        <color rgb="FFFF000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5700"/>
      </font>
      <fill>
        <patternFill>
          <bgColor rgb="FFFFF8D9"/>
        </patternFill>
      </fill>
    </dxf>
    <dxf>
      <font>
        <color rgb="FF006100"/>
      </font>
      <fill>
        <patternFill>
          <bgColor rgb="FFE8F8EB"/>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ont>
        <color theme="0"/>
      </font>
    </dxf>
    <dxf>
      <fill>
        <patternFill>
          <bgColor rgb="FFFF0000"/>
        </patternFill>
      </fill>
    </dxf>
    <dxf>
      <fill>
        <patternFill>
          <bgColor rgb="FFFF0000"/>
        </patternFill>
      </fill>
    </dxf>
    <dxf>
      <fill>
        <patternFill>
          <bgColor rgb="FFFF0000"/>
        </patternFill>
      </fill>
    </dxf>
    <dxf>
      <font>
        <color theme="0"/>
      </font>
    </dxf>
    <dxf>
      <font>
        <color theme="0"/>
      </font>
    </dxf>
    <dxf>
      <font>
        <color theme="0"/>
      </font>
    </dxf>
    <dxf>
      <fill>
        <patternFill>
          <bgColor rgb="FFFF0000"/>
        </patternFill>
      </fill>
    </dxf>
    <dxf>
      <font>
        <b/>
        <i val="0"/>
        <color rgb="FFFF0000"/>
      </font>
    </dxf>
    <dxf>
      <font>
        <color rgb="FFFF000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5700"/>
      </font>
      <fill>
        <patternFill>
          <bgColor rgb="FFFFF8D9"/>
        </patternFill>
      </fill>
    </dxf>
    <dxf>
      <font>
        <color rgb="FF006100"/>
      </font>
      <fill>
        <patternFill>
          <bgColor rgb="FFE8F8EB"/>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ont>
        <color theme="0"/>
      </font>
    </dxf>
    <dxf>
      <fill>
        <patternFill>
          <bgColor rgb="FFFF0000"/>
        </patternFill>
      </fill>
    </dxf>
    <dxf>
      <fill>
        <patternFill>
          <bgColor rgb="FFFF0000"/>
        </patternFill>
      </fill>
    </dxf>
    <dxf>
      <fill>
        <patternFill>
          <bgColor rgb="FFFF0000"/>
        </patternFill>
      </fill>
    </dxf>
    <dxf>
      <font>
        <color theme="0"/>
      </font>
    </dxf>
    <dxf>
      <font>
        <color theme="0"/>
      </font>
    </dxf>
    <dxf>
      <font>
        <color theme="0"/>
      </font>
    </dxf>
    <dxf>
      <fill>
        <patternFill>
          <bgColor rgb="FFFF0000"/>
        </patternFill>
      </fill>
    </dxf>
    <dxf>
      <font>
        <b/>
        <i val="0"/>
        <color rgb="FFFF0000"/>
      </font>
    </dxf>
    <dxf>
      <font>
        <color rgb="FFFF000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5700"/>
      </font>
      <fill>
        <patternFill>
          <bgColor rgb="FFFFF8D9"/>
        </patternFill>
      </fill>
    </dxf>
    <dxf>
      <font>
        <color rgb="FF006100"/>
      </font>
      <fill>
        <patternFill>
          <bgColor rgb="FFE8F8EB"/>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ont>
        <color theme="0"/>
      </font>
    </dxf>
    <dxf>
      <fill>
        <patternFill>
          <bgColor rgb="FFFF0000"/>
        </patternFill>
      </fill>
    </dxf>
    <dxf>
      <fill>
        <patternFill>
          <bgColor rgb="FFFF0000"/>
        </patternFill>
      </fill>
    </dxf>
    <dxf>
      <fill>
        <patternFill>
          <bgColor rgb="FFFF0000"/>
        </patternFill>
      </fill>
    </dxf>
    <dxf>
      <font>
        <color theme="0"/>
      </font>
    </dxf>
    <dxf>
      <font>
        <color theme="0"/>
      </font>
    </dxf>
    <dxf>
      <font>
        <color theme="0"/>
      </font>
    </dxf>
    <dxf>
      <fill>
        <patternFill>
          <bgColor rgb="FFFF0000"/>
        </patternFill>
      </fill>
    </dxf>
    <dxf>
      <font>
        <b/>
        <i val="0"/>
        <color rgb="FFFF0000"/>
      </font>
    </dxf>
    <dxf>
      <font>
        <color rgb="FFFF0000"/>
      </font>
      <fill>
        <patternFill>
          <bgColor rgb="FFFF0000"/>
        </patternFill>
      </fill>
    </dxf>
    <dxf>
      <font>
        <b/>
        <i val="0"/>
        <color rgb="FFFF0000"/>
      </font>
    </dxf>
    <dxf>
      <font>
        <b val="0"/>
        <i val="0"/>
        <strike val="0"/>
        <condense val="0"/>
        <extend val="0"/>
        <outline val="0"/>
        <shadow val="0"/>
        <u val="none"/>
        <vertAlign val="baseline"/>
        <sz val="9"/>
        <color theme="1"/>
        <name val="Calibri"/>
        <family val="2"/>
        <scheme val="minor"/>
      </font>
      <alignment horizontal="center" vertical="bottom" textRotation="0" wrapText="0" indent="0" justifyLastLine="0" shrinkToFit="0" readingOrder="0"/>
      <border diagonalUp="0" diagonalDown="0">
        <left/>
        <right/>
        <top style="thin">
          <color theme="2" tint="-0.249977111117893"/>
        </top>
        <bottom style="thin">
          <color theme="2" tint="-0.249977111117893"/>
        </bottom>
        <vertical style="thin">
          <color theme="2" tint="-0.249977111117893"/>
        </vertical>
        <horizontal style="thin">
          <color theme="2" tint="-0.249977111117893"/>
        </horizontal>
      </border>
      <protection locked="1" hidden="0"/>
    </dxf>
    <dxf>
      <border>
        <top style="thin">
          <color theme="2" tint="-0.249977111117893"/>
        </top>
      </border>
    </dxf>
    <dxf>
      <border diagonalUp="0" diagonalDown="0">
        <left style="thin">
          <color theme="2" tint="-0.249977111117893"/>
        </left>
        <right style="thin">
          <color theme="2" tint="-0.249977111117893"/>
        </right>
        <top style="thin">
          <color theme="2" tint="-0.249977111117893"/>
        </top>
        <bottom style="thin">
          <color theme="2" tint="-0.249977111117893"/>
        </bottom>
      </border>
    </dxf>
    <dxf>
      <font>
        <b val="0"/>
        <i val="0"/>
        <strike val="0"/>
        <condense val="0"/>
        <extend val="0"/>
        <outline val="0"/>
        <shadow val="0"/>
        <u val="none"/>
        <vertAlign val="baseline"/>
        <sz val="9"/>
        <color theme="1"/>
        <name val="Calibri"/>
        <family val="2"/>
        <scheme val="minor"/>
      </font>
      <alignment horizontal="center" vertical="bottom" textRotation="0" wrapText="0" indent="0" justifyLastLine="0" shrinkToFit="0" readingOrder="0"/>
      <protection locked="1" hidden="0"/>
    </dxf>
    <dxf>
      <border>
        <bottom style="thin">
          <color theme="2" tint="-0.249977111117893"/>
        </bottom>
      </border>
    </dxf>
    <dxf>
      <font>
        <b/>
        <i val="0"/>
        <strike val="0"/>
        <condense val="0"/>
        <extend val="0"/>
        <outline val="0"/>
        <shadow val="0"/>
        <u val="none"/>
        <vertAlign val="baseline"/>
        <sz val="11"/>
        <color auto="1"/>
        <name val="Calibri"/>
        <family val="2"/>
        <scheme val="minor"/>
      </font>
      <fill>
        <patternFill patternType="solid">
          <fgColor theme="6"/>
          <bgColor theme="0" tint="-0.14999847407452621"/>
        </patternFill>
      </fill>
      <alignment horizontal="center" vertical="center" textRotation="0" wrapText="0" indent="0" justifyLastLine="0" shrinkToFit="0" readingOrder="0"/>
      <border diagonalUp="0" diagonalDown="0">
        <left style="thin">
          <color theme="2" tint="-0.249977111117893"/>
        </left>
        <right style="thin">
          <color theme="2" tint="-0.249977111117893"/>
        </right>
        <top/>
        <bottom/>
        <vertical style="thin">
          <color theme="2" tint="-0.249977111117893"/>
        </vertical>
        <horizontal style="thin">
          <color theme="2" tint="-0.249977111117893"/>
        </horizontal>
      </border>
      <protection locked="1" hidden="0"/>
    </dxf>
    <dxf>
      <font>
        <b val="0"/>
        <i val="0"/>
        <strike val="0"/>
        <condense val="0"/>
        <extend val="0"/>
        <outline val="0"/>
        <shadow val="0"/>
        <u val="none"/>
        <vertAlign val="baseline"/>
        <sz val="9"/>
        <color theme="1"/>
        <name val="Calibri"/>
        <family val="2"/>
        <scheme val="minor"/>
      </font>
      <alignment horizontal="center" vertical="bottom" textRotation="0" wrapText="0" indent="0" justifyLastLine="0" shrinkToFit="0" readingOrder="0"/>
      <border diagonalUp="0" diagonalDown="0">
        <left/>
        <right/>
        <top style="thin">
          <color theme="2" tint="-0.249977111117893"/>
        </top>
        <bottom style="thin">
          <color theme="2" tint="-0.249977111117893"/>
        </bottom>
        <vertical style="thin">
          <color theme="2" tint="-0.249977111117893"/>
        </vertical>
        <horizontal style="thin">
          <color theme="2" tint="-0.249977111117893"/>
        </horizontal>
      </border>
      <protection locked="1" hidden="0"/>
    </dxf>
    <dxf>
      <border>
        <top style="thin">
          <color theme="2" tint="-0.249977111117893"/>
        </top>
      </border>
    </dxf>
    <dxf>
      <border diagonalUp="0" diagonalDown="0">
        <left style="thin">
          <color theme="2" tint="-0.249977111117893"/>
        </left>
        <right style="thin">
          <color theme="2" tint="-0.249977111117893"/>
        </right>
        <top style="thin">
          <color theme="2" tint="-0.249977111117893"/>
        </top>
        <bottom style="thin">
          <color theme="2" tint="-0.249977111117893"/>
        </bottom>
      </border>
    </dxf>
    <dxf>
      <font>
        <b val="0"/>
        <i val="0"/>
        <strike val="0"/>
        <condense val="0"/>
        <extend val="0"/>
        <outline val="0"/>
        <shadow val="0"/>
        <u val="none"/>
        <vertAlign val="baseline"/>
        <sz val="9"/>
        <color theme="1"/>
        <name val="Calibri"/>
        <family val="2"/>
        <scheme val="minor"/>
      </font>
      <alignment horizontal="center" vertical="bottom" textRotation="0" wrapText="0" indent="0" justifyLastLine="0" shrinkToFit="0" readingOrder="0"/>
      <protection locked="1" hidden="0"/>
    </dxf>
    <dxf>
      <border>
        <bottom style="thin">
          <color theme="2" tint="-0.249977111117893"/>
        </bottom>
      </border>
    </dxf>
    <dxf>
      <font>
        <b/>
        <i val="0"/>
        <strike val="0"/>
        <condense val="0"/>
        <extend val="0"/>
        <outline val="0"/>
        <shadow val="0"/>
        <u val="none"/>
        <vertAlign val="baseline"/>
        <sz val="11"/>
        <color auto="1"/>
        <name val="Calibri"/>
        <family val="2"/>
        <scheme val="minor"/>
      </font>
      <fill>
        <patternFill patternType="solid">
          <fgColor theme="6"/>
          <bgColor theme="0" tint="-0.14999847407452621"/>
        </patternFill>
      </fill>
      <alignment horizontal="center" vertical="center" textRotation="0" wrapText="1" indent="0" justifyLastLine="0" shrinkToFit="0" readingOrder="0"/>
      <border diagonalUp="0" diagonalDown="0">
        <left style="thin">
          <color theme="2" tint="-0.249977111117893"/>
        </left>
        <right style="thin">
          <color theme="2" tint="-0.249977111117893"/>
        </right>
        <top/>
        <bottom/>
        <vertical style="thin">
          <color theme="2" tint="-0.249977111117893"/>
        </vertical>
        <horizontal style="thin">
          <color theme="2" tint="-0.249977111117893"/>
        </horizontal>
      </border>
      <protection locked="1" hidden="0"/>
    </dxf>
    <dxf>
      <fill>
        <patternFill patternType="none"/>
      </fill>
      <protection locked="0" hidden="0"/>
    </dxf>
    <dxf>
      <protection locked="1" hidden="0"/>
    </dxf>
    <dxf>
      <protection locked="1" hidden="0"/>
    </dxf>
    <dxf>
      <protection locked="1" hidden="0"/>
    </dxf>
    <dxf>
      <fill>
        <patternFill patternType="none"/>
      </fill>
      <protection locked="0" hidden="0"/>
    </dxf>
    <dxf>
      <protection locked="1" hidden="0"/>
    </dxf>
    <dxf>
      <protection locked="1" hidden="0"/>
    </dxf>
    <dxf>
      <protection locked="1" hidden="0"/>
    </dxf>
    <dxf>
      <fill>
        <patternFill patternType="none"/>
      </fill>
      <protection locked="0" hidden="0"/>
    </dxf>
    <dxf>
      <protection locked="1" hidden="0"/>
    </dxf>
    <dxf>
      <protection locked="1" hidden="0"/>
    </dxf>
    <dxf>
      <protection locked="1" hidden="0"/>
    </dxf>
    <dxf>
      <fill>
        <patternFill patternType="none"/>
      </fill>
      <protection locked="0" hidden="0"/>
    </dxf>
    <dxf>
      <protection locked="1" hidden="0"/>
    </dxf>
    <dxf>
      <protection locked="1" hidden="0"/>
    </dxf>
    <dxf>
      <protection locked="1" hidden="0"/>
    </dxf>
    <dxf>
      <fill>
        <patternFill patternType="none"/>
      </fill>
      <protection locked="0" hidden="0"/>
    </dxf>
    <dxf>
      <protection locked="1" hidden="0"/>
    </dxf>
    <dxf>
      <protection locked="1" hidden="0"/>
    </dxf>
    <dxf>
      <protection locked="1" hidden="0"/>
    </dxf>
    <dxf>
      <fill>
        <patternFill patternType="none"/>
      </fill>
      <protection locked="0" hidden="0"/>
    </dxf>
    <dxf>
      <protection locked="1" hidden="0"/>
    </dxf>
    <dxf>
      <protection locked="1" hidden="0"/>
    </dxf>
    <dxf>
      <protection locked="1" hidden="0"/>
    </dxf>
    <dxf>
      <fill>
        <patternFill patternType="none"/>
      </fill>
      <protection locked="0" hidden="0"/>
    </dxf>
    <dxf>
      <protection locked="1" hidden="0"/>
    </dxf>
    <dxf>
      <protection locked="1" hidden="0"/>
    </dxf>
    <dxf>
      <protection locked="1" hidden="0"/>
    </dxf>
    <dxf>
      <fill>
        <patternFill patternType="none"/>
      </fill>
      <protection locked="0" hidden="0"/>
    </dxf>
    <dxf>
      <protection locked="1" hidden="0"/>
    </dxf>
    <dxf>
      <protection locked="1" hidden="0"/>
    </dxf>
    <dxf>
      <protection locked="1" hidden="0"/>
    </dxf>
    <dxf>
      <fill>
        <patternFill patternType="none"/>
      </fill>
      <protection locked="0" hidden="0"/>
    </dxf>
    <dxf>
      <protection locked="1" hidden="0"/>
    </dxf>
    <dxf>
      <protection locked="1" hidden="0"/>
    </dxf>
    <dxf>
      <protection locked="1" hidden="0"/>
    </dxf>
    <dxf>
      <fill>
        <patternFill patternType="none"/>
      </fill>
      <protection locked="0" hidden="0"/>
    </dxf>
    <dxf>
      <protection locked="1" hidden="0"/>
    </dxf>
    <dxf>
      <protection locked="1" hidden="0"/>
    </dxf>
    <dxf>
      <protection locked="1" hidden="0"/>
    </dxf>
    <dxf>
      <fill>
        <patternFill patternType="none"/>
      </fill>
      <protection locked="0" hidden="0"/>
    </dxf>
    <dxf>
      <protection locked="1" hidden="0"/>
    </dxf>
    <dxf>
      <protection locked="1" hidden="0"/>
    </dxf>
    <dxf>
      <protection locked="1" hidden="0"/>
    </dxf>
    <dxf>
      <fill>
        <patternFill patternType="none"/>
      </fill>
      <protection locked="0" hidden="0"/>
    </dxf>
    <dxf>
      <protection locked="1" hidden="0"/>
    </dxf>
    <dxf>
      <protection locked="1" hidden="0"/>
    </dxf>
    <dxf>
      <protection locked="1" hidden="0"/>
    </dxf>
    <dxf>
      <font>
        <strike val="0"/>
        <outline val="0"/>
        <shadow val="0"/>
        <u val="none"/>
        <vertAlign val="baseline"/>
        <sz val="8"/>
        <color theme="1"/>
        <name val="Calibri"/>
        <family val="2"/>
        <scheme val="minor"/>
      </font>
      <alignment horizontal="left" vertical="center" textRotation="0" wrapText="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alignment horizontal="left" vertical="center" textRotation="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alignment horizontal="left" vertical="center" textRotation="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alignment horizontal="general" vertical="center" textRotation="0" wrapText="1"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8"/>
        <color theme="1"/>
        <name val="Calibri"/>
        <family val="2"/>
        <scheme val="minor"/>
      </font>
      <alignment horizontal="center" vertical="center" textRotation="0" wrapText="1"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8"/>
        <color theme="1"/>
        <name val="Calibri"/>
        <family val="2"/>
        <scheme val="minor"/>
      </font>
      <alignment horizontal="left" vertical="center" textRotation="0" wrapText="1"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8"/>
        <color theme="1"/>
        <name val="Calibri"/>
        <family val="2"/>
        <scheme val="minor"/>
      </font>
      <fill>
        <patternFill patternType="none">
          <fgColor indexed="64"/>
          <bgColor auto="1"/>
        </patternFill>
      </fill>
      <alignment horizontal="left" vertical="center" textRotation="0" wrapText="1"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fill>
        <patternFill patternType="solid">
          <fgColor indexed="64"/>
          <bgColor rgb="FFF7F7F7"/>
        </patternFill>
      </fill>
      <alignment horizontal="center" vertical="center" textRotation="0" indent="0" justifyLastLine="0" shrinkToFit="0" readingOrder="0"/>
      <protection locked="1"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alignment horizontal="center" vertical="center" textRotation="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fill>
        <patternFill patternType="solid">
          <fgColor indexed="64"/>
          <bgColor rgb="FFF7F7F7"/>
        </patternFill>
      </fill>
      <alignment horizontal="center" vertical="center" textRotation="0" indent="0" justifyLastLine="0" shrinkToFit="0" readingOrder="0"/>
      <protection locked="1"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alignment horizontal="center" vertical="center" textRotation="0" wrapText="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numFmt numFmtId="0" formatCode="General"/>
      <fill>
        <patternFill patternType="solid">
          <fgColor indexed="64"/>
          <bgColor rgb="FFF7F7F7"/>
        </patternFill>
      </fill>
      <alignment horizontal="center" vertical="center" textRotation="0" indent="0" justifyLastLine="0" shrinkToFit="0" readingOrder="0"/>
      <protection locked="1"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alignment horizontal="center" vertical="center" textRotation="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alignment horizontal="center" vertical="center" textRotation="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alignment horizontal="center" vertical="center" textRotation="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8"/>
        <color theme="1"/>
        <name val="Calibri"/>
        <family val="2"/>
        <scheme val="minor"/>
      </font>
      <numFmt numFmtId="30" formatCode="@"/>
      <alignment horizontal="center" vertical="center" textRotation="0" wrapText="1"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8"/>
        <color theme="1"/>
        <name val="Calibri"/>
        <family val="2"/>
        <scheme val="minor"/>
      </font>
      <numFmt numFmtId="30" formatCode="@"/>
      <alignment horizontal="center" vertical="center" textRotation="0" wrapText="1"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8"/>
        <color theme="1"/>
        <name val="Calibri"/>
        <family val="2"/>
        <scheme val="minor"/>
      </font>
      <numFmt numFmtId="166" formatCode="mm/dd/yyyy"/>
      <alignment horizontal="center" vertical="center" textRotation="0" wrapText="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8"/>
        <color theme="1"/>
        <name val="Calibri"/>
        <family val="2"/>
        <scheme val="minor"/>
      </font>
      <numFmt numFmtId="166" formatCode="mm/dd/yyyy"/>
      <alignment horizontal="center" vertical="center" textRotation="0" wrapText="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alignment horizontal="left" vertical="center" textRotation="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numFmt numFmtId="30" formatCode="@"/>
      <alignment horizontal="center" vertical="center" textRotation="0" indent="0" justifyLastLine="0" shrinkToFit="0" readingOrder="0"/>
      <protection locked="0" hidden="0"/>
    </dxf>
    <dxf>
      <alignment horizontal="center" vertical="bottom" textRotation="0" wrapText="0" indent="0" justifyLastLine="0" shrinkToFit="0" readingOrder="0"/>
      <protection locked="1" hidden="0"/>
    </dxf>
    <dxf>
      <font>
        <strike val="0"/>
        <outline val="0"/>
        <shadow val="0"/>
        <u val="none"/>
        <vertAlign val="baseline"/>
        <sz val="8"/>
        <color rgb="FF000000"/>
        <name val="Calibri"/>
        <family val="2"/>
        <scheme val="none"/>
      </font>
      <alignment vertical="center" textRotation="0" indent="0" justifyLastLine="0" shrinkToFit="0" readingOrder="0"/>
      <protection locked="1" hidden="0"/>
    </dxf>
    <dxf>
      <font>
        <strike val="0"/>
        <outline val="0"/>
        <shadow val="0"/>
        <u val="none"/>
        <vertAlign val="baseline"/>
        <sz val="8"/>
        <color theme="1"/>
        <name val="Calibri"/>
        <family val="2"/>
        <scheme val="minor"/>
      </font>
      <fill>
        <patternFill patternType="solid">
          <fgColor indexed="64"/>
          <bgColor theme="4" tint="0.79998168889431442"/>
        </patternFill>
      </fill>
      <protection locked="1"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alignment horizontal="left" vertical="center" textRotation="0" wrapText="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alignment horizontal="left" vertical="center" textRotation="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alignment horizontal="left" vertical="center" textRotation="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alignment horizontal="general" vertical="center" textRotation="0" wrapText="1"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8"/>
        <color theme="1"/>
        <name val="Calibri"/>
        <family val="2"/>
        <scheme val="minor"/>
      </font>
      <alignment horizontal="center" vertical="center" textRotation="0" wrapText="1"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8"/>
        <color theme="1"/>
        <name val="Calibri"/>
        <family val="2"/>
        <scheme val="minor"/>
      </font>
      <alignment horizontal="left" vertical="center" textRotation="0" wrapText="1"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8"/>
        <color theme="1"/>
        <name val="Calibri"/>
        <family val="2"/>
        <scheme val="minor"/>
      </font>
      <fill>
        <patternFill patternType="none">
          <fgColor indexed="64"/>
          <bgColor auto="1"/>
        </patternFill>
      </fill>
      <alignment horizontal="left" vertical="center" textRotation="0" wrapText="1"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fill>
        <patternFill patternType="solid">
          <fgColor indexed="64"/>
          <bgColor rgb="FFF7F7F7"/>
        </patternFill>
      </fill>
      <alignment horizontal="center" vertical="center" textRotation="0" indent="0" justifyLastLine="0" shrinkToFit="0" readingOrder="0"/>
      <protection locked="1"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alignment horizontal="center" vertical="center" textRotation="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fill>
        <patternFill patternType="solid">
          <fgColor indexed="64"/>
          <bgColor rgb="FFF7F7F7"/>
        </patternFill>
      </fill>
      <alignment horizontal="center" vertical="center" textRotation="0" indent="0" justifyLastLine="0" shrinkToFit="0" readingOrder="0"/>
      <protection locked="1"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alignment horizontal="center" vertical="center" textRotation="0" wrapText="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numFmt numFmtId="0" formatCode="General"/>
      <fill>
        <patternFill patternType="solid">
          <fgColor indexed="64"/>
          <bgColor rgb="FFF7F7F7"/>
        </patternFill>
      </fill>
      <alignment horizontal="center" vertical="center" textRotation="0" indent="0" justifyLastLine="0" shrinkToFit="0" readingOrder="0"/>
      <protection locked="1"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alignment horizontal="center" vertical="center" textRotation="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alignment horizontal="center" vertical="center" textRotation="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alignment horizontal="center" vertical="center" textRotation="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8"/>
        <color theme="1"/>
        <name val="Calibri"/>
        <family val="2"/>
        <scheme val="minor"/>
      </font>
      <numFmt numFmtId="30" formatCode="@"/>
      <alignment horizontal="center" vertical="center" textRotation="0" wrapText="1"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8"/>
        <color theme="1"/>
        <name val="Calibri"/>
        <family val="2"/>
        <scheme val="minor"/>
      </font>
      <numFmt numFmtId="30" formatCode="@"/>
      <alignment horizontal="center" vertical="center" textRotation="0" wrapText="1"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8"/>
        <color theme="1"/>
        <name val="Calibri"/>
        <family val="2"/>
        <scheme val="minor"/>
      </font>
      <numFmt numFmtId="166" formatCode="mm/dd/yyyy"/>
      <alignment horizontal="center" vertical="center" textRotation="0" wrapText="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8"/>
        <color theme="1"/>
        <name val="Calibri"/>
        <family val="2"/>
        <scheme val="minor"/>
      </font>
      <numFmt numFmtId="166" formatCode="mm/dd/yyyy"/>
      <alignment horizontal="center" vertical="center" textRotation="0" wrapText="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alignment horizontal="left" vertical="center" textRotation="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numFmt numFmtId="30" formatCode="@"/>
      <alignment horizontal="center" vertical="center" textRotation="0" indent="0" justifyLastLine="0" shrinkToFit="0" readingOrder="0"/>
      <protection locked="0" hidden="0"/>
    </dxf>
    <dxf>
      <alignment horizontal="center" vertical="bottom" textRotation="0" wrapText="0" indent="0" justifyLastLine="0" shrinkToFit="0" readingOrder="0"/>
      <protection locked="1" hidden="0"/>
    </dxf>
    <dxf>
      <font>
        <strike val="0"/>
        <outline val="0"/>
        <shadow val="0"/>
        <u val="none"/>
        <vertAlign val="baseline"/>
        <sz val="8"/>
        <color rgb="FF000000"/>
        <name val="Calibri"/>
        <family val="2"/>
        <scheme val="none"/>
      </font>
      <alignment vertical="center" textRotation="0" indent="0" justifyLastLine="0" shrinkToFit="0" readingOrder="0"/>
      <protection locked="1" hidden="0"/>
    </dxf>
    <dxf>
      <font>
        <strike val="0"/>
        <outline val="0"/>
        <shadow val="0"/>
        <u val="none"/>
        <vertAlign val="baseline"/>
        <sz val="8"/>
        <color theme="1"/>
        <name val="Calibri"/>
        <family val="2"/>
        <scheme val="minor"/>
      </font>
      <fill>
        <patternFill patternType="solid">
          <fgColor indexed="64"/>
          <bgColor theme="4" tint="0.79998168889431442"/>
        </patternFill>
      </fill>
      <protection locked="1"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alignment horizontal="left" vertical="center" textRotation="0" wrapText="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alignment horizontal="left" vertical="center" textRotation="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alignment horizontal="left" vertical="center" textRotation="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alignment horizontal="general" vertical="center" textRotation="0" wrapText="1"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8"/>
        <color theme="1"/>
        <name val="Calibri"/>
        <family val="2"/>
        <scheme val="minor"/>
      </font>
      <alignment horizontal="center" vertical="center" textRotation="0" wrapText="1"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8"/>
        <color theme="1"/>
        <name val="Calibri"/>
        <family val="2"/>
        <scheme val="minor"/>
      </font>
      <alignment horizontal="left" vertical="center" textRotation="0" wrapText="1"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8"/>
        <color theme="1"/>
        <name val="Calibri"/>
        <family val="2"/>
        <scheme val="minor"/>
      </font>
      <fill>
        <patternFill patternType="none">
          <fgColor indexed="64"/>
          <bgColor auto="1"/>
        </patternFill>
      </fill>
      <alignment horizontal="left" vertical="center" textRotation="0" wrapText="1"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fill>
        <patternFill patternType="solid">
          <fgColor indexed="64"/>
          <bgColor rgb="FFF7F7F7"/>
        </patternFill>
      </fill>
      <alignment horizontal="center" vertical="center" textRotation="0" indent="0" justifyLastLine="0" shrinkToFit="0" readingOrder="0"/>
      <protection locked="1"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alignment horizontal="center" vertical="center" textRotation="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fill>
        <patternFill patternType="solid">
          <fgColor indexed="64"/>
          <bgColor rgb="FFF7F7F7"/>
        </patternFill>
      </fill>
      <alignment horizontal="center" vertical="center" textRotation="0" indent="0" justifyLastLine="0" shrinkToFit="0" readingOrder="0"/>
      <protection locked="1"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alignment horizontal="center" vertical="center" textRotation="0" wrapText="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numFmt numFmtId="0" formatCode="General"/>
      <fill>
        <patternFill patternType="solid">
          <fgColor indexed="64"/>
          <bgColor rgb="FFF7F7F7"/>
        </patternFill>
      </fill>
      <alignment horizontal="center" vertical="center" textRotation="0" indent="0" justifyLastLine="0" shrinkToFit="0" readingOrder="0"/>
      <protection locked="1"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alignment horizontal="center" vertical="center" textRotation="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alignment horizontal="center" vertical="center" textRotation="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alignment horizontal="center" vertical="center" textRotation="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8"/>
        <color theme="1"/>
        <name val="Calibri"/>
        <family val="2"/>
        <scheme val="minor"/>
      </font>
      <numFmt numFmtId="30" formatCode="@"/>
      <alignment horizontal="center" vertical="center" textRotation="0" wrapText="1"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8"/>
        <color theme="1"/>
        <name val="Calibri"/>
        <family val="2"/>
        <scheme val="minor"/>
      </font>
      <numFmt numFmtId="30" formatCode="@"/>
      <alignment horizontal="center" vertical="center" textRotation="0" wrapText="1"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8"/>
        <color theme="1"/>
        <name val="Calibri"/>
        <family val="2"/>
        <scheme val="minor"/>
      </font>
      <numFmt numFmtId="166" formatCode="mm/dd/yyyy"/>
      <alignment horizontal="center" vertical="center" textRotation="0" wrapText="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8"/>
        <color theme="1"/>
        <name val="Calibri"/>
        <family val="2"/>
        <scheme val="minor"/>
      </font>
      <numFmt numFmtId="166" formatCode="mm/dd/yyyy"/>
      <alignment horizontal="center" vertical="center" textRotation="0" wrapText="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alignment horizontal="left" vertical="center" textRotation="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numFmt numFmtId="30" formatCode="@"/>
      <alignment horizontal="center" vertical="center" textRotation="0" indent="0" justifyLastLine="0" shrinkToFit="0" readingOrder="0"/>
      <protection locked="0" hidden="0"/>
    </dxf>
    <dxf>
      <alignment horizontal="center" vertical="bottom" textRotation="0" wrapText="0" indent="0" justifyLastLine="0" shrinkToFit="0" readingOrder="0"/>
      <protection locked="1" hidden="0"/>
    </dxf>
    <dxf>
      <font>
        <strike val="0"/>
        <outline val="0"/>
        <shadow val="0"/>
        <u val="none"/>
        <vertAlign val="baseline"/>
        <sz val="8"/>
        <color rgb="FF000000"/>
        <name val="Calibri"/>
        <family val="2"/>
        <scheme val="none"/>
      </font>
      <alignment vertical="center" textRotation="0" indent="0" justifyLastLine="0" shrinkToFit="0" readingOrder="0"/>
      <protection locked="1" hidden="0"/>
    </dxf>
    <dxf>
      <font>
        <strike val="0"/>
        <outline val="0"/>
        <shadow val="0"/>
        <u val="none"/>
        <vertAlign val="baseline"/>
        <sz val="8"/>
        <color theme="1"/>
        <name val="Calibri"/>
        <family val="2"/>
        <scheme val="minor"/>
      </font>
      <fill>
        <patternFill patternType="solid">
          <fgColor indexed="64"/>
          <bgColor theme="4" tint="0.79998168889431442"/>
        </patternFill>
      </fill>
      <protection locked="1"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alignment horizontal="left" vertical="center" textRotation="0" wrapText="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alignment horizontal="left" vertical="center" textRotation="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alignment horizontal="left" vertical="center" textRotation="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alignment horizontal="general" vertical="center" textRotation="0" wrapText="1"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8"/>
        <color theme="1"/>
        <name val="Calibri"/>
        <family val="2"/>
        <scheme val="minor"/>
      </font>
      <alignment horizontal="center" vertical="center" textRotation="0" wrapText="1"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8"/>
        <color theme="1"/>
        <name val="Calibri"/>
        <family val="2"/>
        <scheme val="minor"/>
      </font>
      <alignment horizontal="left" vertical="center" textRotation="0" wrapText="1"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8"/>
        <color theme="1"/>
        <name val="Calibri"/>
        <family val="2"/>
        <scheme val="minor"/>
      </font>
      <fill>
        <patternFill patternType="none">
          <fgColor indexed="64"/>
          <bgColor auto="1"/>
        </patternFill>
      </fill>
      <alignment horizontal="left" vertical="center" textRotation="0" wrapText="1"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fill>
        <patternFill patternType="solid">
          <fgColor indexed="64"/>
          <bgColor rgb="FFF7F7F7"/>
        </patternFill>
      </fill>
      <alignment horizontal="center" vertical="center" textRotation="0" indent="0" justifyLastLine="0" shrinkToFit="0" readingOrder="0"/>
      <protection locked="1"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alignment horizontal="center" vertical="center" textRotation="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fill>
        <patternFill patternType="solid">
          <fgColor indexed="64"/>
          <bgColor rgb="FFF7F7F7"/>
        </patternFill>
      </fill>
      <alignment horizontal="center" vertical="center" textRotation="0" indent="0" justifyLastLine="0" shrinkToFit="0" readingOrder="0"/>
      <protection locked="1"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alignment horizontal="center" vertical="center" textRotation="0" wrapText="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numFmt numFmtId="0" formatCode="General"/>
      <fill>
        <patternFill patternType="solid">
          <fgColor indexed="64"/>
          <bgColor rgb="FFF7F7F7"/>
        </patternFill>
      </fill>
      <alignment horizontal="center" vertical="center" textRotation="0" indent="0" justifyLastLine="0" shrinkToFit="0" readingOrder="0"/>
      <protection locked="1"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alignment horizontal="center" vertical="center" textRotation="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alignment horizontal="center" vertical="center" textRotation="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alignment horizontal="center" vertical="center" textRotation="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8"/>
        <color theme="1"/>
        <name val="Calibri"/>
        <family val="2"/>
        <scheme val="minor"/>
      </font>
      <numFmt numFmtId="30" formatCode="@"/>
      <alignment horizontal="center" vertical="center" textRotation="0" wrapText="1"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8"/>
        <color theme="1"/>
        <name val="Calibri"/>
        <family val="2"/>
        <scheme val="minor"/>
      </font>
      <numFmt numFmtId="30" formatCode="@"/>
      <alignment horizontal="center" vertical="center" textRotation="0" wrapText="1"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8"/>
        <color theme="1"/>
        <name val="Calibri"/>
        <family val="2"/>
        <scheme val="minor"/>
      </font>
      <numFmt numFmtId="166" formatCode="mm/dd/yyyy"/>
      <alignment horizontal="center" vertical="center" textRotation="0" wrapText="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8"/>
        <color theme="1"/>
        <name val="Calibri"/>
        <family val="2"/>
        <scheme val="minor"/>
      </font>
      <numFmt numFmtId="166" formatCode="mm/dd/yyyy"/>
      <alignment horizontal="center" vertical="center" textRotation="0" wrapText="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alignment horizontal="left" vertical="center" textRotation="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numFmt numFmtId="30" formatCode="@"/>
      <alignment horizontal="center" vertical="center" textRotation="0" indent="0" justifyLastLine="0" shrinkToFit="0" readingOrder="0"/>
      <protection locked="0" hidden="0"/>
    </dxf>
    <dxf>
      <alignment horizontal="center" vertical="bottom" textRotation="0" wrapText="0" indent="0" justifyLastLine="0" shrinkToFit="0" readingOrder="0"/>
      <protection locked="1" hidden="0"/>
    </dxf>
    <dxf>
      <font>
        <strike val="0"/>
        <outline val="0"/>
        <shadow val="0"/>
        <u val="none"/>
        <vertAlign val="baseline"/>
        <sz val="8"/>
        <color rgb="FF000000"/>
        <name val="Calibri"/>
        <family val="2"/>
        <scheme val="none"/>
      </font>
      <alignment vertical="center" textRotation="0" indent="0" justifyLastLine="0" shrinkToFit="0" readingOrder="0"/>
      <protection locked="1" hidden="0"/>
    </dxf>
    <dxf>
      <font>
        <strike val="0"/>
        <outline val="0"/>
        <shadow val="0"/>
        <u val="none"/>
        <vertAlign val="baseline"/>
        <sz val="8"/>
        <color theme="1"/>
        <name val="Calibri"/>
        <family val="2"/>
        <scheme val="minor"/>
      </font>
      <fill>
        <patternFill patternType="solid">
          <fgColor indexed="64"/>
          <bgColor theme="4" tint="0.79998168889431442"/>
        </patternFill>
      </fill>
      <protection locked="1" hidden="0"/>
    </dxf>
    <dxf>
      <font>
        <strike val="0"/>
        <outline val="0"/>
        <shadow val="0"/>
        <u val="none"/>
        <vertAlign val="baseline"/>
        <sz val="8"/>
        <color theme="1"/>
        <name val="Calibri"/>
        <family val="2"/>
        <scheme val="minor"/>
      </font>
      <alignment horizontal="left" vertical="center" textRotation="0" wrapText="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alignment horizontal="left" vertical="center" textRotation="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alignment horizontal="left" vertical="center" textRotation="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alignment horizontal="general" vertical="center" textRotation="0" wrapText="1"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8"/>
        <color theme="1"/>
        <name val="Calibri"/>
        <family val="2"/>
        <scheme val="minor"/>
      </font>
      <alignment horizontal="center" vertical="center" textRotation="0" wrapText="1"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8"/>
        <color theme="1"/>
        <name val="Calibri"/>
        <family val="2"/>
        <scheme val="minor"/>
      </font>
      <alignment horizontal="left" vertical="center" textRotation="0" wrapText="1"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8"/>
        <color theme="1"/>
        <name val="Calibri"/>
        <family val="2"/>
        <scheme val="minor"/>
      </font>
      <fill>
        <patternFill patternType="none">
          <fgColor indexed="64"/>
          <bgColor auto="1"/>
        </patternFill>
      </fill>
      <alignment horizontal="left" vertical="center" textRotation="0" wrapText="1"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fill>
        <patternFill patternType="solid">
          <fgColor indexed="64"/>
          <bgColor rgb="FFF7F7F7"/>
        </patternFill>
      </fill>
      <alignment horizontal="center" vertical="center" textRotation="0" indent="0" justifyLastLine="0" shrinkToFit="0" readingOrder="0"/>
      <protection locked="1"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alignment horizontal="center" vertical="center" textRotation="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fill>
        <patternFill patternType="solid">
          <fgColor indexed="64"/>
          <bgColor rgb="FFF7F7F7"/>
        </patternFill>
      </fill>
      <alignment horizontal="center" vertical="center" textRotation="0" indent="0" justifyLastLine="0" shrinkToFit="0" readingOrder="0"/>
      <protection locked="1"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alignment horizontal="center" vertical="center" textRotation="0" wrapText="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numFmt numFmtId="0" formatCode="General"/>
      <fill>
        <patternFill patternType="solid">
          <fgColor indexed="64"/>
          <bgColor rgb="FFF7F7F7"/>
        </patternFill>
      </fill>
      <alignment horizontal="center" vertical="center" textRotation="0" indent="0" justifyLastLine="0" shrinkToFit="0" readingOrder="0"/>
      <protection locked="1"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alignment horizontal="center" vertical="center" textRotation="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alignment horizontal="center" vertical="center" textRotation="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alignment horizontal="center" vertical="center" textRotation="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8"/>
        <color theme="1"/>
        <name val="Calibri"/>
        <family val="2"/>
        <scheme val="minor"/>
      </font>
      <numFmt numFmtId="30" formatCode="@"/>
      <alignment horizontal="center" vertical="center" textRotation="0" wrapText="1"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8"/>
        <color theme="1"/>
        <name val="Calibri"/>
        <family val="2"/>
        <scheme val="minor"/>
      </font>
      <numFmt numFmtId="30" formatCode="@"/>
      <alignment horizontal="center" vertical="center" textRotation="0" wrapText="1"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8"/>
        <color theme="1"/>
        <name val="Calibri"/>
        <family val="2"/>
        <scheme val="minor"/>
      </font>
      <numFmt numFmtId="166" formatCode="mm/dd/yyyy"/>
      <alignment horizontal="center" vertical="center" textRotation="0" wrapText="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8"/>
        <color theme="1"/>
        <name val="Calibri"/>
        <family val="2"/>
        <scheme val="minor"/>
      </font>
      <numFmt numFmtId="166" formatCode="mm/dd/yyyy"/>
      <alignment horizontal="center" vertical="center" textRotation="0" wrapText="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alignment horizontal="left" vertical="center" textRotation="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numFmt numFmtId="30" formatCode="@"/>
      <alignment horizontal="center" vertical="center" textRotation="0" indent="0" justifyLastLine="0" shrinkToFit="0" readingOrder="0"/>
      <protection locked="0" hidden="0"/>
    </dxf>
    <dxf>
      <alignment horizontal="center" vertical="bottom" textRotation="0" wrapText="0" indent="0" justifyLastLine="0" shrinkToFit="0" readingOrder="0"/>
      <protection locked="1" hidden="0"/>
    </dxf>
    <dxf>
      <font>
        <strike val="0"/>
        <outline val="0"/>
        <shadow val="0"/>
        <u val="none"/>
        <vertAlign val="baseline"/>
        <sz val="8"/>
        <color rgb="FF000000"/>
        <name val="Calibri"/>
        <family val="2"/>
        <scheme val="none"/>
      </font>
      <alignment vertical="center" textRotation="0" indent="0" justifyLastLine="0" shrinkToFit="0" readingOrder="0"/>
      <protection locked="1" hidden="0"/>
    </dxf>
    <dxf>
      <font>
        <strike val="0"/>
        <outline val="0"/>
        <shadow val="0"/>
        <u val="none"/>
        <vertAlign val="baseline"/>
        <sz val="8"/>
        <color theme="1"/>
        <name val="Calibri"/>
        <family val="2"/>
        <scheme val="minor"/>
      </font>
      <fill>
        <patternFill patternType="solid">
          <fgColor indexed="64"/>
          <bgColor theme="4" tint="0.79998168889431442"/>
        </patternFill>
      </fill>
      <protection locked="1"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alignment horizontal="left" vertical="center" textRotation="0" wrapText="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alignment horizontal="left" vertical="center" textRotation="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alignment horizontal="left" vertical="center" textRotation="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alignment horizontal="general" vertical="center" textRotation="0" wrapText="1"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8"/>
        <color theme="1"/>
        <name val="Calibri"/>
        <family val="2"/>
        <scheme val="minor"/>
      </font>
      <alignment horizontal="center" vertical="center" textRotation="0" wrapText="1"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8"/>
        <color theme="1"/>
        <name val="Calibri"/>
        <family val="2"/>
        <scheme val="minor"/>
      </font>
      <alignment horizontal="left" vertical="center" textRotation="0" wrapText="1"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8"/>
        <color theme="1"/>
        <name val="Calibri"/>
        <family val="2"/>
        <scheme val="minor"/>
      </font>
      <fill>
        <patternFill patternType="none">
          <fgColor indexed="64"/>
          <bgColor auto="1"/>
        </patternFill>
      </fill>
      <alignment horizontal="left" vertical="center" textRotation="0" wrapText="1"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fill>
        <patternFill patternType="solid">
          <fgColor indexed="64"/>
          <bgColor rgb="FFF7F7F7"/>
        </patternFill>
      </fill>
      <alignment horizontal="center" vertical="center" textRotation="0" indent="0" justifyLastLine="0" shrinkToFit="0" readingOrder="0"/>
      <protection locked="1"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alignment horizontal="center" vertical="center" textRotation="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fill>
        <patternFill patternType="solid">
          <fgColor indexed="64"/>
          <bgColor rgb="FFF7F7F7"/>
        </patternFill>
      </fill>
      <alignment horizontal="center" vertical="center" textRotation="0" indent="0" justifyLastLine="0" shrinkToFit="0" readingOrder="0"/>
      <protection locked="1"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alignment horizontal="center" vertical="center" textRotation="0" wrapText="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numFmt numFmtId="0" formatCode="General"/>
      <fill>
        <patternFill patternType="solid">
          <fgColor indexed="64"/>
          <bgColor rgb="FFF7F7F7"/>
        </patternFill>
      </fill>
      <alignment horizontal="center" vertical="center" textRotation="0" indent="0" justifyLastLine="0" shrinkToFit="0" readingOrder="0"/>
      <protection locked="1"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alignment horizontal="center" vertical="center" textRotation="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alignment horizontal="center" vertical="center" textRotation="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alignment horizontal="center" vertical="center" textRotation="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8"/>
        <color theme="1"/>
        <name val="Calibri"/>
        <family val="2"/>
        <scheme val="minor"/>
      </font>
      <numFmt numFmtId="30" formatCode="@"/>
      <alignment horizontal="center" vertical="center" textRotation="0" wrapText="1"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8"/>
        <color theme="1"/>
        <name val="Calibri"/>
        <family val="2"/>
        <scheme val="minor"/>
      </font>
      <numFmt numFmtId="30" formatCode="@"/>
      <alignment horizontal="center" vertical="center" textRotation="0" wrapText="1"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8"/>
        <color theme="1"/>
        <name val="Calibri"/>
        <family val="2"/>
        <scheme val="minor"/>
      </font>
      <numFmt numFmtId="166" formatCode="mm/dd/yyyy"/>
      <alignment horizontal="center" vertical="center" textRotation="0" wrapText="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8"/>
        <color theme="1"/>
        <name val="Calibri"/>
        <family val="2"/>
        <scheme val="minor"/>
      </font>
      <numFmt numFmtId="166" formatCode="mm/dd/yyyy"/>
      <alignment horizontal="center" vertical="center" textRotation="0" wrapText="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alignment horizontal="left" vertical="center" textRotation="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numFmt numFmtId="30" formatCode="@"/>
      <alignment horizontal="center" vertical="center" textRotation="0" indent="0" justifyLastLine="0" shrinkToFit="0" readingOrder="0"/>
      <protection locked="0" hidden="0"/>
    </dxf>
    <dxf>
      <alignment horizontal="center" vertical="bottom" textRotation="0" wrapText="0" indent="0" justifyLastLine="0" shrinkToFit="0" readingOrder="0"/>
      <protection locked="1" hidden="0"/>
    </dxf>
    <dxf>
      <font>
        <strike val="0"/>
        <outline val="0"/>
        <shadow val="0"/>
        <u val="none"/>
        <vertAlign val="baseline"/>
        <sz val="8"/>
        <color rgb="FF000000"/>
        <name val="Calibri"/>
        <family val="2"/>
        <scheme val="none"/>
      </font>
      <alignment vertical="center" textRotation="0" indent="0" justifyLastLine="0" shrinkToFit="0" readingOrder="0"/>
      <protection locked="1" hidden="0"/>
    </dxf>
    <dxf>
      <font>
        <strike val="0"/>
        <outline val="0"/>
        <shadow val="0"/>
        <u val="none"/>
        <vertAlign val="baseline"/>
        <sz val="8"/>
        <color theme="1"/>
        <name val="Calibri"/>
        <family val="2"/>
        <scheme val="minor"/>
      </font>
      <fill>
        <patternFill patternType="solid">
          <fgColor indexed="64"/>
          <bgColor theme="4" tint="0.79998168889431442"/>
        </patternFill>
      </fill>
      <protection locked="1" hidden="0"/>
    </dxf>
    <dxf>
      <font>
        <strike val="0"/>
        <outline val="0"/>
        <shadow val="0"/>
        <u val="none"/>
        <vertAlign val="baseline"/>
        <sz val="8"/>
        <color theme="1"/>
        <name val="Calibri"/>
        <family val="2"/>
        <scheme val="minor"/>
      </font>
      <alignment horizontal="left" vertical="center" textRotation="0" wrapText="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alignment horizontal="left" vertical="center" textRotation="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alignment horizontal="left" vertical="center" textRotation="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alignment horizontal="general" vertical="center" textRotation="0" wrapText="1"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8"/>
        <color theme="1"/>
        <name val="Calibri"/>
        <family val="2"/>
        <scheme val="minor"/>
      </font>
      <alignment horizontal="center" vertical="center" textRotation="0" wrapText="1"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8"/>
        <color theme="1"/>
        <name val="Calibri"/>
        <family val="2"/>
        <scheme val="minor"/>
      </font>
      <alignment horizontal="left" vertical="center" textRotation="0" wrapText="1"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8"/>
        <color theme="1"/>
        <name val="Calibri"/>
        <family val="2"/>
        <scheme val="minor"/>
      </font>
      <fill>
        <patternFill patternType="none">
          <fgColor indexed="64"/>
          <bgColor auto="1"/>
        </patternFill>
      </fill>
      <alignment horizontal="left" vertical="center" textRotation="0" wrapText="1"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fill>
        <patternFill patternType="solid">
          <fgColor indexed="64"/>
          <bgColor rgb="FFF7F7F7"/>
        </patternFill>
      </fill>
      <alignment horizontal="center" vertical="center" textRotation="0" indent="0" justifyLastLine="0" shrinkToFit="0" readingOrder="0"/>
      <protection locked="1"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alignment horizontal="center" vertical="center" textRotation="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fill>
        <patternFill patternType="solid">
          <fgColor indexed="64"/>
          <bgColor rgb="FFF7F7F7"/>
        </patternFill>
      </fill>
      <alignment horizontal="center" vertical="center" textRotation="0" indent="0" justifyLastLine="0" shrinkToFit="0" readingOrder="0"/>
      <protection locked="1"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alignment horizontal="center" vertical="center" textRotation="0" wrapText="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numFmt numFmtId="0" formatCode="General"/>
      <fill>
        <patternFill patternType="solid">
          <fgColor indexed="64"/>
          <bgColor rgb="FFF7F7F7"/>
        </patternFill>
      </fill>
      <alignment horizontal="center" vertical="center" textRotation="0" indent="0" justifyLastLine="0" shrinkToFit="0" readingOrder="0"/>
      <protection locked="1"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alignment horizontal="center" vertical="center" textRotation="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alignment horizontal="center" vertical="center" textRotation="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alignment horizontal="center" vertical="center" textRotation="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8"/>
        <color theme="1"/>
        <name val="Calibri"/>
        <family val="2"/>
        <scheme val="minor"/>
      </font>
      <numFmt numFmtId="30" formatCode="@"/>
      <alignment horizontal="center" vertical="center" textRotation="0" wrapText="1"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8"/>
        <color theme="1"/>
        <name val="Calibri"/>
        <family val="2"/>
        <scheme val="minor"/>
      </font>
      <numFmt numFmtId="30" formatCode="@"/>
      <alignment horizontal="center" vertical="center" textRotation="0" wrapText="1"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8"/>
        <color theme="1"/>
        <name val="Calibri"/>
        <family val="2"/>
        <scheme val="minor"/>
      </font>
      <numFmt numFmtId="166" formatCode="mm/dd/yyyy"/>
      <alignment horizontal="center" vertical="center" textRotation="0" wrapText="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8"/>
        <color theme="1"/>
        <name val="Calibri"/>
        <family val="2"/>
        <scheme val="minor"/>
      </font>
      <numFmt numFmtId="166" formatCode="mm/dd/yyyy"/>
      <alignment horizontal="center" vertical="center" textRotation="0" wrapText="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alignment horizontal="left" vertical="center" textRotation="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numFmt numFmtId="30" formatCode="@"/>
      <alignment horizontal="center" vertical="center" textRotation="0" indent="0" justifyLastLine="0" shrinkToFit="0" readingOrder="0"/>
      <protection locked="0" hidden="0"/>
    </dxf>
    <dxf>
      <alignment horizontal="center" vertical="bottom" textRotation="0" wrapText="0" indent="0" justifyLastLine="0" shrinkToFit="0" readingOrder="0"/>
      <protection locked="1" hidden="0"/>
    </dxf>
    <dxf>
      <font>
        <strike val="0"/>
        <outline val="0"/>
        <shadow val="0"/>
        <u val="none"/>
        <vertAlign val="baseline"/>
        <sz val="8"/>
        <color rgb="FF000000"/>
        <name val="Calibri"/>
        <family val="2"/>
        <scheme val="none"/>
      </font>
      <alignment vertical="center" textRotation="0" indent="0" justifyLastLine="0" shrinkToFit="0" readingOrder="0"/>
      <protection locked="1" hidden="0"/>
    </dxf>
    <dxf>
      <font>
        <strike val="0"/>
        <outline val="0"/>
        <shadow val="0"/>
        <u val="none"/>
        <vertAlign val="baseline"/>
        <sz val="8"/>
        <color theme="1"/>
        <name val="Calibri"/>
        <family val="2"/>
        <scheme val="minor"/>
      </font>
      <fill>
        <patternFill patternType="solid">
          <fgColor indexed="64"/>
          <bgColor theme="4" tint="0.79998168889431442"/>
        </patternFill>
      </fill>
      <protection locked="1"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alignment horizontal="left" vertical="center" textRotation="0" wrapText="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alignment horizontal="left" vertical="center" textRotation="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alignment horizontal="left" vertical="center" textRotation="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alignment horizontal="general" vertical="center" textRotation="0" wrapText="1"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8"/>
        <color theme="1"/>
        <name val="Calibri"/>
        <family val="2"/>
        <scheme val="minor"/>
      </font>
      <alignment horizontal="center" vertical="center" textRotation="0" wrapText="1"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8"/>
        <color theme="1"/>
        <name val="Calibri"/>
        <family val="2"/>
        <scheme val="minor"/>
      </font>
      <alignment horizontal="left" vertical="center" textRotation="0" wrapText="1"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8"/>
        <color theme="1"/>
        <name val="Calibri"/>
        <family val="2"/>
        <scheme val="minor"/>
      </font>
      <fill>
        <patternFill patternType="none">
          <fgColor indexed="64"/>
          <bgColor auto="1"/>
        </patternFill>
      </fill>
      <alignment horizontal="left" vertical="center" textRotation="0" wrapText="1"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fill>
        <patternFill patternType="solid">
          <fgColor indexed="64"/>
          <bgColor rgb="FFF7F7F7"/>
        </patternFill>
      </fill>
      <alignment horizontal="center" vertical="center" textRotation="0" indent="0" justifyLastLine="0" shrinkToFit="0" readingOrder="0"/>
      <protection locked="1"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alignment horizontal="center" vertical="center" textRotation="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fill>
        <patternFill patternType="solid">
          <fgColor indexed="64"/>
          <bgColor rgb="FFF7F7F7"/>
        </patternFill>
      </fill>
      <alignment horizontal="center" vertical="center" textRotation="0" indent="0" justifyLastLine="0" shrinkToFit="0" readingOrder="0"/>
      <protection locked="1"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alignment horizontal="center" vertical="center" textRotation="0" wrapText="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numFmt numFmtId="0" formatCode="General"/>
      <fill>
        <patternFill patternType="solid">
          <fgColor indexed="64"/>
          <bgColor rgb="FFF7F7F7"/>
        </patternFill>
      </fill>
      <alignment horizontal="center" vertical="center" textRotation="0" indent="0" justifyLastLine="0" shrinkToFit="0" readingOrder="0"/>
      <protection locked="1"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alignment horizontal="center" vertical="center" textRotation="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alignment horizontal="center" vertical="center" textRotation="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alignment horizontal="center" vertical="center" textRotation="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8"/>
        <color theme="1"/>
        <name val="Calibri"/>
        <family val="2"/>
        <scheme val="minor"/>
      </font>
      <numFmt numFmtId="30" formatCode="@"/>
      <alignment horizontal="center" vertical="center" textRotation="0" wrapText="1"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8"/>
        <color theme="1"/>
        <name val="Calibri"/>
        <family val="2"/>
        <scheme val="minor"/>
      </font>
      <numFmt numFmtId="30" formatCode="@"/>
      <alignment horizontal="center" vertical="center" textRotation="0" wrapText="1"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8"/>
        <color theme="1"/>
        <name val="Calibri"/>
        <family val="2"/>
        <scheme val="minor"/>
      </font>
      <numFmt numFmtId="166" formatCode="mm/dd/yyyy"/>
      <alignment horizontal="center" vertical="center" textRotation="0" wrapText="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8"/>
        <color theme="1"/>
        <name val="Calibri"/>
        <family val="2"/>
        <scheme val="minor"/>
      </font>
      <numFmt numFmtId="166" formatCode="mm/dd/yyyy"/>
      <alignment horizontal="center" vertical="center" textRotation="0" wrapText="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alignment horizontal="left" vertical="center" textRotation="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numFmt numFmtId="30" formatCode="@"/>
      <alignment horizontal="center" vertical="center" textRotation="0" indent="0" justifyLastLine="0" shrinkToFit="0" readingOrder="0"/>
      <protection locked="0" hidden="0"/>
    </dxf>
    <dxf>
      <alignment horizontal="center" vertical="bottom" textRotation="0" wrapText="0" indent="0" justifyLastLine="0" shrinkToFit="0" readingOrder="0"/>
      <protection locked="1" hidden="0"/>
    </dxf>
    <dxf>
      <font>
        <strike val="0"/>
        <outline val="0"/>
        <shadow val="0"/>
        <u val="none"/>
        <vertAlign val="baseline"/>
        <sz val="8"/>
        <color rgb="FF000000"/>
        <name val="Calibri"/>
        <family val="2"/>
        <scheme val="none"/>
      </font>
      <alignment vertical="center" textRotation="0" indent="0" justifyLastLine="0" shrinkToFit="0" readingOrder="0"/>
      <protection locked="1" hidden="0"/>
    </dxf>
    <dxf>
      <font>
        <strike val="0"/>
        <outline val="0"/>
        <shadow val="0"/>
        <u val="none"/>
        <vertAlign val="baseline"/>
        <sz val="8"/>
        <color theme="1"/>
        <name val="Calibri"/>
        <family val="2"/>
        <scheme val="minor"/>
      </font>
      <fill>
        <patternFill patternType="solid">
          <fgColor indexed="64"/>
          <bgColor theme="4" tint="0.79998168889431442"/>
        </patternFill>
      </fill>
      <protection locked="1"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alignment horizontal="left" vertical="center" textRotation="0" wrapText="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alignment horizontal="left" vertical="center" textRotation="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alignment horizontal="left" vertical="center" textRotation="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alignment horizontal="general" vertical="center" textRotation="0" wrapText="1"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8"/>
        <color theme="1"/>
        <name val="Calibri"/>
        <family val="2"/>
        <scheme val="minor"/>
      </font>
      <alignment horizontal="center" vertical="center" textRotation="0" wrapText="1"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8"/>
        <color theme="1"/>
        <name val="Calibri"/>
        <family val="2"/>
        <scheme val="minor"/>
      </font>
      <alignment horizontal="left" vertical="center" textRotation="0" wrapText="1"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8"/>
        <color theme="1"/>
        <name val="Calibri"/>
        <family val="2"/>
        <scheme val="minor"/>
      </font>
      <fill>
        <patternFill patternType="none">
          <fgColor indexed="64"/>
          <bgColor auto="1"/>
        </patternFill>
      </fill>
      <alignment horizontal="left" vertical="center" textRotation="0" wrapText="1"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fill>
        <patternFill patternType="solid">
          <fgColor indexed="64"/>
          <bgColor rgb="FFF7F7F7"/>
        </patternFill>
      </fill>
      <alignment horizontal="center" vertical="center" textRotation="0" indent="0" justifyLastLine="0" shrinkToFit="0" readingOrder="0"/>
      <protection locked="1"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alignment horizontal="center" vertical="center" textRotation="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fill>
        <patternFill patternType="solid">
          <fgColor indexed="64"/>
          <bgColor rgb="FFF7F7F7"/>
        </patternFill>
      </fill>
      <alignment horizontal="center" vertical="center" textRotation="0" indent="0" justifyLastLine="0" shrinkToFit="0" readingOrder="0"/>
      <protection locked="1"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alignment horizontal="center" vertical="center" textRotation="0" wrapText="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numFmt numFmtId="0" formatCode="General"/>
      <fill>
        <patternFill patternType="solid">
          <fgColor indexed="64"/>
          <bgColor rgb="FFF7F7F7"/>
        </patternFill>
      </fill>
      <alignment horizontal="center" vertical="center" textRotation="0" indent="0" justifyLastLine="0" shrinkToFit="0" readingOrder="0"/>
      <protection locked="1"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alignment horizontal="center" vertical="center" textRotation="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alignment horizontal="center" vertical="center" textRotation="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alignment horizontal="center" vertical="center" textRotation="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8"/>
        <color theme="1"/>
        <name val="Calibri"/>
        <family val="2"/>
        <scheme val="minor"/>
      </font>
      <numFmt numFmtId="30" formatCode="@"/>
      <alignment horizontal="center" vertical="center" textRotation="0" wrapText="1"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8"/>
        <color theme="1"/>
        <name val="Calibri"/>
        <family val="2"/>
        <scheme val="minor"/>
      </font>
      <numFmt numFmtId="30" formatCode="@"/>
      <alignment horizontal="center" vertical="center" textRotation="0" wrapText="1"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8"/>
        <color theme="1"/>
        <name val="Calibri"/>
        <family val="2"/>
        <scheme val="minor"/>
      </font>
      <numFmt numFmtId="166" formatCode="mm/dd/yyyy"/>
      <alignment horizontal="center" vertical="center" textRotation="0" wrapText="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8"/>
        <color theme="1"/>
        <name val="Calibri"/>
        <family val="2"/>
        <scheme val="minor"/>
      </font>
      <numFmt numFmtId="166" formatCode="mm/dd/yyyy"/>
      <alignment horizontal="center" vertical="center" textRotation="0" wrapText="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alignment horizontal="left" vertical="center" textRotation="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numFmt numFmtId="30" formatCode="@"/>
      <alignment horizontal="center" vertical="center" textRotation="0" indent="0" justifyLastLine="0" shrinkToFit="0" readingOrder="0"/>
      <protection locked="0" hidden="0"/>
    </dxf>
    <dxf>
      <alignment horizontal="center" vertical="bottom" textRotation="0" wrapText="0" indent="0" justifyLastLine="0" shrinkToFit="0" readingOrder="0"/>
      <protection locked="1" hidden="0"/>
    </dxf>
    <dxf>
      <font>
        <strike val="0"/>
        <outline val="0"/>
        <shadow val="0"/>
        <u val="none"/>
        <vertAlign val="baseline"/>
        <sz val="8"/>
        <color rgb="FF000000"/>
        <name val="Calibri"/>
        <family val="2"/>
        <scheme val="none"/>
      </font>
      <alignment vertical="center" textRotation="0" indent="0" justifyLastLine="0" shrinkToFit="0" readingOrder="0"/>
      <protection locked="1" hidden="0"/>
    </dxf>
    <dxf>
      <font>
        <strike val="0"/>
        <outline val="0"/>
        <shadow val="0"/>
        <u val="none"/>
        <vertAlign val="baseline"/>
        <sz val="8"/>
        <color theme="1"/>
        <name val="Calibri"/>
        <family val="2"/>
        <scheme val="minor"/>
      </font>
      <fill>
        <patternFill patternType="solid">
          <fgColor indexed="64"/>
          <bgColor theme="4" tint="0.79998168889431442"/>
        </patternFill>
      </fill>
      <protection locked="1" hidden="0"/>
    </dxf>
    <dxf>
      <font>
        <strike val="0"/>
        <outline val="0"/>
        <shadow val="0"/>
        <u val="none"/>
        <vertAlign val="baseline"/>
        <sz val="8"/>
        <color theme="1"/>
        <name val="Calibri"/>
        <family val="2"/>
        <scheme val="minor"/>
      </font>
      <alignment horizontal="left" vertical="center" textRotation="0" wrapText="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alignment horizontal="left" vertical="center" textRotation="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alignment horizontal="left" vertical="center" textRotation="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alignment horizontal="general" vertical="center" textRotation="0" wrapText="1"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8"/>
        <color theme="1"/>
        <name val="Calibri"/>
        <family val="2"/>
        <scheme val="minor"/>
      </font>
      <alignment horizontal="center" vertical="center" textRotation="0" wrapText="1"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8"/>
        <color theme="1"/>
        <name val="Calibri"/>
        <family val="2"/>
        <scheme val="minor"/>
      </font>
      <alignment horizontal="left" vertical="center" textRotation="0" wrapText="1"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8"/>
        <color theme="1"/>
        <name val="Calibri"/>
        <family val="2"/>
        <scheme val="minor"/>
      </font>
      <fill>
        <patternFill patternType="none">
          <fgColor indexed="64"/>
          <bgColor auto="1"/>
        </patternFill>
      </fill>
      <alignment horizontal="left" vertical="center" textRotation="0" wrapText="1"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fill>
        <patternFill patternType="solid">
          <fgColor indexed="64"/>
          <bgColor rgb="FFF7F7F7"/>
        </patternFill>
      </fill>
      <alignment horizontal="center" vertical="center" textRotation="0" indent="0" justifyLastLine="0" shrinkToFit="0" readingOrder="0"/>
      <protection locked="1"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alignment horizontal="center" vertical="center" textRotation="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fill>
        <patternFill patternType="solid">
          <fgColor indexed="64"/>
          <bgColor rgb="FFF7F7F7"/>
        </patternFill>
      </fill>
      <alignment horizontal="center" vertical="center" textRotation="0" indent="0" justifyLastLine="0" shrinkToFit="0" readingOrder="0"/>
      <protection locked="1"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alignment horizontal="center" vertical="center" textRotation="0" wrapText="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numFmt numFmtId="0" formatCode="General"/>
      <fill>
        <patternFill patternType="solid">
          <fgColor indexed="64"/>
          <bgColor rgb="FFF7F7F7"/>
        </patternFill>
      </fill>
      <alignment horizontal="center" vertical="center" textRotation="0" indent="0" justifyLastLine="0" shrinkToFit="0" readingOrder="0"/>
      <protection locked="1"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alignment horizontal="center" vertical="center" textRotation="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alignment horizontal="center" vertical="center" textRotation="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alignment horizontal="center" vertical="center" textRotation="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8"/>
        <color theme="1"/>
        <name val="Calibri"/>
        <family val="2"/>
        <scheme val="minor"/>
      </font>
      <numFmt numFmtId="30" formatCode="@"/>
      <alignment horizontal="center" vertical="center" textRotation="0" wrapText="1"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8"/>
        <color theme="1"/>
        <name val="Calibri"/>
        <family val="2"/>
        <scheme val="minor"/>
      </font>
      <numFmt numFmtId="30" formatCode="@"/>
      <alignment horizontal="center" vertical="center" textRotation="0" wrapText="1"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8"/>
        <color theme="1"/>
        <name val="Calibri"/>
        <family val="2"/>
        <scheme val="minor"/>
      </font>
      <numFmt numFmtId="166" formatCode="mm/dd/yyyy"/>
      <alignment horizontal="center" vertical="center" textRotation="0" wrapText="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8"/>
        <color theme="1"/>
        <name val="Calibri"/>
        <family val="2"/>
        <scheme val="minor"/>
      </font>
      <numFmt numFmtId="166" formatCode="mm/dd/yyyy"/>
      <alignment horizontal="center" vertical="center" textRotation="0" wrapText="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alignment horizontal="left" vertical="center" textRotation="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numFmt numFmtId="30" formatCode="@"/>
      <alignment horizontal="center" vertical="center" textRotation="0" indent="0" justifyLastLine="0" shrinkToFit="0" readingOrder="0"/>
      <protection locked="0" hidden="0"/>
    </dxf>
    <dxf>
      <alignment horizontal="center" vertical="bottom" textRotation="0" wrapText="0" indent="0" justifyLastLine="0" shrinkToFit="0" readingOrder="0"/>
      <protection locked="1" hidden="0"/>
    </dxf>
    <dxf>
      <font>
        <strike val="0"/>
        <outline val="0"/>
        <shadow val="0"/>
        <u val="none"/>
        <vertAlign val="baseline"/>
        <sz val="8"/>
        <color rgb="FF000000"/>
        <name val="Calibri"/>
        <family val="2"/>
        <scheme val="none"/>
      </font>
      <alignment vertical="center" textRotation="0" indent="0" justifyLastLine="0" shrinkToFit="0" readingOrder="0"/>
      <protection locked="1" hidden="0"/>
    </dxf>
    <dxf>
      <font>
        <strike val="0"/>
        <outline val="0"/>
        <shadow val="0"/>
        <u val="none"/>
        <vertAlign val="baseline"/>
        <sz val="8"/>
        <color theme="1"/>
        <name val="Calibri"/>
        <family val="2"/>
        <scheme val="minor"/>
      </font>
      <fill>
        <patternFill patternType="solid">
          <fgColor indexed="64"/>
          <bgColor theme="4" tint="0.79998168889431442"/>
        </patternFill>
      </fill>
      <protection locked="1"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alignment horizontal="left" vertical="center" textRotation="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alignment horizontal="left" vertical="center" textRotation="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alignment horizontal="left" vertical="center" textRotation="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alignment horizontal="general" vertical="center" textRotation="0" wrapText="1"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8"/>
        <color theme="1"/>
        <name val="Calibri"/>
        <family val="2"/>
        <scheme val="minor"/>
      </font>
      <alignment horizontal="center" vertical="center" textRotation="0" wrapText="1"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8"/>
        <color theme="1"/>
        <name val="Calibri"/>
        <family val="2"/>
        <scheme val="minor"/>
      </font>
      <alignment horizontal="left" vertical="center" textRotation="0" wrapText="1"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8"/>
        <color theme="1"/>
        <name val="Calibri"/>
        <family val="2"/>
        <scheme val="minor"/>
      </font>
      <fill>
        <patternFill patternType="none">
          <fgColor indexed="64"/>
          <bgColor auto="1"/>
        </patternFill>
      </fill>
      <alignment horizontal="left" vertical="center" textRotation="0" wrapText="1"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fill>
        <patternFill patternType="solid">
          <fgColor indexed="64"/>
          <bgColor rgb="FFF7F7F7"/>
        </patternFill>
      </fill>
      <alignment horizontal="center" vertical="center" textRotation="0" indent="0" justifyLastLine="0" shrinkToFit="0" readingOrder="0"/>
      <protection locked="1"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alignment horizontal="center" vertical="center" textRotation="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fill>
        <patternFill patternType="solid">
          <fgColor indexed="64"/>
          <bgColor rgb="FFF7F7F7"/>
        </patternFill>
      </fill>
      <alignment horizontal="center" vertical="center" textRotation="0" indent="0" justifyLastLine="0" shrinkToFit="0" readingOrder="0"/>
      <protection locked="1"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alignment horizontal="center" vertical="center" textRotation="0" wrapText="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numFmt numFmtId="0" formatCode="General"/>
      <fill>
        <patternFill patternType="solid">
          <fgColor indexed="64"/>
          <bgColor rgb="FFF7F7F7"/>
        </patternFill>
      </fill>
      <alignment horizontal="center" vertical="center" textRotation="0" indent="0" justifyLastLine="0" shrinkToFit="0" readingOrder="0"/>
      <protection locked="1"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alignment horizontal="center" vertical="center" textRotation="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alignment horizontal="center" vertical="center" textRotation="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alignment horizontal="center" vertical="center" textRotation="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8"/>
        <color theme="1"/>
        <name val="Calibri"/>
        <family val="2"/>
        <scheme val="minor"/>
      </font>
      <numFmt numFmtId="30" formatCode="@"/>
      <alignment horizontal="center" vertical="center" textRotation="0" wrapText="1"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8"/>
        <color theme="1"/>
        <name val="Calibri"/>
        <family val="2"/>
        <scheme val="minor"/>
      </font>
      <numFmt numFmtId="30" formatCode="@"/>
      <alignment horizontal="center" vertical="center" textRotation="0" wrapText="1"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8"/>
        <color theme="1"/>
        <name val="Calibri"/>
        <family val="2"/>
        <scheme val="minor"/>
      </font>
      <numFmt numFmtId="166" formatCode="mm/dd/yyyy"/>
      <alignment horizontal="center" vertical="center" textRotation="0" wrapText="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8"/>
        <color theme="1"/>
        <name val="Calibri"/>
        <family val="2"/>
        <scheme val="minor"/>
      </font>
      <numFmt numFmtId="166" formatCode="mm/dd/yyyy"/>
      <alignment horizontal="center" vertical="center" textRotation="0" wrapText="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alignment horizontal="left" vertical="center" textRotation="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numFmt numFmtId="30" formatCode="@"/>
      <alignment horizontal="center" vertical="center" textRotation="0" indent="0" justifyLastLine="0" shrinkToFit="0" readingOrder="0"/>
      <protection locked="0" hidden="0"/>
    </dxf>
    <dxf>
      <alignment horizontal="center" vertical="bottom" textRotation="0" wrapText="0" indent="0" justifyLastLine="0" shrinkToFit="0" readingOrder="0"/>
      <protection locked="1" hidden="0"/>
    </dxf>
    <dxf>
      <font>
        <strike val="0"/>
        <outline val="0"/>
        <shadow val="0"/>
        <u val="none"/>
        <vertAlign val="baseline"/>
        <sz val="8"/>
        <color rgb="FF000000"/>
        <name val="Calibri"/>
        <family val="2"/>
        <scheme val="none"/>
      </font>
      <alignment vertical="center" textRotation="0" indent="0" justifyLastLine="0" shrinkToFit="0" readingOrder="0"/>
      <protection locked="1" hidden="0"/>
    </dxf>
    <dxf>
      <font>
        <b val="0"/>
        <i val="0"/>
        <strike val="0"/>
        <condense val="0"/>
        <extend val="0"/>
        <outline val="0"/>
        <shadow val="0"/>
        <u val="none"/>
        <vertAlign val="baseline"/>
        <sz val="8"/>
        <color theme="1"/>
        <name val="Calibri"/>
        <family val="2"/>
        <scheme val="minor"/>
      </font>
      <fill>
        <patternFill patternType="solid">
          <fgColor indexed="64"/>
          <bgColor theme="0"/>
        </patternFill>
      </fill>
      <alignment horizontal="center" vertical="center" textRotation="0" wrapText="1" indent="0" justifyLastLine="0" shrinkToFit="0" readingOrder="0"/>
      <protection locked="1" hidden="0"/>
    </dxf>
    <dxf>
      <font>
        <strike val="0"/>
        <outline val="0"/>
        <shadow val="0"/>
        <u val="none"/>
        <vertAlign val="baseline"/>
        <sz val="8"/>
        <color theme="1"/>
        <name val="Calibri"/>
        <family val="2"/>
        <scheme val="minor"/>
      </font>
      <alignment horizontal="left" vertical="center" textRotation="0" wrapText="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alignment horizontal="left" vertical="center" textRotation="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alignment horizontal="left" vertical="center" textRotation="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alignment horizontal="general" vertical="center" textRotation="0" wrapText="1"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8"/>
        <color theme="1"/>
        <name val="Calibri"/>
        <family val="2"/>
        <scheme val="minor"/>
      </font>
      <alignment horizontal="center" vertical="center" textRotation="0" wrapText="1"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8"/>
        <color theme="1"/>
        <name val="Calibri"/>
        <family val="2"/>
        <scheme val="minor"/>
      </font>
      <alignment horizontal="left" vertical="center" textRotation="0" wrapText="1"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8"/>
        <color theme="1"/>
        <name val="Calibri"/>
        <family val="2"/>
        <scheme val="minor"/>
      </font>
      <fill>
        <patternFill patternType="none">
          <fgColor indexed="64"/>
          <bgColor auto="1"/>
        </patternFill>
      </fill>
      <alignment horizontal="left" vertical="center" textRotation="0" wrapText="1"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fill>
        <patternFill patternType="solid">
          <fgColor indexed="64"/>
          <bgColor rgb="FFF7F7F7"/>
        </patternFill>
      </fill>
      <alignment horizontal="center" vertical="center" textRotation="0" indent="0" justifyLastLine="0" shrinkToFit="0" readingOrder="0"/>
      <protection locked="1"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alignment horizontal="center" vertical="center" textRotation="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fill>
        <patternFill patternType="solid">
          <fgColor indexed="64"/>
          <bgColor rgb="FFF7F7F7"/>
        </patternFill>
      </fill>
      <alignment horizontal="center" vertical="center" textRotation="0" indent="0" justifyLastLine="0" shrinkToFit="0" readingOrder="0"/>
      <protection locked="1"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alignment horizontal="center" vertical="center" textRotation="0" wrapText="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numFmt numFmtId="0" formatCode="General"/>
      <fill>
        <patternFill patternType="solid">
          <fgColor indexed="64"/>
          <bgColor rgb="FFF7F7F7"/>
        </patternFill>
      </fill>
      <alignment horizontal="center" vertical="center" textRotation="0" indent="0" justifyLastLine="0" shrinkToFit="0" readingOrder="0"/>
      <protection locked="1"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alignment horizontal="center" vertical="center" textRotation="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alignment horizontal="center" vertical="center" textRotation="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alignment horizontal="center" vertical="center" textRotation="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8"/>
        <color theme="1"/>
        <name val="Calibri"/>
        <family val="2"/>
        <scheme val="minor"/>
      </font>
      <numFmt numFmtId="30" formatCode="@"/>
      <alignment horizontal="center" vertical="center" textRotation="0" wrapText="1"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8"/>
        <color theme="1"/>
        <name val="Calibri"/>
        <family val="2"/>
        <scheme val="minor"/>
      </font>
      <numFmt numFmtId="30" formatCode="@"/>
      <alignment horizontal="center" vertical="center" textRotation="0" wrapText="1"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8"/>
        <color theme="1"/>
        <name val="Calibri"/>
        <family val="2"/>
        <scheme val="minor"/>
      </font>
      <numFmt numFmtId="166" formatCode="mm/dd/yyyy"/>
      <alignment horizontal="center" vertical="center" textRotation="0" wrapText="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8"/>
        <color theme="1"/>
        <name val="Calibri"/>
        <family val="2"/>
        <scheme val="minor"/>
      </font>
      <numFmt numFmtId="166" formatCode="mm/dd/yyyy"/>
      <alignment horizontal="center" vertical="center" textRotation="0" wrapText="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alignment horizontal="left" vertical="center" textRotation="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strike val="0"/>
        <outline val="0"/>
        <shadow val="0"/>
        <u val="none"/>
        <vertAlign val="baseline"/>
        <sz val="8"/>
        <color theme="1"/>
        <name val="Calibri"/>
        <family val="2"/>
        <scheme val="minor"/>
      </font>
      <numFmt numFmtId="30" formatCode="@"/>
      <alignment horizontal="center" vertical="center" textRotation="0" indent="0" justifyLastLine="0" shrinkToFit="0" readingOrder="0"/>
      <protection locked="0" hidden="0"/>
    </dxf>
    <dxf>
      <alignment horizontal="center" vertical="bottom" textRotation="0" wrapText="0" indent="0" justifyLastLine="0" shrinkToFit="0" readingOrder="0"/>
      <protection locked="1" hidden="0"/>
    </dxf>
    <dxf>
      <font>
        <strike val="0"/>
        <outline val="0"/>
        <shadow val="0"/>
        <u val="none"/>
        <vertAlign val="baseline"/>
        <sz val="8"/>
        <color theme="1"/>
        <name val="Calibri"/>
        <family val="2"/>
        <scheme val="minor"/>
      </font>
      <alignment vertical="center" textRotation="0" indent="0" justifyLastLine="0" shrinkToFit="0" readingOrder="0"/>
      <protection locked="1" hidden="0"/>
    </dxf>
    <dxf>
      <font>
        <strike val="0"/>
        <outline val="0"/>
        <shadow val="0"/>
        <u val="none"/>
        <vertAlign val="baseline"/>
        <sz val="8"/>
        <color theme="1"/>
        <name val="Calibri"/>
        <family val="2"/>
        <scheme val="minor"/>
      </font>
      <fill>
        <patternFill patternType="solid">
          <fgColor indexed="64"/>
          <bgColor theme="4" tint="0.79998168889431442"/>
        </patternFill>
      </fill>
      <protection locked="1" hidden="0"/>
    </dxf>
    <dxf>
      <font>
        <b val="0"/>
        <i val="0"/>
        <strike val="0"/>
        <condense val="0"/>
        <extend val="0"/>
        <outline val="0"/>
        <shadow val="0"/>
        <u val="none"/>
        <vertAlign val="baseline"/>
        <sz val="8"/>
        <color theme="1"/>
        <name val="Calibri"/>
        <family val="2"/>
        <scheme val="minor"/>
      </font>
      <fill>
        <patternFill patternType="solid">
          <fgColor indexed="64"/>
          <bgColor theme="0" tint="-4.9989318521683403E-2"/>
        </patternFill>
      </fill>
      <alignment horizontal="center" vertical="bottom" textRotation="0" wrapText="0" indent="0" justifyLastLine="0" shrinkToFit="0" readingOrder="0"/>
      <protection locked="1" hidden="0"/>
    </dxf>
    <dxf>
      <border diagonalUp="0" diagonalDown="0">
        <left style="thin">
          <color theme="0" tint="-0.34998626667073579"/>
        </left>
        <right style="thin">
          <color theme="0" tint="-0.34998626667073579"/>
        </right>
        <top style="thin">
          <color theme="0" tint="-0.34998626667073579"/>
        </top>
        <bottom style="thin">
          <color theme="0" tint="-0.34998626667073579"/>
        </bottom>
      </border>
    </dxf>
    <dxf>
      <font>
        <b val="0"/>
        <i val="0"/>
        <strike val="0"/>
        <condense val="0"/>
        <extend val="0"/>
        <outline val="0"/>
        <shadow val="0"/>
        <u val="none"/>
        <vertAlign val="baseline"/>
        <sz val="8"/>
        <color theme="1"/>
        <name val="Calibri"/>
        <family val="2"/>
        <scheme val="minor"/>
      </font>
      <fill>
        <patternFill patternType="solid">
          <fgColor indexed="64"/>
          <bgColor theme="0" tint="-4.9989318521683403E-2"/>
        </patternFill>
      </fill>
      <alignment horizontal="center" vertical="bottom" textRotation="0" wrapText="0" indent="0" justifyLastLine="0" shrinkToFit="0" readingOrder="0"/>
      <protection locked="1" hidden="0"/>
    </dxf>
    <dxf>
      <font>
        <b/>
        <i val="0"/>
        <strike val="0"/>
        <condense val="0"/>
        <extend val="0"/>
        <outline val="0"/>
        <shadow val="0"/>
        <u val="none"/>
        <vertAlign val="baseline"/>
        <sz val="11"/>
        <color theme="1"/>
        <name val="Calibri"/>
        <family val="2"/>
        <scheme val="minor"/>
      </font>
      <fill>
        <patternFill patternType="solid">
          <fgColor indexed="64"/>
          <bgColor theme="2" tint="-9.9978637043366805E-2"/>
        </patternFill>
      </fill>
      <alignment horizontal="center" vertical="center" textRotation="0" wrapText="1" indent="0" justifyLastLine="0" shrinkToFit="0" readingOrder="0"/>
      <protection locked="1" hidden="0"/>
    </dxf>
    <dxf>
      <font>
        <strike val="0"/>
        <outline val="0"/>
        <shadow val="0"/>
        <u val="none"/>
        <vertAlign val="baseline"/>
        <sz val="9"/>
        <color theme="1"/>
        <name val="Calibri"/>
        <family val="2"/>
        <scheme val="minor"/>
      </font>
      <numFmt numFmtId="30" formatCode="@"/>
      <alignment horizontal="center" vertical="bottom" textRotation="0" wrapText="0" indent="0" justifyLastLine="0" shrinkToFit="0" readingOrder="0"/>
      <protection locked="0" hidden="0"/>
    </dxf>
    <dxf>
      <border diagonalUp="0" diagonalDown="0">
        <left style="thin">
          <color theme="0" tint="-0.34998626667073579"/>
        </left>
        <right style="thin">
          <color theme="0" tint="-0.34998626667073579"/>
        </right>
        <top style="thin">
          <color theme="0" tint="-0.34998626667073579"/>
        </top>
        <bottom style="thin">
          <color theme="0" tint="-0.34998626667073579"/>
        </bottom>
      </border>
    </dxf>
    <dxf>
      <font>
        <strike val="0"/>
        <outline val="0"/>
        <shadow val="0"/>
        <u val="none"/>
        <vertAlign val="baseline"/>
        <sz val="9"/>
        <color theme="1"/>
        <name val="Calibri"/>
        <family val="2"/>
        <scheme val="minor"/>
      </font>
      <numFmt numFmtId="30" formatCode="@"/>
      <alignment horizontal="center" vertical="bottom" textRotation="0" wrapText="0" indent="0" justifyLastLine="0" shrinkToFit="0" readingOrder="0"/>
      <protection locked="0" hidden="0"/>
    </dxf>
    <dxf>
      <font>
        <b/>
        <strike val="0"/>
        <outline val="0"/>
        <shadow val="0"/>
        <u val="none"/>
        <vertAlign val="baseline"/>
        <sz val="11"/>
        <color theme="1"/>
        <name val="Calibri"/>
        <family val="2"/>
        <scheme val="minor"/>
      </font>
      <fill>
        <patternFill patternType="solid">
          <fgColor indexed="64"/>
          <bgColor theme="0" tint="-0.14999847407452621"/>
        </patternFill>
      </fill>
      <alignment horizontal="center" vertical="center" textRotation="0" wrapText="0" indent="0" justifyLastLine="0" shrinkToFit="0" readingOrder="0"/>
      <protection locked="0" hidden="0"/>
    </dxf>
    <dxf>
      <protection locked="1" hidden="0"/>
    </dxf>
    <dxf>
      <border diagonalUp="0" diagonalDown="0">
        <left style="thin">
          <color theme="0" tint="-0.34998626667073579"/>
        </left>
        <right style="thin">
          <color theme="0" tint="-0.34998626667073579"/>
        </right>
        <top style="thin">
          <color theme="0" tint="-0.34998626667073579"/>
        </top>
        <bottom style="thin">
          <color theme="0" tint="-0.34998626667073579"/>
        </bottom>
      </border>
    </dxf>
    <dxf>
      <protection locked="1" hidden="0"/>
    </dxf>
    <dxf>
      <protection locked="1" hidden="0"/>
    </dxf>
    <dxf>
      <font>
        <b val="0"/>
        <i val="0"/>
        <strike val="0"/>
        <condense val="0"/>
        <extend val="0"/>
        <outline val="0"/>
        <shadow val="0"/>
        <u val="none"/>
        <vertAlign val="baseline"/>
        <sz val="8"/>
        <color theme="1"/>
        <name val="Calibri"/>
        <family val="2"/>
        <scheme val="minor"/>
      </font>
      <fill>
        <patternFill patternType="solid">
          <fgColor indexed="64"/>
          <bgColor theme="0" tint="-4.9989318521683403E-2"/>
        </patternFill>
      </fill>
      <alignment horizontal="center" vertical="bottom" textRotation="0" wrapText="0" indent="0" justifyLastLine="0" shrinkToFit="0" readingOrder="0"/>
      <protection locked="1" hidden="0"/>
    </dxf>
    <dxf>
      <border diagonalUp="0" diagonalDown="0">
        <left style="thin">
          <color theme="0" tint="-0.34998626667073579"/>
        </left>
        <right style="thin">
          <color theme="0" tint="-0.34998626667073579"/>
        </right>
        <top style="thin">
          <color theme="0" tint="-0.34998626667073579"/>
        </top>
        <bottom style="thin">
          <color theme="0" tint="-0.34998626667073579"/>
        </bottom>
      </border>
    </dxf>
    <dxf>
      <font>
        <b val="0"/>
        <i val="0"/>
        <strike val="0"/>
        <condense val="0"/>
        <extend val="0"/>
        <outline val="0"/>
        <shadow val="0"/>
        <u val="none"/>
        <vertAlign val="baseline"/>
        <sz val="8"/>
        <color theme="1"/>
        <name val="Calibri"/>
        <family val="2"/>
        <scheme val="minor"/>
      </font>
      <fill>
        <patternFill patternType="solid">
          <fgColor indexed="64"/>
          <bgColor theme="0" tint="-4.9989318521683403E-2"/>
        </patternFill>
      </fill>
      <alignment horizontal="center" vertical="bottom" textRotation="0" wrapText="0" indent="0" justifyLastLine="0" shrinkToFit="0" readingOrder="0"/>
      <protection locked="1" hidden="0"/>
    </dxf>
    <dxf>
      <font>
        <b/>
        <i val="0"/>
        <strike val="0"/>
        <condense val="0"/>
        <extend val="0"/>
        <outline val="0"/>
        <shadow val="0"/>
        <u val="none"/>
        <vertAlign val="baseline"/>
        <sz val="11"/>
        <color theme="1"/>
        <name val="Calibri"/>
        <family val="2"/>
        <scheme val="minor"/>
      </font>
      <fill>
        <patternFill patternType="solid">
          <fgColor indexed="64"/>
          <bgColor theme="2" tint="-9.9978637043366805E-2"/>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8"/>
        <color theme="1"/>
        <name val="Calibri"/>
        <family val="2"/>
        <scheme val="minor"/>
      </font>
      <fill>
        <patternFill patternType="solid">
          <fgColor indexed="64"/>
          <bgColor theme="0" tint="-4.9989318521683403E-2"/>
        </patternFill>
      </fill>
      <alignment horizontal="center" vertical="bottom" textRotation="0" wrapText="0" indent="0" justifyLastLine="0" shrinkToFit="0" readingOrder="0"/>
      <border diagonalUp="0" diagonalDown="0">
        <left/>
        <right/>
        <top style="thin">
          <color theme="0" tint="-0.34998626667073579"/>
        </top>
        <bottom style="thin">
          <color theme="0" tint="-0.34998626667073579"/>
        </bottom>
        <vertical style="thin">
          <color theme="0" tint="-0.34998626667073579"/>
        </vertical>
        <horizontal style="thin">
          <color theme="0" tint="-0.34998626667073579"/>
        </horizontal>
      </border>
      <protection locked="1" hidden="0"/>
    </dxf>
    <dxf>
      <border>
        <top style="thin">
          <color theme="0" tint="-0.34998626667073579"/>
        </top>
      </border>
    </dxf>
    <dxf>
      <border diagonalUp="0" diagonalDown="0">
        <left style="thin">
          <color theme="0" tint="-0.34998626667073579"/>
        </left>
        <right style="thin">
          <color theme="0" tint="-0.34998626667073579"/>
        </right>
        <top style="thin">
          <color theme="0" tint="-0.34998626667073579"/>
        </top>
        <bottom style="thin">
          <color theme="0" tint="-0.34998626667073579"/>
        </bottom>
      </border>
    </dxf>
    <dxf>
      <font>
        <b val="0"/>
        <i val="0"/>
        <strike val="0"/>
        <condense val="0"/>
        <extend val="0"/>
        <outline val="0"/>
        <shadow val="0"/>
        <u val="none"/>
        <vertAlign val="baseline"/>
        <sz val="8"/>
        <color theme="1"/>
        <name val="Calibri"/>
        <family val="2"/>
        <scheme val="minor"/>
      </font>
      <fill>
        <patternFill patternType="solid">
          <fgColor indexed="64"/>
          <bgColor theme="0" tint="-4.9989318521683403E-2"/>
        </patternFill>
      </fill>
      <alignment horizontal="center" vertical="bottom" textRotation="0" wrapText="0" indent="0" justifyLastLine="0" shrinkToFit="0" readingOrder="0"/>
      <protection locked="1" hidden="0"/>
    </dxf>
    <dxf>
      <border>
        <bottom style="thin">
          <color theme="0" tint="-0.34998626667073579"/>
        </bottom>
      </border>
    </dxf>
    <dxf>
      <font>
        <b/>
        <i val="0"/>
        <strike val="0"/>
        <condense val="0"/>
        <extend val="0"/>
        <outline val="0"/>
        <shadow val="0"/>
        <u val="none"/>
        <vertAlign val="baseline"/>
        <sz val="11"/>
        <color theme="1"/>
        <name val="Calibri"/>
        <family val="2"/>
        <scheme val="minor"/>
      </font>
      <fill>
        <patternFill patternType="solid">
          <fgColor indexed="64"/>
          <bgColor theme="2" tint="-9.9978637043366805E-2"/>
        </patternFill>
      </fill>
      <alignment horizontal="center" vertical="center" textRotation="0" wrapText="1" indent="0" justifyLastLine="0" shrinkToFit="0" readingOrder="0"/>
      <border diagonalUp="0" diagonalDown="0">
        <left style="thin">
          <color theme="0" tint="-0.34998626667073579"/>
        </left>
        <right style="thin">
          <color theme="0" tint="-0.34998626667073579"/>
        </right>
        <top/>
        <bottom/>
        <vertical style="thin">
          <color theme="0" tint="-0.34998626667073579"/>
        </vertical>
        <horizontal style="thin">
          <color theme="0" tint="-0.34998626667073579"/>
        </horizontal>
      </border>
      <protection locked="1" hidden="0"/>
    </dxf>
    <dxf>
      <font>
        <b val="0"/>
        <i val="0"/>
        <strike val="0"/>
        <condense val="0"/>
        <extend val="0"/>
        <outline val="0"/>
        <shadow val="0"/>
        <u val="none"/>
        <vertAlign val="baseline"/>
        <sz val="8"/>
        <color theme="1"/>
        <name val="Calibri"/>
        <family val="2"/>
        <scheme val="minor"/>
      </font>
      <fill>
        <patternFill patternType="solid">
          <fgColor indexed="64"/>
          <bgColor theme="0" tint="-4.9989318521683403E-2"/>
        </patternFill>
      </fill>
      <alignment horizontal="center" vertical="bottom" textRotation="0" wrapText="0" indent="0" justifyLastLine="0" shrinkToFit="0" readingOrder="0"/>
      <border diagonalUp="0" diagonalDown="0">
        <left style="thin">
          <color theme="0" tint="-0.34998626667073579"/>
        </left>
        <right/>
        <top style="thin">
          <color theme="0" tint="-0.34998626667073579"/>
        </top>
        <bottom style="thin">
          <color theme="0" tint="-0.34998626667073579"/>
        </bottom>
        <vertical style="thin">
          <color theme="0" tint="-0.34998626667073579"/>
        </vertical>
        <horizontal style="thin">
          <color theme="0" tint="-0.34998626667073579"/>
        </horizontal>
      </border>
      <protection locked="1" hidden="0"/>
    </dxf>
    <dxf>
      <font>
        <b val="0"/>
        <i val="0"/>
        <strike val="0"/>
        <condense val="0"/>
        <extend val="0"/>
        <outline val="0"/>
        <shadow val="0"/>
        <u val="none"/>
        <vertAlign val="baseline"/>
        <sz val="8"/>
        <color theme="1"/>
        <name val="Calibri"/>
        <family val="2"/>
        <scheme val="minor"/>
      </font>
      <fill>
        <patternFill patternType="solid">
          <fgColor indexed="64"/>
          <bgColor theme="0" tint="-4.9989318521683403E-2"/>
        </patternFill>
      </fill>
      <alignment horizontal="center" vertical="bottom" textRotation="0" wrapText="0" indent="0" justifyLastLine="0" shrinkToFit="0" readingOrder="0"/>
      <border diagonalUp="0" diagonalDown="0">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protection locked="1" hidden="0"/>
    </dxf>
    <dxf>
      <border>
        <top style="thin">
          <color theme="0" tint="-0.34998626667073579"/>
        </top>
      </border>
    </dxf>
    <dxf>
      <border diagonalUp="0" diagonalDown="0">
        <left style="thin">
          <color theme="0" tint="-0.34998626667073579"/>
        </left>
        <right style="thin">
          <color theme="0" tint="-0.34998626667073579"/>
        </right>
        <top style="thin">
          <color theme="0" tint="-0.34998626667073579"/>
        </top>
        <bottom style="thin">
          <color theme="0" tint="-0.34998626667073579"/>
        </bottom>
      </border>
    </dxf>
    <dxf>
      <protection locked="1" hidden="0"/>
    </dxf>
    <dxf>
      <border>
        <bottom style="thin">
          <color theme="0" tint="-0.34998626667073579"/>
        </bottom>
      </border>
    </dxf>
    <dxf>
      <font>
        <b/>
        <i val="0"/>
        <strike val="0"/>
        <condense val="0"/>
        <extend val="0"/>
        <outline val="0"/>
        <shadow val="0"/>
        <u val="none"/>
        <vertAlign val="baseline"/>
        <sz val="11"/>
        <color theme="1"/>
        <name val="Calibri"/>
        <family val="2"/>
        <scheme val="minor"/>
      </font>
      <fill>
        <patternFill patternType="solid">
          <fgColor indexed="64"/>
          <bgColor theme="2" tint="-9.9978637043366805E-2"/>
        </patternFill>
      </fill>
      <alignment horizontal="center" vertical="center" textRotation="0" wrapText="1" indent="0" justifyLastLine="0" shrinkToFit="0" readingOrder="0"/>
      <border diagonalUp="0" diagonalDown="0">
        <left style="thin">
          <color theme="0" tint="-0.34998626667073579"/>
        </left>
        <right style="thin">
          <color theme="0" tint="-0.34998626667073579"/>
        </right>
        <top/>
        <bottom/>
        <vertical style="thin">
          <color theme="0" tint="-0.34998626667073579"/>
        </vertical>
        <horizontal style="thin">
          <color theme="0" tint="-0.34998626667073579"/>
        </horizontal>
      </border>
      <protection locked="1" hidden="0"/>
    </dxf>
    <dxf>
      <font>
        <strike val="0"/>
        <outline val="0"/>
        <shadow val="0"/>
        <u val="none"/>
        <vertAlign val="baseline"/>
        <sz val="8"/>
        <color theme="1"/>
        <name val="Calibri"/>
        <family val="2"/>
        <scheme val="minor"/>
      </font>
      <numFmt numFmtId="30" formatCode="@"/>
      <alignment horizontal="center" vertical="bottom" textRotation="0" wrapText="0" indent="0" justifyLastLine="0" shrinkToFit="0" readingOrder="0"/>
      <border diagonalUp="0" diagonalDown="0" outline="0">
        <left style="thin">
          <color theme="0" tint="-0.34998626667073579"/>
        </left>
        <right/>
        <top style="thin">
          <color theme="0" tint="-0.34998626667073579"/>
        </top>
        <bottom style="thin">
          <color theme="0" tint="-0.34998626667073579"/>
        </bottom>
      </border>
      <protection locked="0" hidden="0"/>
    </dxf>
    <dxf>
      <font>
        <strike val="0"/>
        <outline val="0"/>
        <shadow val="0"/>
        <u val="none"/>
        <vertAlign val="baseline"/>
        <sz val="8"/>
        <color theme="1"/>
        <name val="Calibri"/>
        <family val="2"/>
        <scheme val="minor"/>
      </font>
      <fill>
        <patternFill patternType="solid">
          <fgColor indexed="64"/>
          <bgColor theme="0" tint="-4.9989318521683403E-2"/>
        </patternFill>
      </fill>
      <alignment horizontal="center" vertical="bottom" textRotation="0" wrapText="0" indent="0" justifyLastLine="0" shrinkToFit="0" readingOrder="0"/>
      <border diagonalUp="0" diagonalDown="0" outline="0">
        <left/>
        <right style="thin">
          <color theme="0" tint="-0.34998626667073579"/>
        </right>
        <top style="thin">
          <color theme="0" tint="-0.34998626667073579"/>
        </top>
        <bottom style="thin">
          <color theme="0" tint="-0.34998626667073579"/>
        </bottom>
      </border>
      <protection locked="1" hidden="0"/>
    </dxf>
    <dxf>
      <border>
        <top style="thin">
          <color theme="0" tint="-0.34998626667073579"/>
        </top>
      </border>
    </dxf>
    <dxf>
      <border diagonalUp="0" diagonalDown="0">
        <left style="thin">
          <color theme="0" tint="-0.34998626667073579"/>
        </left>
        <right style="thin">
          <color theme="0" tint="-0.34998626667073579"/>
        </right>
        <top style="thin">
          <color theme="0" tint="-0.34998626667073579"/>
        </top>
        <bottom style="thin">
          <color theme="0" tint="-0.34998626667073579"/>
        </bottom>
      </border>
    </dxf>
    <dxf>
      <font>
        <strike val="0"/>
        <outline val="0"/>
        <shadow val="0"/>
        <u val="none"/>
        <vertAlign val="baseline"/>
        <sz val="8"/>
        <color theme="1"/>
        <name val="Calibri"/>
        <family val="2"/>
        <scheme val="minor"/>
      </font>
      <alignment horizontal="center" vertical="bottom" textRotation="0" wrapText="0" indent="0" justifyLastLine="0" shrinkToFit="0" readingOrder="0"/>
      <protection locked="1" hidden="0"/>
    </dxf>
    <dxf>
      <border>
        <bottom style="thin">
          <color theme="0" tint="-0.34998626667073579"/>
        </bottom>
      </border>
    </dxf>
    <dxf>
      <font>
        <b/>
        <strike val="0"/>
        <outline val="0"/>
        <shadow val="0"/>
        <u val="none"/>
        <vertAlign val="baseline"/>
        <sz val="11"/>
        <color theme="1"/>
        <name val="Calibri"/>
        <family val="2"/>
        <scheme val="minor"/>
      </font>
      <fill>
        <patternFill patternType="solid">
          <fgColor indexed="64"/>
          <bgColor theme="2" tint="-9.9978637043366805E-2"/>
        </patternFill>
      </fill>
      <alignment horizontal="center" vertical="center" textRotation="0" wrapText="0" indent="0" justifyLastLine="0" shrinkToFit="0" readingOrder="0"/>
      <border diagonalUp="0" diagonalDown="0">
        <left style="thin">
          <color theme="0" tint="-0.34998626667073579"/>
        </left>
        <right style="thin">
          <color theme="0" tint="-0.34998626667073579"/>
        </right>
        <top/>
        <bottom/>
      </border>
      <protection locked="1" hidden="0"/>
    </dxf>
    <dxf>
      <font>
        <strike val="0"/>
        <outline val="0"/>
        <shadow val="0"/>
        <u val="none"/>
        <vertAlign val="baseline"/>
        <sz val="9"/>
        <color theme="1"/>
        <name val="Calibri"/>
        <family val="2"/>
        <scheme val="minor"/>
      </font>
      <numFmt numFmtId="30" formatCode="@"/>
      <alignment horizontal="center" vertical="bottom" textRotation="0" wrapText="0" indent="0" justifyLastLine="0" shrinkToFit="0" readingOrder="0"/>
      <border diagonalUp="0" diagonalDown="0" outline="0">
        <left/>
        <right/>
        <top style="thin">
          <color theme="0" tint="-0.34998626667073579"/>
        </top>
        <bottom style="thin">
          <color theme="0" tint="-0.34998626667073579"/>
        </bottom>
      </border>
      <protection locked="0" hidden="0"/>
    </dxf>
    <dxf>
      <border>
        <top style="thin">
          <color theme="0" tint="-0.34998626667073579"/>
        </top>
      </border>
    </dxf>
    <dxf>
      <border diagonalUp="0" diagonalDown="0">
        <left style="thin">
          <color theme="0" tint="-0.34998626667073579"/>
        </left>
        <right style="thin">
          <color theme="0" tint="-0.34998626667073579"/>
        </right>
        <top style="thin">
          <color theme="0" tint="-0.34998626667073579"/>
        </top>
        <bottom style="thin">
          <color theme="0" tint="-0.34998626667073579"/>
        </bottom>
      </border>
    </dxf>
    <dxf>
      <font>
        <strike val="0"/>
        <outline val="0"/>
        <shadow val="0"/>
        <u val="none"/>
        <vertAlign val="baseline"/>
        <sz val="9"/>
        <color theme="1"/>
        <name val="Calibri"/>
        <family val="2"/>
        <scheme val="minor"/>
      </font>
      <numFmt numFmtId="30" formatCode="@"/>
      <alignment horizontal="center" vertical="bottom" textRotation="0" wrapText="0" indent="0" justifyLastLine="0" shrinkToFit="0" readingOrder="0"/>
      <protection locked="0" hidden="0"/>
    </dxf>
    <dxf>
      <border>
        <bottom style="thin">
          <color theme="0" tint="-0.34998626667073579"/>
        </bottom>
      </border>
    </dxf>
    <dxf>
      <font>
        <b/>
        <strike val="0"/>
        <outline val="0"/>
        <shadow val="0"/>
        <u val="none"/>
        <vertAlign val="baseline"/>
        <sz val="11"/>
        <color theme="1"/>
        <name val="Calibri"/>
        <family val="2"/>
        <scheme val="minor"/>
      </font>
      <fill>
        <patternFill patternType="solid">
          <fgColor indexed="64"/>
          <bgColor theme="0" tint="-0.14999847407452621"/>
        </patternFill>
      </fill>
      <alignment horizontal="center" vertical="center" textRotation="0" wrapText="0" indent="0" justifyLastLine="0" shrinkToFit="0" readingOrder="0"/>
      <border diagonalUp="0" diagonalDown="0">
        <left style="thin">
          <color theme="0" tint="-0.34998626667073579"/>
        </left>
        <right style="thin">
          <color theme="0" tint="-0.34998626667073579"/>
        </right>
        <top/>
        <bottom/>
      </border>
      <protection locked="0" hidden="0"/>
    </dxf>
    <dxf>
      <font>
        <strike val="0"/>
        <outline val="0"/>
        <shadow val="0"/>
        <u val="none"/>
        <vertAlign val="baseline"/>
        <sz val="9"/>
        <color theme="1"/>
        <name val="Calibri"/>
        <family val="2"/>
        <scheme val="minor"/>
      </font>
      <numFmt numFmtId="30" formatCode="@"/>
      <alignment horizontal="center" vertical="bottom" textRotation="0" wrapText="0" indent="0" justifyLastLine="0" shrinkToFit="0" readingOrder="0"/>
      <border diagonalUp="0" diagonalDown="0" outline="0">
        <left/>
        <right/>
        <top style="thin">
          <color theme="0" tint="-0.34998626667073579"/>
        </top>
        <bottom style="thin">
          <color theme="0" tint="-0.34998626667073579"/>
        </bottom>
      </border>
      <protection locked="0" hidden="0"/>
    </dxf>
    <dxf>
      <border>
        <top style="thin">
          <color theme="0" tint="-0.34998626667073579"/>
        </top>
      </border>
    </dxf>
    <dxf>
      <border diagonalUp="0" diagonalDown="0">
        <left style="thin">
          <color theme="0" tint="-0.34998626667073579"/>
        </left>
        <right style="thin">
          <color theme="0" tint="-0.34998626667073579"/>
        </right>
        <top style="thin">
          <color theme="0" tint="-0.34998626667073579"/>
        </top>
        <bottom style="thin">
          <color theme="0" tint="-0.34998626667073579"/>
        </bottom>
      </border>
    </dxf>
    <dxf>
      <font>
        <strike val="0"/>
        <outline val="0"/>
        <shadow val="0"/>
        <u val="none"/>
        <vertAlign val="baseline"/>
        <sz val="9"/>
        <color theme="1"/>
        <name val="Calibri"/>
        <family val="2"/>
        <scheme val="minor"/>
      </font>
      <numFmt numFmtId="30" formatCode="@"/>
      <alignment horizontal="center" vertical="bottom" textRotation="0" wrapText="0" indent="0" justifyLastLine="0" shrinkToFit="0" readingOrder="0"/>
      <protection locked="0" hidden="0"/>
    </dxf>
    <dxf>
      <border outline="0">
        <bottom style="thin">
          <color theme="0" tint="-0.34998626667073579"/>
        </bottom>
      </border>
    </dxf>
    <dxf>
      <font>
        <b/>
        <i val="0"/>
        <strike val="0"/>
        <condense val="0"/>
        <extend val="0"/>
        <outline val="0"/>
        <shadow val="0"/>
        <u val="none"/>
        <vertAlign val="baseline"/>
        <sz val="11"/>
        <color theme="1"/>
        <name val="Calibri"/>
        <family val="2"/>
        <scheme val="minor"/>
      </font>
      <fill>
        <patternFill patternType="solid">
          <fgColor indexed="64"/>
          <bgColor theme="0" tint="-0.14999847407452621"/>
        </patternFill>
      </fill>
      <alignment horizontal="center" vertical="center" textRotation="0" wrapText="1" indent="0" justifyLastLine="0" shrinkToFit="0" readingOrder="0"/>
      <protection locked="1" hidden="0"/>
    </dxf>
    <dxf>
      <font>
        <strike val="0"/>
        <outline val="0"/>
        <shadow val="0"/>
        <u val="none"/>
        <vertAlign val="baseline"/>
        <sz val="9"/>
        <color theme="1"/>
        <name val="Calibri"/>
        <family val="2"/>
        <scheme val="minor"/>
      </font>
      <numFmt numFmtId="30" formatCode="@"/>
      <alignment horizontal="center" vertical="bottom" textRotation="0" wrapText="0" indent="0" justifyLastLine="0" shrinkToFit="0" readingOrder="0"/>
      <border diagonalUp="0" diagonalDown="0" outline="0">
        <left/>
        <right/>
        <top style="thin">
          <color theme="0" tint="-0.34998626667073579"/>
        </top>
        <bottom style="thin">
          <color theme="0" tint="-0.34998626667073579"/>
        </bottom>
      </border>
      <protection locked="0" hidden="0"/>
    </dxf>
    <dxf>
      <border>
        <top style="thin">
          <color theme="0" tint="-0.34998626667073579"/>
        </top>
      </border>
    </dxf>
    <dxf>
      <border diagonalUp="0" diagonalDown="0">
        <left style="thin">
          <color theme="0" tint="-0.34998626667073579"/>
        </left>
        <right style="thin">
          <color theme="0" tint="-0.34998626667073579"/>
        </right>
        <top style="thin">
          <color theme="0" tint="-0.34998626667073579"/>
        </top>
        <bottom style="thin">
          <color theme="0" tint="-0.34998626667073579"/>
        </bottom>
      </border>
    </dxf>
    <dxf>
      <font>
        <strike val="0"/>
        <outline val="0"/>
        <shadow val="0"/>
        <u val="none"/>
        <vertAlign val="baseline"/>
        <sz val="9"/>
        <color theme="1"/>
        <name val="Calibri"/>
        <family val="2"/>
        <scheme val="minor"/>
      </font>
      <numFmt numFmtId="30" formatCode="@"/>
      <alignment horizontal="center" vertical="bottom" textRotation="0" wrapText="0" indent="0" justifyLastLine="0" shrinkToFit="0" readingOrder="0"/>
      <protection locked="0" hidden="0"/>
    </dxf>
    <dxf>
      <border>
        <bottom style="thin">
          <color theme="0" tint="-0.34998626667073579"/>
        </bottom>
      </border>
    </dxf>
    <dxf>
      <font>
        <b/>
        <strike val="0"/>
        <outline val="0"/>
        <shadow val="0"/>
        <u val="none"/>
        <vertAlign val="baseline"/>
        <sz val="11"/>
        <color theme="1"/>
        <name val="Calibri"/>
        <family val="2"/>
        <scheme val="minor"/>
      </font>
      <fill>
        <patternFill patternType="solid">
          <fgColor indexed="64"/>
          <bgColor theme="0" tint="-0.14999847407452621"/>
        </patternFill>
      </fill>
      <alignment horizontal="center" vertical="center" textRotation="0" wrapText="0" indent="0" justifyLastLine="0" shrinkToFit="0" readingOrder="0"/>
      <border diagonalUp="0" diagonalDown="0">
        <left style="thin">
          <color theme="0" tint="-0.34998626667073579"/>
        </left>
        <right style="thin">
          <color theme="0" tint="-0.34998626667073579"/>
        </right>
        <top/>
        <bottom/>
      </border>
      <protection locked="1" hidden="0"/>
    </dxf>
    <dxf>
      <border>
        <bottom style="thin">
          <color auto="1"/>
        </bottom>
      </border>
    </dxf>
    <dxf>
      <border>
        <top style="thin">
          <color theme="2" tint="-9.9948118533890809E-2"/>
        </top>
        <bottom style="thin">
          <color theme="2" tint="-9.9948118533890809E-2"/>
        </bottom>
      </border>
    </dxf>
    <dxf>
      <border>
        <top style="thin">
          <color theme="2" tint="-9.9948118533890809E-2"/>
        </top>
        <bottom style="thin">
          <color theme="2" tint="-9.9948118533890809E-2"/>
        </bottom>
      </border>
    </dxf>
    <dxf>
      <border>
        <right style="medium">
          <color theme="2" tint="-0.24994659260841701"/>
        </right>
      </border>
    </dxf>
    <dxf>
      <border>
        <left style="medium">
          <color theme="2" tint="-0.24994659260841701"/>
        </left>
      </border>
    </dxf>
    <dxf>
      <fill>
        <patternFill>
          <bgColor theme="2"/>
        </patternFill>
      </fill>
      <border>
        <left style="thin">
          <color theme="2" tint="-0.24994659260841701"/>
        </left>
        <right style="thin">
          <color theme="2" tint="-0.24994659260841701"/>
        </right>
        <top style="medium">
          <color theme="2" tint="-0.24994659260841701"/>
        </top>
        <bottom style="medium">
          <color theme="2" tint="-0.24994659260841701"/>
        </bottom>
      </border>
    </dxf>
    <dxf>
      <font>
        <b/>
        <i val="0"/>
        <color theme="1"/>
      </font>
      <fill>
        <patternFill>
          <bgColor theme="2"/>
        </patternFill>
      </fill>
      <border>
        <left style="thin">
          <color theme="2" tint="-0.24994659260841701"/>
        </left>
        <right style="thin">
          <color theme="2" tint="-0.24994659260841701"/>
        </right>
        <top style="medium">
          <color theme="2" tint="-0.24994659260841701"/>
        </top>
        <bottom style="medium">
          <color theme="2" tint="-0.24994659260841701"/>
        </bottom>
      </border>
    </dxf>
    <dxf>
      <border>
        <left style="medium">
          <color theme="2" tint="-9.9948118533890809E-2"/>
        </left>
        <right style="medium">
          <color theme="2" tint="-9.9948118533890809E-2"/>
        </right>
        <vertical style="medium">
          <color theme="2" tint="-9.9948118533890809E-2"/>
        </vertical>
      </border>
    </dxf>
  </dxfs>
  <tableStyles count="2" defaultTableStyle="TableStyleMedium2" defaultPivotStyle="PivotStyleLight16">
    <tableStyle name="Table Style 1" pivot="0" count="8" xr9:uid="{7DB156C3-3EC7-4676-84B4-B418E8AE118B}">
      <tableStyleElement type="wholeTable" dxfId="1004"/>
      <tableStyleElement type="headerRow" dxfId="1003"/>
      <tableStyleElement type="totalRow" dxfId="1002"/>
      <tableStyleElement type="firstColumn" dxfId="1001"/>
      <tableStyleElement type="lastColumn" dxfId="1000"/>
      <tableStyleElement type="firstRowStripe" dxfId="999"/>
      <tableStyleElement type="secondRowStripe" dxfId="998"/>
      <tableStyleElement type="lastTotalCell" dxfId="997"/>
    </tableStyle>
    <tableStyle name="Table Style 2" pivot="0" count="0" xr9:uid="{60798BD5-82E1-451D-BC6C-B5D33B0D4A47}"/>
  </tableStyles>
  <colors>
    <mruColors>
      <color rgb="FFFF9900"/>
      <color rgb="FFFFCCCC"/>
      <color rgb="FFFFF8D9"/>
      <color rgb="FFE8F8EB"/>
      <color rgb="FFF7F7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00.xml.rels><?xml version="1.0" encoding="UTF-8" standalone="yes"?>
<Relationships xmlns="http://schemas.openxmlformats.org/package/2006/relationships"><Relationship Id="rId2" Type="http://schemas.microsoft.com/office/2011/relationships/chartColorStyle" Target="colors100.xml"/><Relationship Id="rId1" Type="http://schemas.microsoft.com/office/2011/relationships/chartStyle" Target="style100.xml"/></Relationships>
</file>

<file path=xl/charts/_rels/chart101.xml.rels><?xml version="1.0" encoding="UTF-8" standalone="yes"?>
<Relationships xmlns="http://schemas.openxmlformats.org/package/2006/relationships"><Relationship Id="rId2" Type="http://schemas.microsoft.com/office/2011/relationships/chartColorStyle" Target="colors101.xml"/><Relationship Id="rId1" Type="http://schemas.microsoft.com/office/2011/relationships/chartStyle" Target="style101.xml"/></Relationships>
</file>

<file path=xl/charts/_rels/chart102.xml.rels><?xml version="1.0" encoding="UTF-8" standalone="yes"?>
<Relationships xmlns="http://schemas.openxmlformats.org/package/2006/relationships"><Relationship Id="rId2" Type="http://schemas.microsoft.com/office/2011/relationships/chartColorStyle" Target="colors102.xml"/><Relationship Id="rId1" Type="http://schemas.microsoft.com/office/2011/relationships/chartStyle" Target="style102.xml"/></Relationships>
</file>

<file path=xl/charts/_rels/chart103.xml.rels><?xml version="1.0" encoding="UTF-8" standalone="yes"?>
<Relationships xmlns="http://schemas.openxmlformats.org/package/2006/relationships"><Relationship Id="rId2" Type="http://schemas.microsoft.com/office/2011/relationships/chartColorStyle" Target="colors103.xml"/><Relationship Id="rId1" Type="http://schemas.microsoft.com/office/2011/relationships/chartStyle" Target="style103.xml"/></Relationships>
</file>

<file path=xl/charts/_rels/chart104.xml.rels><?xml version="1.0" encoding="UTF-8" standalone="yes"?>
<Relationships xmlns="http://schemas.openxmlformats.org/package/2006/relationships"><Relationship Id="rId2" Type="http://schemas.microsoft.com/office/2011/relationships/chartColorStyle" Target="colors104.xml"/><Relationship Id="rId1" Type="http://schemas.microsoft.com/office/2011/relationships/chartStyle" Target="style104.xml"/></Relationships>
</file>

<file path=xl/charts/_rels/chart105.xml.rels><?xml version="1.0" encoding="UTF-8" standalone="yes"?>
<Relationships xmlns="http://schemas.openxmlformats.org/package/2006/relationships"><Relationship Id="rId2" Type="http://schemas.microsoft.com/office/2011/relationships/chartColorStyle" Target="colors105.xml"/><Relationship Id="rId1" Type="http://schemas.microsoft.com/office/2011/relationships/chartStyle" Target="style105.xml"/></Relationships>
</file>

<file path=xl/charts/_rels/chart106.xml.rels><?xml version="1.0" encoding="UTF-8" standalone="yes"?>
<Relationships xmlns="http://schemas.openxmlformats.org/package/2006/relationships"><Relationship Id="rId2" Type="http://schemas.microsoft.com/office/2011/relationships/chartColorStyle" Target="colors106.xml"/><Relationship Id="rId1" Type="http://schemas.microsoft.com/office/2011/relationships/chartStyle" Target="style106.xml"/></Relationships>
</file>

<file path=xl/charts/_rels/chart107.xml.rels><?xml version="1.0" encoding="UTF-8" standalone="yes"?>
<Relationships xmlns="http://schemas.openxmlformats.org/package/2006/relationships"><Relationship Id="rId2" Type="http://schemas.microsoft.com/office/2011/relationships/chartColorStyle" Target="colors107.xml"/><Relationship Id="rId1" Type="http://schemas.microsoft.com/office/2011/relationships/chartStyle" Target="style107.xml"/></Relationships>
</file>

<file path=xl/charts/_rels/chart108.xml.rels><?xml version="1.0" encoding="UTF-8" standalone="yes"?>
<Relationships xmlns="http://schemas.openxmlformats.org/package/2006/relationships"><Relationship Id="rId2" Type="http://schemas.microsoft.com/office/2011/relationships/chartColorStyle" Target="colors108.xml"/><Relationship Id="rId1" Type="http://schemas.microsoft.com/office/2011/relationships/chartStyle" Target="style108.xml"/></Relationships>
</file>

<file path=xl/charts/_rels/chart109.xml.rels><?xml version="1.0" encoding="UTF-8" standalone="yes"?>
<Relationships xmlns="http://schemas.openxmlformats.org/package/2006/relationships"><Relationship Id="rId2" Type="http://schemas.microsoft.com/office/2011/relationships/chartColorStyle" Target="colors109.xml"/><Relationship Id="rId1" Type="http://schemas.microsoft.com/office/2011/relationships/chartStyle" Target="style109.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10.xml.rels><?xml version="1.0" encoding="UTF-8" standalone="yes"?>
<Relationships xmlns="http://schemas.openxmlformats.org/package/2006/relationships"><Relationship Id="rId2" Type="http://schemas.microsoft.com/office/2011/relationships/chartColorStyle" Target="colors110.xml"/><Relationship Id="rId1" Type="http://schemas.microsoft.com/office/2011/relationships/chartStyle" Target="style110.xml"/></Relationships>
</file>

<file path=xl/charts/_rels/chart111.xml.rels><?xml version="1.0" encoding="UTF-8" standalone="yes"?>
<Relationships xmlns="http://schemas.openxmlformats.org/package/2006/relationships"><Relationship Id="rId2" Type="http://schemas.microsoft.com/office/2011/relationships/chartColorStyle" Target="colors111.xml"/><Relationship Id="rId1" Type="http://schemas.microsoft.com/office/2011/relationships/chartStyle" Target="style111.xml"/></Relationships>
</file>

<file path=xl/charts/_rels/chart112.xml.rels><?xml version="1.0" encoding="UTF-8" standalone="yes"?>
<Relationships xmlns="http://schemas.openxmlformats.org/package/2006/relationships"><Relationship Id="rId2" Type="http://schemas.microsoft.com/office/2011/relationships/chartColorStyle" Target="colors112.xml"/><Relationship Id="rId1" Type="http://schemas.microsoft.com/office/2011/relationships/chartStyle" Target="style112.xml"/></Relationships>
</file>

<file path=xl/charts/_rels/chart113.xml.rels><?xml version="1.0" encoding="UTF-8" standalone="yes"?>
<Relationships xmlns="http://schemas.openxmlformats.org/package/2006/relationships"><Relationship Id="rId2" Type="http://schemas.microsoft.com/office/2011/relationships/chartColorStyle" Target="colors113.xml"/><Relationship Id="rId1" Type="http://schemas.microsoft.com/office/2011/relationships/chartStyle" Target="style113.xml"/></Relationships>
</file>

<file path=xl/charts/_rels/chart114.xml.rels><?xml version="1.0" encoding="UTF-8" standalone="yes"?>
<Relationships xmlns="http://schemas.openxmlformats.org/package/2006/relationships"><Relationship Id="rId2" Type="http://schemas.microsoft.com/office/2011/relationships/chartColorStyle" Target="colors114.xml"/><Relationship Id="rId1" Type="http://schemas.microsoft.com/office/2011/relationships/chartStyle" Target="style114.xml"/></Relationships>
</file>

<file path=xl/charts/_rels/chart115.xml.rels><?xml version="1.0" encoding="UTF-8" standalone="yes"?>
<Relationships xmlns="http://schemas.openxmlformats.org/package/2006/relationships"><Relationship Id="rId2" Type="http://schemas.microsoft.com/office/2011/relationships/chartColorStyle" Target="colors115.xml"/><Relationship Id="rId1" Type="http://schemas.microsoft.com/office/2011/relationships/chartStyle" Target="style115.xml"/></Relationships>
</file>

<file path=xl/charts/_rels/chart116.xml.rels><?xml version="1.0" encoding="UTF-8" standalone="yes"?>
<Relationships xmlns="http://schemas.openxmlformats.org/package/2006/relationships"><Relationship Id="rId2" Type="http://schemas.microsoft.com/office/2011/relationships/chartColorStyle" Target="colors116.xml"/><Relationship Id="rId1" Type="http://schemas.microsoft.com/office/2011/relationships/chartStyle" Target="style116.xml"/></Relationships>
</file>

<file path=xl/charts/_rels/chart117.xml.rels><?xml version="1.0" encoding="UTF-8" standalone="yes"?>
<Relationships xmlns="http://schemas.openxmlformats.org/package/2006/relationships"><Relationship Id="rId2" Type="http://schemas.microsoft.com/office/2011/relationships/chartColorStyle" Target="colors117.xml"/><Relationship Id="rId1" Type="http://schemas.microsoft.com/office/2011/relationships/chartStyle" Target="style117.xml"/></Relationships>
</file>

<file path=xl/charts/_rels/chart118.xml.rels><?xml version="1.0" encoding="UTF-8" standalone="yes"?>
<Relationships xmlns="http://schemas.openxmlformats.org/package/2006/relationships"><Relationship Id="rId2" Type="http://schemas.microsoft.com/office/2011/relationships/chartColorStyle" Target="colors118.xml"/><Relationship Id="rId1" Type="http://schemas.microsoft.com/office/2011/relationships/chartStyle" Target="style118.xml"/></Relationships>
</file>

<file path=xl/charts/_rels/chart119.xml.rels><?xml version="1.0" encoding="UTF-8" standalone="yes"?>
<Relationships xmlns="http://schemas.openxmlformats.org/package/2006/relationships"><Relationship Id="rId2" Type="http://schemas.microsoft.com/office/2011/relationships/chartColorStyle" Target="colors119.xml"/><Relationship Id="rId1" Type="http://schemas.microsoft.com/office/2011/relationships/chartStyle" Target="style119.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20.xml.rels><?xml version="1.0" encoding="UTF-8" standalone="yes"?>
<Relationships xmlns="http://schemas.openxmlformats.org/package/2006/relationships"><Relationship Id="rId2" Type="http://schemas.microsoft.com/office/2011/relationships/chartColorStyle" Target="colors120.xml"/><Relationship Id="rId1" Type="http://schemas.microsoft.com/office/2011/relationships/chartStyle" Target="style120.xml"/></Relationships>
</file>

<file path=xl/charts/_rels/chart121.xml.rels><?xml version="1.0" encoding="UTF-8" standalone="yes"?>
<Relationships xmlns="http://schemas.openxmlformats.org/package/2006/relationships"><Relationship Id="rId2" Type="http://schemas.microsoft.com/office/2011/relationships/chartColorStyle" Target="colors121.xml"/><Relationship Id="rId1" Type="http://schemas.microsoft.com/office/2011/relationships/chartStyle" Target="style121.xml"/></Relationships>
</file>

<file path=xl/charts/_rels/chart122.xml.rels><?xml version="1.0" encoding="UTF-8" standalone="yes"?>
<Relationships xmlns="http://schemas.openxmlformats.org/package/2006/relationships"><Relationship Id="rId2" Type="http://schemas.microsoft.com/office/2011/relationships/chartColorStyle" Target="colors122.xml"/><Relationship Id="rId1" Type="http://schemas.microsoft.com/office/2011/relationships/chartStyle" Target="style122.xml"/></Relationships>
</file>

<file path=xl/charts/_rels/chart123.xml.rels><?xml version="1.0" encoding="UTF-8" standalone="yes"?>
<Relationships xmlns="http://schemas.openxmlformats.org/package/2006/relationships"><Relationship Id="rId2" Type="http://schemas.microsoft.com/office/2011/relationships/chartColorStyle" Target="colors123.xml"/><Relationship Id="rId1" Type="http://schemas.microsoft.com/office/2011/relationships/chartStyle" Target="style123.xml"/></Relationships>
</file>

<file path=xl/charts/_rels/chart124.xml.rels><?xml version="1.0" encoding="UTF-8" standalone="yes"?>
<Relationships xmlns="http://schemas.openxmlformats.org/package/2006/relationships"><Relationship Id="rId2" Type="http://schemas.microsoft.com/office/2011/relationships/chartColorStyle" Target="colors124.xml"/><Relationship Id="rId1" Type="http://schemas.microsoft.com/office/2011/relationships/chartStyle" Target="style124.xml"/></Relationships>
</file>

<file path=xl/charts/_rels/chart125.xml.rels><?xml version="1.0" encoding="UTF-8" standalone="yes"?>
<Relationships xmlns="http://schemas.openxmlformats.org/package/2006/relationships"><Relationship Id="rId2" Type="http://schemas.microsoft.com/office/2011/relationships/chartColorStyle" Target="colors125.xml"/><Relationship Id="rId1" Type="http://schemas.microsoft.com/office/2011/relationships/chartStyle" Target="style125.xml"/></Relationships>
</file>

<file path=xl/charts/_rels/chart126.xml.rels><?xml version="1.0" encoding="UTF-8" standalone="yes"?>
<Relationships xmlns="http://schemas.openxmlformats.org/package/2006/relationships"><Relationship Id="rId2" Type="http://schemas.microsoft.com/office/2011/relationships/chartColorStyle" Target="colors126.xml"/><Relationship Id="rId1" Type="http://schemas.microsoft.com/office/2011/relationships/chartStyle" Target="style126.xml"/></Relationships>
</file>

<file path=xl/charts/_rels/chart127.xml.rels><?xml version="1.0" encoding="UTF-8" standalone="yes"?>
<Relationships xmlns="http://schemas.openxmlformats.org/package/2006/relationships"><Relationship Id="rId2" Type="http://schemas.microsoft.com/office/2011/relationships/chartColorStyle" Target="colors127.xml"/><Relationship Id="rId1" Type="http://schemas.microsoft.com/office/2011/relationships/chartStyle" Target="style127.xml"/></Relationships>
</file>

<file path=xl/charts/_rels/chart128.xml.rels><?xml version="1.0" encoding="UTF-8" standalone="yes"?>
<Relationships xmlns="http://schemas.openxmlformats.org/package/2006/relationships"><Relationship Id="rId2" Type="http://schemas.microsoft.com/office/2011/relationships/chartColorStyle" Target="colors128.xml"/><Relationship Id="rId1" Type="http://schemas.microsoft.com/office/2011/relationships/chartStyle" Target="style128.xml"/></Relationships>
</file>

<file path=xl/charts/_rels/chart129.xml.rels><?xml version="1.0" encoding="UTF-8" standalone="yes"?>
<Relationships xmlns="http://schemas.openxmlformats.org/package/2006/relationships"><Relationship Id="rId2" Type="http://schemas.microsoft.com/office/2011/relationships/chartColorStyle" Target="colors129.xml"/><Relationship Id="rId1" Type="http://schemas.microsoft.com/office/2011/relationships/chartStyle" Target="style129.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30.xml.rels><?xml version="1.0" encoding="UTF-8" standalone="yes"?>
<Relationships xmlns="http://schemas.openxmlformats.org/package/2006/relationships"><Relationship Id="rId2" Type="http://schemas.microsoft.com/office/2011/relationships/chartColorStyle" Target="colors130.xml"/><Relationship Id="rId1" Type="http://schemas.microsoft.com/office/2011/relationships/chartStyle" Target="style130.xml"/></Relationships>
</file>

<file path=xl/charts/_rels/chart131.xml.rels><?xml version="1.0" encoding="UTF-8" standalone="yes"?>
<Relationships xmlns="http://schemas.openxmlformats.org/package/2006/relationships"><Relationship Id="rId2" Type="http://schemas.microsoft.com/office/2011/relationships/chartColorStyle" Target="colors131.xml"/><Relationship Id="rId1" Type="http://schemas.microsoft.com/office/2011/relationships/chartStyle" Target="style131.xml"/></Relationships>
</file>

<file path=xl/charts/_rels/chart132.xml.rels><?xml version="1.0" encoding="UTF-8" standalone="yes"?>
<Relationships xmlns="http://schemas.openxmlformats.org/package/2006/relationships"><Relationship Id="rId2" Type="http://schemas.microsoft.com/office/2011/relationships/chartColorStyle" Target="colors132.xml"/><Relationship Id="rId1" Type="http://schemas.microsoft.com/office/2011/relationships/chartStyle" Target="style132.xml"/></Relationships>
</file>

<file path=xl/charts/_rels/chart133.xml.rels><?xml version="1.0" encoding="UTF-8" standalone="yes"?>
<Relationships xmlns="http://schemas.openxmlformats.org/package/2006/relationships"><Relationship Id="rId2" Type="http://schemas.microsoft.com/office/2011/relationships/chartColorStyle" Target="colors133.xml"/><Relationship Id="rId1" Type="http://schemas.microsoft.com/office/2011/relationships/chartStyle" Target="style13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55.xml.rels><?xml version="1.0" encoding="UTF-8" standalone="yes"?>
<Relationships xmlns="http://schemas.openxmlformats.org/package/2006/relationships"><Relationship Id="rId2" Type="http://schemas.microsoft.com/office/2011/relationships/chartColorStyle" Target="colors55.xml"/><Relationship Id="rId1" Type="http://schemas.microsoft.com/office/2011/relationships/chartStyle" Target="style55.xml"/></Relationships>
</file>

<file path=xl/charts/_rels/chart56.xml.rels><?xml version="1.0" encoding="UTF-8" standalone="yes"?>
<Relationships xmlns="http://schemas.openxmlformats.org/package/2006/relationships"><Relationship Id="rId2" Type="http://schemas.microsoft.com/office/2011/relationships/chartColorStyle" Target="colors56.xml"/><Relationship Id="rId1" Type="http://schemas.microsoft.com/office/2011/relationships/chartStyle" Target="style56.xml"/></Relationships>
</file>

<file path=xl/charts/_rels/chart57.xml.rels><?xml version="1.0" encoding="UTF-8" standalone="yes"?>
<Relationships xmlns="http://schemas.openxmlformats.org/package/2006/relationships"><Relationship Id="rId2" Type="http://schemas.microsoft.com/office/2011/relationships/chartColorStyle" Target="colors57.xml"/><Relationship Id="rId1" Type="http://schemas.microsoft.com/office/2011/relationships/chartStyle" Target="style57.xml"/></Relationships>
</file>

<file path=xl/charts/_rels/chart58.xml.rels><?xml version="1.0" encoding="UTF-8" standalone="yes"?>
<Relationships xmlns="http://schemas.openxmlformats.org/package/2006/relationships"><Relationship Id="rId2" Type="http://schemas.microsoft.com/office/2011/relationships/chartColorStyle" Target="colors58.xml"/><Relationship Id="rId1" Type="http://schemas.microsoft.com/office/2011/relationships/chartStyle" Target="style58.xml"/></Relationships>
</file>

<file path=xl/charts/_rels/chart59.xml.rels><?xml version="1.0" encoding="UTF-8" standalone="yes"?>
<Relationships xmlns="http://schemas.openxmlformats.org/package/2006/relationships"><Relationship Id="rId2" Type="http://schemas.microsoft.com/office/2011/relationships/chartColorStyle" Target="colors59.xml"/><Relationship Id="rId1" Type="http://schemas.microsoft.com/office/2011/relationships/chartStyle" Target="style59.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60.xml.rels><?xml version="1.0" encoding="UTF-8" standalone="yes"?>
<Relationships xmlns="http://schemas.openxmlformats.org/package/2006/relationships"><Relationship Id="rId2" Type="http://schemas.microsoft.com/office/2011/relationships/chartColorStyle" Target="colors60.xml"/><Relationship Id="rId1" Type="http://schemas.microsoft.com/office/2011/relationships/chartStyle" Target="style60.xml"/></Relationships>
</file>

<file path=xl/charts/_rels/chart61.xml.rels><?xml version="1.0" encoding="UTF-8" standalone="yes"?>
<Relationships xmlns="http://schemas.openxmlformats.org/package/2006/relationships"><Relationship Id="rId2" Type="http://schemas.microsoft.com/office/2011/relationships/chartColorStyle" Target="colors61.xml"/><Relationship Id="rId1" Type="http://schemas.microsoft.com/office/2011/relationships/chartStyle" Target="style61.xml"/></Relationships>
</file>

<file path=xl/charts/_rels/chart62.xml.rels><?xml version="1.0" encoding="UTF-8" standalone="yes"?>
<Relationships xmlns="http://schemas.openxmlformats.org/package/2006/relationships"><Relationship Id="rId2" Type="http://schemas.microsoft.com/office/2011/relationships/chartColorStyle" Target="colors62.xml"/><Relationship Id="rId1" Type="http://schemas.microsoft.com/office/2011/relationships/chartStyle" Target="style62.xml"/></Relationships>
</file>

<file path=xl/charts/_rels/chart63.xml.rels><?xml version="1.0" encoding="UTF-8" standalone="yes"?>
<Relationships xmlns="http://schemas.openxmlformats.org/package/2006/relationships"><Relationship Id="rId2" Type="http://schemas.microsoft.com/office/2011/relationships/chartColorStyle" Target="colors63.xml"/><Relationship Id="rId1" Type="http://schemas.microsoft.com/office/2011/relationships/chartStyle" Target="style63.xml"/></Relationships>
</file>

<file path=xl/charts/_rels/chart64.xml.rels><?xml version="1.0" encoding="UTF-8" standalone="yes"?>
<Relationships xmlns="http://schemas.openxmlformats.org/package/2006/relationships"><Relationship Id="rId2" Type="http://schemas.microsoft.com/office/2011/relationships/chartColorStyle" Target="colors64.xml"/><Relationship Id="rId1" Type="http://schemas.microsoft.com/office/2011/relationships/chartStyle" Target="style64.xml"/></Relationships>
</file>

<file path=xl/charts/_rels/chart65.xml.rels><?xml version="1.0" encoding="UTF-8" standalone="yes"?>
<Relationships xmlns="http://schemas.openxmlformats.org/package/2006/relationships"><Relationship Id="rId2" Type="http://schemas.microsoft.com/office/2011/relationships/chartColorStyle" Target="colors65.xml"/><Relationship Id="rId1" Type="http://schemas.microsoft.com/office/2011/relationships/chartStyle" Target="style65.xml"/></Relationships>
</file>

<file path=xl/charts/_rels/chart66.xml.rels><?xml version="1.0" encoding="UTF-8" standalone="yes"?>
<Relationships xmlns="http://schemas.openxmlformats.org/package/2006/relationships"><Relationship Id="rId2" Type="http://schemas.microsoft.com/office/2011/relationships/chartColorStyle" Target="colors66.xml"/><Relationship Id="rId1" Type="http://schemas.microsoft.com/office/2011/relationships/chartStyle" Target="style66.xml"/></Relationships>
</file>

<file path=xl/charts/_rels/chart67.xml.rels><?xml version="1.0" encoding="UTF-8" standalone="yes"?>
<Relationships xmlns="http://schemas.openxmlformats.org/package/2006/relationships"><Relationship Id="rId2" Type="http://schemas.microsoft.com/office/2011/relationships/chartColorStyle" Target="colors67.xml"/><Relationship Id="rId1" Type="http://schemas.microsoft.com/office/2011/relationships/chartStyle" Target="style67.xml"/></Relationships>
</file>

<file path=xl/charts/_rels/chart68.xml.rels><?xml version="1.0" encoding="UTF-8" standalone="yes"?>
<Relationships xmlns="http://schemas.openxmlformats.org/package/2006/relationships"><Relationship Id="rId2" Type="http://schemas.microsoft.com/office/2011/relationships/chartColorStyle" Target="colors68.xml"/><Relationship Id="rId1" Type="http://schemas.microsoft.com/office/2011/relationships/chartStyle" Target="style68.xml"/></Relationships>
</file>

<file path=xl/charts/_rels/chart69.xml.rels><?xml version="1.0" encoding="UTF-8" standalone="yes"?>
<Relationships xmlns="http://schemas.openxmlformats.org/package/2006/relationships"><Relationship Id="rId2" Type="http://schemas.microsoft.com/office/2011/relationships/chartColorStyle" Target="colors69.xml"/><Relationship Id="rId1" Type="http://schemas.microsoft.com/office/2011/relationships/chartStyle" Target="style69.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70.xml.rels><?xml version="1.0" encoding="UTF-8" standalone="yes"?>
<Relationships xmlns="http://schemas.openxmlformats.org/package/2006/relationships"><Relationship Id="rId2" Type="http://schemas.microsoft.com/office/2011/relationships/chartColorStyle" Target="colors70.xml"/><Relationship Id="rId1" Type="http://schemas.microsoft.com/office/2011/relationships/chartStyle" Target="style70.xml"/></Relationships>
</file>

<file path=xl/charts/_rels/chart71.xml.rels><?xml version="1.0" encoding="UTF-8" standalone="yes"?>
<Relationships xmlns="http://schemas.openxmlformats.org/package/2006/relationships"><Relationship Id="rId2" Type="http://schemas.microsoft.com/office/2011/relationships/chartColorStyle" Target="colors71.xml"/><Relationship Id="rId1" Type="http://schemas.microsoft.com/office/2011/relationships/chartStyle" Target="style71.xml"/></Relationships>
</file>

<file path=xl/charts/_rels/chart72.xml.rels><?xml version="1.0" encoding="UTF-8" standalone="yes"?>
<Relationships xmlns="http://schemas.openxmlformats.org/package/2006/relationships"><Relationship Id="rId2" Type="http://schemas.microsoft.com/office/2011/relationships/chartColorStyle" Target="colors72.xml"/><Relationship Id="rId1" Type="http://schemas.microsoft.com/office/2011/relationships/chartStyle" Target="style72.xml"/></Relationships>
</file>

<file path=xl/charts/_rels/chart73.xml.rels><?xml version="1.0" encoding="UTF-8" standalone="yes"?>
<Relationships xmlns="http://schemas.openxmlformats.org/package/2006/relationships"><Relationship Id="rId2" Type="http://schemas.microsoft.com/office/2011/relationships/chartColorStyle" Target="colors73.xml"/><Relationship Id="rId1" Type="http://schemas.microsoft.com/office/2011/relationships/chartStyle" Target="style73.xml"/></Relationships>
</file>

<file path=xl/charts/_rels/chart74.xml.rels><?xml version="1.0" encoding="UTF-8" standalone="yes"?>
<Relationships xmlns="http://schemas.openxmlformats.org/package/2006/relationships"><Relationship Id="rId2" Type="http://schemas.microsoft.com/office/2011/relationships/chartColorStyle" Target="colors74.xml"/><Relationship Id="rId1" Type="http://schemas.microsoft.com/office/2011/relationships/chartStyle" Target="style74.xml"/></Relationships>
</file>

<file path=xl/charts/_rels/chart75.xml.rels><?xml version="1.0" encoding="UTF-8" standalone="yes"?>
<Relationships xmlns="http://schemas.openxmlformats.org/package/2006/relationships"><Relationship Id="rId2" Type="http://schemas.microsoft.com/office/2011/relationships/chartColorStyle" Target="colors75.xml"/><Relationship Id="rId1" Type="http://schemas.microsoft.com/office/2011/relationships/chartStyle" Target="style75.xml"/></Relationships>
</file>

<file path=xl/charts/_rels/chart76.xml.rels><?xml version="1.0" encoding="UTF-8" standalone="yes"?>
<Relationships xmlns="http://schemas.openxmlformats.org/package/2006/relationships"><Relationship Id="rId2" Type="http://schemas.microsoft.com/office/2011/relationships/chartColorStyle" Target="colors76.xml"/><Relationship Id="rId1" Type="http://schemas.microsoft.com/office/2011/relationships/chartStyle" Target="style76.xml"/></Relationships>
</file>

<file path=xl/charts/_rels/chart77.xml.rels><?xml version="1.0" encoding="UTF-8" standalone="yes"?>
<Relationships xmlns="http://schemas.openxmlformats.org/package/2006/relationships"><Relationship Id="rId2" Type="http://schemas.microsoft.com/office/2011/relationships/chartColorStyle" Target="colors77.xml"/><Relationship Id="rId1" Type="http://schemas.microsoft.com/office/2011/relationships/chartStyle" Target="style77.xml"/></Relationships>
</file>

<file path=xl/charts/_rels/chart78.xml.rels><?xml version="1.0" encoding="UTF-8" standalone="yes"?>
<Relationships xmlns="http://schemas.openxmlformats.org/package/2006/relationships"><Relationship Id="rId2" Type="http://schemas.microsoft.com/office/2011/relationships/chartColorStyle" Target="colors78.xml"/><Relationship Id="rId1" Type="http://schemas.microsoft.com/office/2011/relationships/chartStyle" Target="style78.xml"/></Relationships>
</file>

<file path=xl/charts/_rels/chart79.xml.rels><?xml version="1.0" encoding="UTF-8" standalone="yes"?>
<Relationships xmlns="http://schemas.openxmlformats.org/package/2006/relationships"><Relationship Id="rId2" Type="http://schemas.microsoft.com/office/2011/relationships/chartColorStyle" Target="colors79.xml"/><Relationship Id="rId1" Type="http://schemas.microsoft.com/office/2011/relationships/chartStyle" Target="style79.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80.xml.rels><?xml version="1.0" encoding="UTF-8" standalone="yes"?>
<Relationships xmlns="http://schemas.openxmlformats.org/package/2006/relationships"><Relationship Id="rId2" Type="http://schemas.microsoft.com/office/2011/relationships/chartColorStyle" Target="colors80.xml"/><Relationship Id="rId1" Type="http://schemas.microsoft.com/office/2011/relationships/chartStyle" Target="style80.xml"/></Relationships>
</file>

<file path=xl/charts/_rels/chart81.xml.rels><?xml version="1.0" encoding="UTF-8" standalone="yes"?>
<Relationships xmlns="http://schemas.openxmlformats.org/package/2006/relationships"><Relationship Id="rId2" Type="http://schemas.microsoft.com/office/2011/relationships/chartColorStyle" Target="colors81.xml"/><Relationship Id="rId1" Type="http://schemas.microsoft.com/office/2011/relationships/chartStyle" Target="style81.xml"/></Relationships>
</file>

<file path=xl/charts/_rels/chart82.xml.rels><?xml version="1.0" encoding="UTF-8" standalone="yes"?>
<Relationships xmlns="http://schemas.openxmlformats.org/package/2006/relationships"><Relationship Id="rId2" Type="http://schemas.microsoft.com/office/2011/relationships/chartColorStyle" Target="colors82.xml"/><Relationship Id="rId1" Type="http://schemas.microsoft.com/office/2011/relationships/chartStyle" Target="style82.xml"/></Relationships>
</file>

<file path=xl/charts/_rels/chart83.xml.rels><?xml version="1.0" encoding="UTF-8" standalone="yes"?>
<Relationships xmlns="http://schemas.openxmlformats.org/package/2006/relationships"><Relationship Id="rId2" Type="http://schemas.microsoft.com/office/2011/relationships/chartColorStyle" Target="colors83.xml"/><Relationship Id="rId1" Type="http://schemas.microsoft.com/office/2011/relationships/chartStyle" Target="style83.xml"/></Relationships>
</file>

<file path=xl/charts/_rels/chart84.xml.rels><?xml version="1.0" encoding="UTF-8" standalone="yes"?>
<Relationships xmlns="http://schemas.openxmlformats.org/package/2006/relationships"><Relationship Id="rId2" Type="http://schemas.microsoft.com/office/2011/relationships/chartColorStyle" Target="colors84.xml"/><Relationship Id="rId1" Type="http://schemas.microsoft.com/office/2011/relationships/chartStyle" Target="style84.xml"/></Relationships>
</file>

<file path=xl/charts/_rels/chart85.xml.rels><?xml version="1.0" encoding="UTF-8" standalone="yes"?>
<Relationships xmlns="http://schemas.openxmlformats.org/package/2006/relationships"><Relationship Id="rId2" Type="http://schemas.microsoft.com/office/2011/relationships/chartColorStyle" Target="colors85.xml"/><Relationship Id="rId1" Type="http://schemas.microsoft.com/office/2011/relationships/chartStyle" Target="style85.xml"/></Relationships>
</file>

<file path=xl/charts/_rels/chart86.xml.rels><?xml version="1.0" encoding="UTF-8" standalone="yes"?>
<Relationships xmlns="http://schemas.openxmlformats.org/package/2006/relationships"><Relationship Id="rId2" Type="http://schemas.microsoft.com/office/2011/relationships/chartColorStyle" Target="colors86.xml"/><Relationship Id="rId1" Type="http://schemas.microsoft.com/office/2011/relationships/chartStyle" Target="style86.xml"/></Relationships>
</file>

<file path=xl/charts/_rels/chart87.xml.rels><?xml version="1.0" encoding="UTF-8" standalone="yes"?>
<Relationships xmlns="http://schemas.openxmlformats.org/package/2006/relationships"><Relationship Id="rId2" Type="http://schemas.microsoft.com/office/2011/relationships/chartColorStyle" Target="colors87.xml"/><Relationship Id="rId1" Type="http://schemas.microsoft.com/office/2011/relationships/chartStyle" Target="style87.xml"/></Relationships>
</file>

<file path=xl/charts/_rels/chart88.xml.rels><?xml version="1.0" encoding="UTF-8" standalone="yes"?>
<Relationships xmlns="http://schemas.openxmlformats.org/package/2006/relationships"><Relationship Id="rId2" Type="http://schemas.microsoft.com/office/2011/relationships/chartColorStyle" Target="colors88.xml"/><Relationship Id="rId1" Type="http://schemas.microsoft.com/office/2011/relationships/chartStyle" Target="style88.xml"/></Relationships>
</file>

<file path=xl/charts/_rels/chart89.xml.rels><?xml version="1.0" encoding="UTF-8" standalone="yes"?>
<Relationships xmlns="http://schemas.openxmlformats.org/package/2006/relationships"><Relationship Id="rId2" Type="http://schemas.microsoft.com/office/2011/relationships/chartColorStyle" Target="colors89.xml"/><Relationship Id="rId1" Type="http://schemas.microsoft.com/office/2011/relationships/chartStyle" Target="style89.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90.xml.rels><?xml version="1.0" encoding="UTF-8" standalone="yes"?>
<Relationships xmlns="http://schemas.openxmlformats.org/package/2006/relationships"><Relationship Id="rId2" Type="http://schemas.microsoft.com/office/2011/relationships/chartColorStyle" Target="colors90.xml"/><Relationship Id="rId1" Type="http://schemas.microsoft.com/office/2011/relationships/chartStyle" Target="style90.xml"/></Relationships>
</file>

<file path=xl/charts/_rels/chart91.xml.rels><?xml version="1.0" encoding="UTF-8" standalone="yes"?>
<Relationships xmlns="http://schemas.openxmlformats.org/package/2006/relationships"><Relationship Id="rId2" Type="http://schemas.microsoft.com/office/2011/relationships/chartColorStyle" Target="colors91.xml"/><Relationship Id="rId1" Type="http://schemas.microsoft.com/office/2011/relationships/chartStyle" Target="style91.xml"/></Relationships>
</file>

<file path=xl/charts/_rels/chart92.xml.rels><?xml version="1.0" encoding="UTF-8" standalone="yes"?>
<Relationships xmlns="http://schemas.openxmlformats.org/package/2006/relationships"><Relationship Id="rId2" Type="http://schemas.microsoft.com/office/2011/relationships/chartColorStyle" Target="colors92.xml"/><Relationship Id="rId1" Type="http://schemas.microsoft.com/office/2011/relationships/chartStyle" Target="style92.xml"/></Relationships>
</file>

<file path=xl/charts/_rels/chart93.xml.rels><?xml version="1.0" encoding="UTF-8" standalone="yes"?>
<Relationships xmlns="http://schemas.openxmlformats.org/package/2006/relationships"><Relationship Id="rId2" Type="http://schemas.microsoft.com/office/2011/relationships/chartColorStyle" Target="colors93.xml"/><Relationship Id="rId1" Type="http://schemas.microsoft.com/office/2011/relationships/chartStyle" Target="style93.xml"/></Relationships>
</file>

<file path=xl/charts/_rels/chart94.xml.rels><?xml version="1.0" encoding="UTF-8" standalone="yes"?>
<Relationships xmlns="http://schemas.openxmlformats.org/package/2006/relationships"><Relationship Id="rId2" Type="http://schemas.microsoft.com/office/2011/relationships/chartColorStyle" Target="colors94.xml"/><Relationship Id="rId1" Type="http://schemas.microsoft.com/office/2011/relationships/chartStyle" Target="style94.xml"/></Relationships>
</file>

<file path=xl/charts/_rels/chart95.xml.rels><?xml version="1.0" encoding="UTF-8" standalone="yes"?>
<Relationships xmlns="http://schemas.openxmlformats.org/package/2006/relationships"><Relationship Id="rId2" Type="http://schemas.microsoft.com/office/2011/relationships/chartColorStyle" Target="colors95.xml"/><Relationship Id="rId1" Type="http://schemas.microsoft.com/office/2011/relationships/chartStyle" Target="style95.xml"/></Relationships>
</file>

<file path=xl/charts/_rels/chart96.xml.rels><?xml version="1.0" encoding="UTF-8" standalone="yes"?>
<Relationships xmlns="http://schemas.openxmlformats.org/package/2006/relationships"><Relationship Id="rId2" Type="http://schemas.microsoft.com/office/2011/relationships/chartColorStyle" Target="colors96.xml"/><Relationship Id="rId1" Type="http://schemas.microsoft.com/office/2011/relationships/chartStyle" Target="style96.xml"/></Relationships>
</file>

<file path=xl/charts/_rels/chart97.xml.rels><?xml version="1.0" encoding="UTF-8" standalone="yes"?>
<Relationships xmlns="http://schemas.openxmlformats.org/package/2006/relationships"><Relationship Id="rId2" Type="http://schemas.microsoft.com/office/2011/relationships/chartColorStyle" Target="colors97.xml"/><Relationship Id="rId1" Type="http://schemas.microsoft.com/office/2011/relationships/chartStyle" Target="style97.xml"/></Relationships>
</file>

<file path=xl/charts/_rels/chart98.xml.rels><?xml version="1.0" encoding="UTF-8" standalone="yes"?>
<Relationships xmlns="http://schemas.openxmlformats.org/package/2006/relationships"><Relationship Id="rId2" Type="http://schemas.microsoft.com/office/2011/relationships/chartColorStyle" Target="colors98.xml"/><Relationship Id="rId1" Type="http://schemas.microsoft.com/office/2011/relationships/chartStyle" Target="style98.xml"/></Relationships>
</file>

<file path=xl/charts/_rels/chart99.xml.rels><?xml version="1.0" encoding="UTF-8" standalone="yes"?>
<Relationships xmlns="http://schemas.openxmlformats.org/package/2006/relationships"><Relationship Id="rId2" Type="http://schemas.microsoft.com/office/2011/relationships/chartColorStyle" Target="colors99.xml"/><Relationship Id="rId1" Type="http://schemas.microsoft.com/office/2011/relationships/chartStyle" Target="style9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5"/>
    </mc:Choice>
    <mc:Fallback>
      <c:style val="5"/>
    </mc:Fallback>
  </mc:AlternateContent>
  <c:chart>
    <c:title>
      <c:tx>
        <c:strRef>
          <c:f>Jan!$B$93</c:f>
          <c:strCache>
            <c:ptCount val="1"/>
            <c:pt idx="0">
              <c:v>Falls by Location</c:v>
            </c:pt>
          </c:strCache>
        </c:strRef>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
          <c:order val="0"/>
          <c:tx>
            <c:strRef>
              <c:f>Jan!$D$94</c:f>
              <c:strCache>
                <c:ptCount val="1"/>
                <c:pt idx="0">
                  <c:v>Total</c:v>
                </c:pt>
              </c:strCache>
            </c:strRef>
          </c:tx>
          <c:spPr>
            <a:solidFill>
              <a:schemeClr val="accent3">
                <a:tint val="77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Jan!$B$95:$B$105</c:f>
              <c:strCache>
                <c:ptCount val="7"/>
                <c:pt idx="0">
                  <c:v>Activity Room</c:v>
                </c:pt>
                <c:pt idx="1">
                  <c:v>Bedroom</c:v>
                </c:pt>
                <c:pt idx="2">
                  <c:v>Bathroom</c:v>
                </c:pt>
                <c:pt idx="3">
                  <c:v>Hallway</c:v>
                </c:pt>
                <c:pt idx="4">
                  <c:v>Offsite</c:v>
                </c:pt>
                <c:pt idx="5">
                  <c:v>Shower Room</c:v>
                </c:pt>
                <c:pt idx="6">
                  <c:v>Dining Room</c:v>
                </c:pt>
              </c:strCache>
            </c:strRef>
          </c:cat>
          <c:val>
            <c:numRef>
              <c:f>Jan!$D$95:$D$105</c:f>
              <c:numCache>
                <c:formatCode>General</c:formatCode>
                <c:ptCount val="11"/>
                <c:pt idx="0">
                  <c:v>0</c:v>
                </c:pt>
                <c:pt idx="1">
                  <c:v>0</c:v>
                </c:pt>
                <c:pt idx="2">
                  <c:v>0</c:v>
                </c:pt>
                <c:pt idx="3">
                  <c:v>0</c:v>
                </c:pt>
                <c:pt idx="4">
                  <c:v>0</c:v>
                </c:pt>
                <c:pt idx="5">
                  <c:v>0</c:v>
                </c:pt>
                <c:pt idx="6">
                  <c:v>0</c:v>
                </c:pt>
                <c:pt idx="7">
                  <c:v>#N/A</c:v>
                </c:pt>
                <c:pt idx="8">
                  <c:v>#N/A</c:v>
                </c:pt>
                <c:pt idx="9">
                  <c:v>#N/A</c:v>
                </c:pt>
                <c:pt idx="10">
                  <c:v>#N/A</c:v>
                </c:pt>
              </c:numCache>
            </c:numRef>
          </c:val>
          <c:extLst>
            <c:ext xmlns:c16="http://schemas.microsoft.com/office/drawing/2014/chart" uri="{C3380CC4-5D6E-409C-BE32-E72D297353CC}">
              <c16:uniqueId val="{00000004-3423-45E3-9871-E9120103B51C}"/>
            </c:ext>
          </c:extLst>
        </c:ser>
        <c:dLbls>
          <c:showLegendKey val="0"/>
          <c:showVal val="0"/>
          <c:showCatName val="0"/>
          <c:showSerName val="0"/>
          <c:showPercent val="0"/>
          <c:showBubbleSize val="0"/>
        </c:dLbls>
        <c:gapWidth val="219"/>
        <c:overlap val="-27"/>
        <c:axId val="1569634943"/>
        <c:axId val="1590853103"/>
      </c:barChart>
      <c:catAx>
        <c:axId val="156963494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US"/>
          </a:p>
        </c:txPr>
        <c:crossAx val="1590853103"/>
        <c:crosses val="autoZero"/>
        <c:auto val="1"/>
        <c:lblAlgn val="ctr"/>
        <c:lblOffset val="100"/>
        <c:noMultiLvlLbl val="0"/>
      </c:catAx>
      <c:valAx>
        <c:axId val="1590853103"/>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69634943"/>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3175"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Jan!$F$51</c:f>
          <c:strCache>
            <c:ptCount val="1"/>
            <c:pt idx="0">
              <c:v>Fall Circumstances</c:v>
            </c:pt>
          </c:strCache>
        </c:strRef>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Jan!$H$52</c:f>
              <c:strCache>
                <c:ptCount val="1"/>
                <c:pt idx="0">
                  <c:v>Total</c:v>
                </c:pt>
              </c:strCache>
            </c:strRef>
          </c:tx>
          <c:spPr>
            <a:solidFill>
              <a:schemeClr val="bg2">
                <a:lumMod val="90000"/>
              </a:schemeClr>
            </a:solidFill>
            <a:ln>
              <a:solidFill>
                <a:schemeClr val="bg2">
                  <a:lumMod val="90000"/>
                </a:schemeClr>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Jan!$F$53:$F$55</c:f>
              <c:strCache>
                <c:ptCount val="3"/>
                <c:pt idx="0">
                  <c:v>Overwhelming Force</c:v>
                </c:pt>
                <c:pt idx="1">
                  <c:v>Intercepted</c:v>
                </c:pt>
                <c:pt idx="2">
                  <c:v>N/A</c:v>
                </c:pt>
              </c:strCache>
            </c:strRef>
          </c:cat>
          <c:val>
            <c:numRef>
              <c:f>Jan!$H$53:$H$55</c:f>
              <c:numCache>
                <c:formatCode>General</c:formatCode>
                <c:ptCount val="3"/>
                <c:pt idx="0">
                  <c:v>0</c:v>
                </c:pt>
                <c:pt idx="1">
                  <c:v>0</c:v>
                </c:pt>
                <c:pt idx="2">
                  <c:v>0</c:v>
                </c:pt>
              </c:numCache>
            </c:numRef>
          </c:val>
          <c:extLst>
            <c:ext xmlns:c16="http://schemas.microsoft.com/office/drawing/2014/chart" uri="{C3380CC4-5D6E-409C-BE32-E72D297353CC}">
              <c16:uniqueId val="{00000001-0C1A-492B-AC95-C5E99F6DBEBF}"/>
            </c:ext>
          </c:extLst>
        </c:ser>
        <c:dLbls>
          <c:showLegendKey val="0"/>
          <c:showVal val="0"/>
          <c:showCatName val="0"/>
          <c:showSerName val="0"/>
          <c:showPercent val="0"/>
          <c:showBubbleSize val="0"/>
        </c:dLbls>
        <c:gapWidth val="219"/>
        <c:overlap val="-27"/>
        <c:axId val="1226967759"/>
        <c:axId val="1226960559"/>
      </c:barChart>
      <c:catAx>
        <c:axId val="12269677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US"/>
          </a:p>
        </c:txPr>
        <c:crossAx val="1226960559"/>
        <c:crosses val="autoZero"/>
        <c:auto val="1"/>
        <c:lblAlgn val="ctr"/>
        <c:lblOffset val="100"/>
        <c:noMultiLvlLbl val="0"/>
      </c:catAx>
      <c:valAx>
        <c:axId val="122696055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1226967759"/>
        <c:crosses val="autoZero"/>
        <c:crossBetween val="between"/>
      </c:valAx>
      <c:spPr>
        <a:noFill/>
        <a:ln>
          <a:noFill/>
        </a:ln>
        <a:effectLst/>
      </c:spPr>
    </c:plotArea>
    <c:plotVisOnly val="1"/>
    <c:dispBlanksAs val="gap"/>
    <c:showDLblsOverMax val="0"/>
  </c:chart>
  <c:spPr>
    <a:noFill/>
    <a:ln w="6350"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c:printSettings>
</c:chartSpace>
</file>

<file path=xl/charts/chart10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Jan!$B$134</c:f>
          <c:strCache>
            <c:ptCount val="1"/>
            <c:pt idx="0">
              <c:v>Falls by Shift</c:v>
            </c:pt>
          </c:strCache>
        </c:strRef>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tx>
            <c:strRef>
              <c:f>Oct!$D$135</c:f>
              <c:strCache>
                <c:ptCount val="1"/>
                <c:pt idx="0">
                  <c:v>Total</c:v>
                </c:pt>
              </c:strCache>
            </c:strRef>
          </c:tx>
          <c:spPr>
            <a:solidFill>
              <a:schemeClr val="bg1">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Oct!$B$136:$B$140</c:f>
              <c:strCache>
                <c:ptCount val="4"/>
                <c:pt idx="0">
                  <c:v>11-7</c:v>
                </c:pt>
                <c:pt idx="1">
                  <c:v>11–7</c:v>
                </c:pt>
                <c:pt idx="2">
                  <c:v>7–3</c:v>
                </c:pt>
                <c:pt idx="3">
                  <c:v>3–11</c:v>
                </c:pt>
              </c:strCache>
            </c:strRef>
          </c:cat>
          <c:val>
            <c:numRef>
              <c:f>Oct!$D$136:$D$140</c:f>
              <c:numCache>
                <c:formatCode>General</c:formatCode>
                <c:ptCount val="5"/>
                <c:pt idx="0">
                  <c:v>0</c:v>
                </c:pt>
                <c:pt idx="1">
                  <c:v>0</c:v>
                </c:pt>
                <c:pt idx="2">
                  <c:v>0</c:v>
                </c:pt>
                <c:pt idx="3">
                  <c:v>0</c:v>
                </c:pt>
                <c:pt idx="4">
                  <c:v>#N/A</c:v>
                </c:pt>
              </c:numCache>
            </c:numRef>
          </c:val>
          <c:extLst>
            <c:ext xmlns:c16="http://schemas.microsoft.com/office/drawing/2014/chart" uri="{C3380CC4-5D6E-409C-BE32-E72D297353CC}">
              <c16:uniqueId val="{00000001-24C5-47D9-85DA-1599C2E81FB3}"/>
            </c:ext>
          </c:extLst>
        </c:ser>
        <c:dLbls>
          <c:showLegendKey val="0"/>
          <c:showVal val="0"/>
          <c:showCatName val="0"/>
          <c:showSerName val="0"/>
          <c:showPercent val="0"/>
          <c:showBubbleSize val="0"/>
        </c:dLbls>
        <c:gapWidth val="219"/>
        <c:axId val="789078271"/>
        <c:axId val="789056671"/>
      </c:barChart>
      <c:catAx>
        <c:axId val="789078271"/>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US"/>
          </a:p>
        </c:txPr>
        <c:crossAx val="789056671"/>
        <c:crosses val="autoZero"/>
        <c:auto val="1"/>
        <c:lblAlgn val="ctr"/>
        <c:lblOffset val="100"/>
        <c:noMultiLvlLbl val="0"/>
      </c:catAx>
      <c:valAx>
        <c:axId val="789056671"/>
        <c:scaling>
          <c:orientation val="minMax"/>
        </c:scaling>
        <c:delete val="1"/>
        <c:axPos val="t"/>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789078271"/>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c:printSettings>
</c:chartSpace>
</file>

<file path=xl/charts/chart10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5"/>
    </mc:Choice>
    <mc:Fallback>
      <c:style val="5"/>
    </mc:Fallback>
  </mc:AlternateContent>
  <c:chart>
    <c:title>
      <c:tx>
        <c:strRef>
          <c:f>Nov!$B$93</c:f>
          <c:strCache>
            <c:ptCount val="1"/>
            <c:pt idx="0">
              <c:v>Falls by Location</c:v>
            </c:pt>
          </c:strCache>
        </c:strRef>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
          <c:order val="0"/>
          <c:tx>
            <c:strRef>
              <c:f>Nov!$D$94</c:f>
              <c:strCache>
                <c:ptCount val="1"/>
                <c:pt idx="0">
                  <c:v>Total</c:v>
                </c:pt>
              </c:strCache>
            </c:strRef>
          </c:tx>
          <c:spPr>
            <a:solidFill>
              <a:schemeClr val="accent3">
                <a:tint val="77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Nov!$B$95:$B$105</c:f>
              <c:strCache>
                <c:ptCount val="7"/>
                <c:pt idx="0">
                  <c:v>Activity Room</c:v>
                </c:pt>
                <c:pt idx="1">
                  <c:v>Bedroom</c:v>
                </c:pt>
                <c:pt idx="2">
                  <c:v>Bathroom</c:v>
                </c:pt>
                <c:pt idx="3">
                  <c:v>Hallway</c:v>
                </c:pt>
                <c:pt idx="4">
                  <c:v>Offsite</c:v>
                </c:pt>
                <c:pt idx="5">
                  <c:v>Shower Room</c:v>
                </c:pt>
                <c:pt idx="6">
                  <c:v>Dining Room</c:v>
                </c:pt>
              </c:strCache>
            </c:strRef>
          </c:cat>
          <c:val>
            <c:numRef>
              <c:f>Nov!$D$95:$D$105</c:f>
              <c:numCache>
                <c:formatCode>General</c:formatCode>
                <c:ptCount val="11"/>
                <c:pt idx="0">
                  <c:v>0</c:v>
                </c:pt>
                <c:pt idx="1">
                  <c:v>0</c:v>
                </c:pt>
                <c:pt idx="2">
                  <c:v>0</c:v>
                </c:pt>
                <c:pt idx="3">
                  <c:v>0</c:v>
                </c:pt>
                <c:pt idx="4">
                  <c:v>0</c:v>
                </c:pt>
                <c:pt idx="5">
                  <c:v>0</c:v>
                </c:pt>
                <c:pt idx="6">
                  <c:v>0</c:v>
                </c:pt>
                <c:pt idx="7">
                  <c:v>#N/A</c:v>
                </c:pt>
                <c:pt idx="8">
                  <c:v>#N/A</c:v>
                </c:pt>
                <c:pt idx="9">
                  <c:v>#N/A</c:v>
                </c:pt>
                <c:pt idx="10">
                  <c:v>#N/A</c:v>
                </c:pt>
              </c:numCache>
            </c:numRef>
          </c:val>
          <c:extLst>
            <c:ext xmlns:c16="http://schemas.microsoft.com/office/drawing/2014/chart" uri="{C3380CC4-5D6E-409C-BE32-E72D297353CC}">
              <c16:uniqueId val="{00000000-D2D6-45E2-B682-1D79C6A8DBC8}"/>
            </c:ext>
          </c:extLst>
        </c:ser>
        <c:dLbls>
          <c:showLegendKey val="0"/>
          <c:showVal val="0"/>
          <c:showCatName val="0"/>
          <c:showSerName val="0"/>
          <c:showPercent val="0"/>
          <c:showBubbleSize val="0"/>
        </c:dLbls>
        <c:gapWidth val="219"/>
        <c:overlap val="-27"/>
        <c:axId val="1569634943"/>
        <c:axId val="1590853103"/>
      </c:barChart>
      <c:catAx>
        <c:axId val="156963494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US"/>
          </a:p>
        </c:txPr>
        <c:crossAx val="1590853103"/>
        <c:crosses val="autoZero"/>
        <c:auto val="1"/>
        <c:lblAlgn val="ctr"/>
        <c:lblOffset val="100"/>
        <c:noMultiLvlLbl val="0"/>
      </c:catAx>
      <c:valAx>
        <c:axId val="1590853103"/>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69634943"/>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3175"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c:printSettings>
</c:chartSpace>
</file>

<file path=xl/charts/chart10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Nov!$B$123</c:f>
          <c:strCache>
            <c:ptCount val="1"/>
            <c:pt idx="0">
              <c:v>Falls by Day of the Week </c:v>
            </c:pt>
          </c:strCache>
        </c:strRef>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
          <c:order val="0"/>
          <c:tx>
            <c:strRef>
              <c:f>Nov!$D$124</c:f>
              <c:strCache>
                <c:ptCount val="1"/>
                <c:pt idx="0">
                  <c:v>Total</c:v>
                </c:pt>
              </c:strCache>
            </c:strRef>
          </c:tx>
          <c:spPr>
            <a:solidFill>
              <a:schemeClr val="bg1">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Nov!$B$125:$B$131</c:f>
              <c:strCache>
                <c:ptCount val="7"/>
                <c:pt idx="0">
                  <c:v>Sun</c:v>
                </c:pt>
                <c:pt idx="1">
                  <c:v>Mon</c:v>
                </c:pt>
                <c:pt idx="2">
                  <c:v>Tue</c:v>
                </c:pt>
                <c:pt idx="3">
                  <c:v>Wed</c:v>
                </c:pt>
                <c:pt idx="4">
                  <c:v>Thu</c:v>
                </c:pt>
                <c:pt idx="5">
                  <c:v>Fri</c:v>
                </c:pt>
                <c:pt idx="6">
                  <c:v>Sat</c:v>
                </c:pt>
              </c:strCache>
            </c:strRef>
          </c:cat>
          <c:val>
            <c:numRef>
              <c:f>Nov!$D$125:$D$131</c:f>
              <c:numCache>
                <c:formatCode>General</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63B8-4145-AC21-7C20348D52EC}"/>
            </c:ext>
          </c:extLst>
        </c:ser>
        <c:dLbls>
          <c:showLegendKey val="0"/>
          <c:showVal val="0"/>
          <c:showCatName val="0"/>
          <c:showSerName val="0"/>
          <c:showPercent val="0"/>
          <c:showBubbleSize val="0"/>
        </c:dLbls>
        <c:gapWidth val="219"/>
        <c:overlap val="-27"/>
        <c:axId val="1569634943"/>
        <c:axId val="1590853103"/>
      </c:barChart>
      <c:catAx>
        <c:axId val="156963494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US"/>
          </a:p>
        </c:txPr>
        <c:crossAx val="1590853103"/>
        <c:crosses val="autoZero"/>
        <c:auto val="1"/>
        <c:lblAlgn val="ctr"/>
        <c:lblOffset val="100"/>
        <c:noMultiLvlLbl val="0"/>
      </c:catAx>
      <c:valAx>
        <c:axId val="1590853103"/>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69634943"/>
        <c:crosses val="autoZero"/>
        <c:crossBetween val="between"/>
      </c:valAx>
      <c:spPr>
        <a:noFill/>
        <a:ln>
          <a:noFill/>
        </a:ln>
        <a:effectLst/>
      </c:spPr>
    </c:plotArea>
    <c:plotVisOnly val="1"/>
    <c:dispBlanksAs val="gap"/>
    <c:showDLblsOverMax val="0"/>
  </c:chart>
  <c:spPr>
    <a:solidFill>
      <a:schemeClr val="bg1"/>
    </a:solidFill>
    <a:ln w="3175"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c:printSettings>
</c:chartSpace>
</file>

<file path=xl/charts/chart10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Nov!$B$108</c:f>
          <c:strCache>
            <c:ptCount val="1"/>
            <c:pt idx="0">
              <c:v>Falls by Nursing Station </c:v>
            </c:pt>
          </c:strCache>
        </c:strRef>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
          <c:order val="0"/>
          <c:tx>
            <c:strRef>
              <c:f>Nov!$D$109</c:f>
              <c:strCache>
                <c:ptCount val="1"/>
                <c:pt idx="0">
                  <c:v>Total</c:v>
                </c:pt>
              </c:strCache>
            </c:strRef>
          </c:tx>
          <c:spPr>
            <a:solidFill>
              <a:schemeClr val="bg1">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Nov!$B$110:$B$120</c:f>
              <c:strCache>
                <c:ptCount val="5"/>
                <c:pt idx="0">
                  <c:v>1</c:v>
                </c:pt>
                <c:pt idx="1">
                  <c:v>2</c:v>
                </c:pt>
                <c:pt idx="2">
                  <c:v>3</c:v>
                </c:pt>
                <c:pt idx="3">
                  <c:v>4</c:v>
                </c:pt>
                <c:pt idx="4">
                  <c:v>5</c:v>
                </c:pt>
              </c:strCache>
            </c:strRef>
          </c:cat>
          <c:val>
            <c:numRef>
              <c:f>Nov!$D$110:$D$120</c:f>
              <c:numCache>
                <c:formatCode>General</c:formatCode>
                <c:ptCount val="11"/>
                <c:pt idx="0">
                  <c:v>0</c:v>
                </c:pt>
                <c:pt idx="1">
                  <c:v>0</c:v>
                </c:pt>
                <c:pt idx="2">
                  <c:v>0</c:v>
                </c:pt>
                <c:pt idx="3">
                  <c:v>0</c:v>
                </c:pt>
                <c:pt idx="4">
                  <c:v>0</c:v>
                </c:pt>
                <c:pt idx="5">
                  <c:v>#N/A</c:v>
                </c:pt>
                <c:pt idx="6">
                  <c:v>#N/A</c:v>
                </c:pt>
                <c:pt idx="7">
                  <c:v>#N/A</c:v>
                </c:pt>
                <c:pt idx="8">
                  <c:v>#N/A</c:v>
                </c:pt>
                <c:pt idx="9">
                  <c:v>#N/A</c:v>
                </c:pt>
                <c:pt idx="10">
                  <c:v>#N/A</c:v>
                </c:pt>
              </c:numCache>
            </c:numRef>
          </c:val>
          <c:extLst>
            <c:ext xmlns:c16="http://schemas.microsoft.com/office/drawing/2014/chart" uri="{C3380CC4-5D6E-409C-BE32-E72D297353CC}">
              <c16:uniqueId val="{00000000-EC77-4BA4-B22A-997180D81D8E}"/>
            </c:ext>
          </c:extLst>
        </c:ser>
        <c:dLbls>
          <c:showLegendKey val="0"/>
          <c:showVal val="0"/>
          <c:showCatName val="0"/>
          <c:showSerName val="0"/>
          <c:showPercent val="0"/>
          <c:showBubbleSize val="0"/>
        </c:dLbls>
        <c:gapWidth val="219"/>
        <c:overlap val="-27"/>
        <c:axId val="1226967759"/>
        <c:axId val="1226960559"/>
      </c:barChart>
      <c:catAx>
        <c:axId val="12269677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US"/>
          </a:p>
        </c:txPr>
        <c:crossAx val="1226960559"/>
        <c:crosses val="autoZero"/>
        <c:auto val="1"/>
        <c:lblAlgn val="ctr"/>
        <c:lblOffset val="100"/>
        <c:noMultiLvlLbl val="0"/>
      </c:catAx>
      <c:valAx>
        <c:axId val="122696055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1226967759"/>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6350"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c:printSettings>
</c:chartSpace>
</file>

<file path=xl/charts/chart10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Nov!$F$58</c:f>
          <c:strCache>
            <c:ptCount val="1"/>
            <c:pt idx="0">
              <c:v>Falls by BIMS Score</c:v>
            </c:pt>
          </c:strCache>
        </c:strRef>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Nov!$H$59</c:f>
              <c:strCache>
                <c:ptCount val="1"/>
                <c:pt idx="0">
                  <c:v>Total</c:v>
                </c:pt>
              </c:strCache>
            </c:strRef>
          </c:tx>
          <c:spPr>
            <a:solidFill>
              <a:schemeClr val="bg2">
                <a:lumMod val="90000"/>
              </a:schemeClr>
            </a:solidFill>
            <a:ln>
              <a:solidFill>
                <a:schemeClr val="bg2">
                  <a:lumMod val="90000"/>
                </a:schemeClr>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Nov!$F$60:$F$62</c:f>
              <c:strCache>
                <c:ptCount val="3"/>
                <c:pt idx="0">
                  <c:v>Severe (1–7)</c:v>
                </c:pt>
                <c:pt idx="1">
                  <c:v>Moderate (8–12)</c:v>
                </c:pt>
                <c:pt idx="2">
                  <c:v>Intact (13–15)</c:v>
                </c:pt>
              </c:strCache>
            </c:strRef>
          </c:cat>
          <c:val>
            <c:numRef>
              <c:f>Nov!$H$60:$H$62</c:f>
              <c:numCache>
                <c:formatCode>General</c:formatCode>
                <c:ptCount val="3"/>
                <c:pt idx="0">
                  <c:v>0</c:v>
                </c:pt>
                <c:pt idx="1">
                  <c:v>0</c:v>
                </c:pt>
                <c:pt idx="2">
                  <c:v>0</c:v>
                </c:pt>
              </c:numCache>
            </c:numRef>
          </c:val>
          <c:extLst>
            <c:ext xmlns:c16="http://schemas.microsoft.com/office/drawing/2014/chart" uri="{C3380CC4-5D6E-409C-BE32-E72D297353CC}">
              <c16:uniqueId val="{00000000-A29C-4A4F-B024-79AB6B5107D2}"/>
            </c:ext>
          </c:extLst>
        </c:ser>
        <c:dLbls>
          <c:showLegendKey val="0"/>
          <c:showVal val="0"/>
          <c:showCatName val="0"/>
          <c:showSerName val="0"/>
          <c:showPercent val="0"/>
          <c:showBubbleSize val="0"/>
        </c:dLbls>
        <c:gapWidth val="219"/>
        <c:overlap val="-27"/>
        <c:axId val="1226967759"/>
        <c:axId val="1226960559"/>
      </c:barChart>
      <c:catAx>
        <c:axId val="12269677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US"/>
          </a:p>
        </c:txPr>
        <c:crossAx val="1226960559"/>
        <c:crosses val="autoZero"/>
        <c:auto val="1"/>
        <c:lblAlgn val="ctr"/>
        <c:lblOffset val="100"/>
        <c:noMultiLvlLbl val="0"/>
      </c:catAx>
      <c:valAx>
        <c:axId val="122696055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1226967759"/>
        <c:crosses val="autoZero"/>
        <c:crossBetween val="between"/>
      </c:valAx>
      <c:spPr>
        <a:noFill/>
        <a:ln>
          <a:noFill/>
        </a:ln>
        <a:effectLst/>
      </c:spPr>
    </c:plotArea>
    <c:plotVisOnly val="1"/>
    <c:dispBlanksAs val="gap"/>
    <c:showDLblsOverMax val="0"/>
  </c:chart>
  <c:spPr>
    <a:noFill/>
    <a:ln w="6350"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c:printSettings>
</c:chartSpace>
</file>

<file path=xl/charts/chart10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Nov!$B$143</c:f>
          <c:strCache>
            <c:ptCount val="1"/>
            <c:pt idx="0">
              <c:v>Falls by Hour </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1"/>
          <c:order val="0"/>
          <c:tx>
            <c:strRef>
              <c:f>Nov!$D$144</c:f>
              <c:strCache>
                <c:ptCount val="1"/>
                <c:pt idx="0">
                  <c:v>Total</c:v>
                </c:pt>
              </c:strCache>
            </c:strRef>
          </c:tx>
          <c:spPr>
            <a:solidFill>
              <a:schemeClr val="bg1">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Nov!$B$145:$B$168</c:f>
              <c:strCache>
                <c:ptCount val="24"/>
                <c:pt idx="0">
                  <c:v>23:00–24:00</c:v>
                </c:pt>
                <c:pt idx="1">
                  <c:v>24:00–01:00</c:v>
                </c:pt>
                <c:pt idx="2">
                  <c:v>01:00–02:00</c:v>
                </c:pt>
                <c:pt idx="3">
                  <c:v>02:00–03:00</c:v>
                </c:pt>
                <c:pt idx="4">
                  <c:v>03:00–04:00</c:v>
                </c:pt>
                <c:pt idx="5">
                  <c:v>04:00–05:00</c:v>
                </c:pt>
                <c:pt idx="6">
                  <c:v>05:00–06:00</c:v>
                </c:pt>
                <c:pt idx="7">
                  <c:v>06:00–07:00</c:v>
                </c:pt>
                <c:pt idx="8">
                  <c:v>07:00–08:00</c:v>
                </c:pt>
                <c:pt idx="9">
                  <c:v>08:00–09:00</c:v>
                </c:pt>
                <c:pt idx="10">
                  <c:v>09:00–10:00</c:v>
                </c:pt>
                <c:pt idx="11">
                  <c:v>10:00–11:00</c:v>
                </c:pt>
                <c:pt idx="12">
                  <c:v>11:00–12:00</c:v>
                </c:pt>
                <c:pt idx="13">
                  <c:v>12:00–13:00</c:v>
                </c:pt>
                <c:pt idx="14">
                  <c:v>13:00–14:00</c:v>
                </c:pt>
                <c:pt idx="15">
                  <c:v>14:00–15:00</c:v>
                </c:pt>
                <c:pt idx="16">
                  <c:v>15:00–16:00</c:v>
                </c:pt>
                <c:pt idx="17">
                  <c:v>16:00–17:00</c:v>
                </c:pt>
                <c:pt idx="18">
                  <c:v>17:00–18:00</c:v>
                </c:pt>
                <c:pt idx="19">
                  <c:v>18:00–19:00</c:v>
                </c:pt>
                <c:pt idx="20">
                  <c:v>19:00–20:00</c:v>
                </c:pt>
                <c:pt idx="21">
                  <c:v>20:00–21:00</c:v>
                </c:pt>
                <c:pt idx="22">
                  <c:v>21:00–22:00</c:v>
                </c:pt>
                <c:pt idx="23">
                  <c:v>22:00–23:00</c:v>
                </c:pt>
              </c:strCache>
            </c:strRef>
          </c:cat>
          <c:val>
            <c:numRef>
              <c:f>Nov!$D$145:$D$168</c:f>
              <c:numCache>
                <c:formatCode>General</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6="http://schemas.microsoft.com/office/drawing/2014/chart" uri="{C3380CC4-5D6E-409C-BE32-E72D297353CC}">
              <c16:uniqueId val="{00000000-1871-4D90-85C5-5D0901743FA0}"/>
            </c:ext>
          </c:extLst>
        </c:ser>
        <c:dLbls>
          <c:showLegendKey val="0"/>
          <c:showVal val="0"/>
          <c:showCatName val="0"/>
          <c:showSerName val="0"/>
          <c:showPercent val="0"/>
          <c:showBubbleSize val="0"/>
        </c:dLbls>
        <c:gapWidth val="182"/>
        <c:axId val="1658854639"/>
        <c:axId val="1658861839"/>
      </c:barChart>
      <c:catAx>
        <c:axId val="16588546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1658861839"/>
        <c:crosses val="autoZero"/>
        <c:auto val="1"/>
        <c:lblAlgn val="ctr"/>
        <c:lblOffset val="100"/>
        <c:noMultiLvlLbl val="0"/>
      </c:catAx>
      <c:valAx>
        <c:axId val="1658861839"/>
        <c:scaling>
          <c:orientation val="minMax"/>
        </c:scaling>
        <c:delete val="1"/>
        <c:axPos val="t"/>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658854639"/>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orientation="landscape"/>
  </c:printSettings>
</c:chartSpace>
</file>

<file path=xl/charts/chart10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Nov!$B$65</c:f>
          <c:strCache>
            <c:ptCount val="1"/>
            <c:pt idx="0">
              <c:v>Falls by Activity</c:v>
            </c:pt>
          </c:strCache>
        </c:strRef>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tx>
            <c:strRef>
              <c:f>Nov!$G$66</c:f>
              <c:strCache>
                <c:ptCount val="1"/>
                <c:pt idx="0">
                  <c:v>Total</c:v>
                </c:pt>
              </c:strCache>
            </c:strRef>
          </c:tx>
          <c:spPr>
            <a:solidFill>
              <a:schemeClr val="bg1">
                <a:lumMod val="75000"/>
              </a:schemeClr>
            </a:solidFill>
            <a:ln>
              <a:solidFill>
                <a:schemeClr val="bg1">
                  <a:lumMod val="85000"/>
                </a:schemeClr>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Nov!$B$67:$B$90</c:f>
              <c:strCache>
                <c:ptCount val="11"/>
                <c:pt idx="0">
                  <c:v>Ambulating with assistive device (walker, cane, wheelchair)</c:v>
                </c:pt>
                <c:pt idx="1">
                  <c:v>Ambulating with staff assistance</c:v>
                </c:pt>
                <c:pt idx="2">
                  <c:v>Ambulating without assistance or assistive device</c:v>
                </c:pt>
                <c:pt idx="3">
                  <c:v>Changing position (e.g., in bed, chair)</c:v>
                </c:pt>
                <c:pt idx="4">
                  <c:v>Dressing or undressing</c:v>
                </c:pt>
                <c:pt idx="5">
                  <c:v>Other activity</c:v>
                </c:pt>
                <c:pt idx="6">
                  <c:v>Reaching for an item</c:v>
                </c:pt>
                <c:pt idx="7">
                  <c:v>Showering or bathing</c:v>
                </c:pt>
                <c:pt idx="8">
                  <c:v>Toileting</c:v>
                </c:pt>
                <c:pt idx="9">
                  <c:v>Transferring to or from bed, chair, wheelchair, etc.</c:v>
                </c:pt>
                <c:pt idx="10">
                  <c:v>Unknown</c:v>
                </c:pt>
              </c:strCache>
            </c:strRef>
          </c:cat>
          <c:val>
            <c:numRef>
              <c:f>Nov!$G$67:$G$90</c:f>
              <c:numCache>
                <c:formatCode>General</c:formatCode>
                <c:ptCount val="24"/>
                <c:pt idx="0">
                  <c:v>0</c:v>
                </c:pt>
                <c:pt idx="1">
                  <c:v>0</c:v>
                </c:pt>
                <c:pt idx="2">
                  <c:v>0</c:v>
                </c:pt>
                <c:pt idx="3">
                  <c:v>0</c:v>
                </c:pt>
                <c:pt idx="4">
                  <c:v>0</c:v>
                </c:pt>
                <c:pt idx="5">
                  <c:v>0</c:v>
                </c:pt>
                <c:pt idx="6">
                  <c:v>0</c:v>
                </c:pt>
                <c:pt idx="7">
                  <c:v>0</c:v>
                </c:pt>
                <c:pt idx="8">
                  <c:v>0</c:v>
                </c:pt>
                <c:pt idx="9">
                  <c:v>0</c:v>
                </c:pt>
                <c:pt idx="10">
                  <c:v>0</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val>
          <c:extLst>
            <c:ext xmlns:c16="http://schemas.microsoft.com/office/drawing/2014/chart" uri="{C3380CC4-5D6E-409C-BE32-E72D297353CC}">
              <c16:uniqueId val="{00000000-EB49-450C-8B47-C0472EE1BFB2}"/>
            </c:ext>
          </c:extLst>
        </c:ser>
        <c:dLbls>
          <c:showLegendKey val="0"/>
          <c:showVal val="0"/>
          <c:showCatName val="0"/>
          <c:showSerName val="0"/>
          <c:showPercent val="0"/>
          <c:showBubbleSize val="0"/>
        </c:dLbls>
        <c:gapWidth val="182"/>
        <c:axId val="1658854639"/>
        <c:axId val="1658861839"/>
      </c:barChart>
      <c:catAx>
        <c:axId val="16588546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1658861839"/>
        <c:crosses val="autoZero"/>
        <c:auto val="1"/>
        <c:lblAlgn val="ctr"/>
        <c:lblOffset val="100"/>
        <c:noMultiLvlLbl val="0"/>
      </c:catAx>
      <c:valAx>
        <c:axId val="1658861839"/>
        <c:scaling>
          <c:orientation val="minMax"/>
        </c:scaling>
        <c:delete val="1"/>
        <c:axPos val="t"/>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658854639"/>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orientation="landscape"/>
  </c:printSettings>
</c:chartSpace>
</file>

<file path=xl/charts/chart10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5"/>
    </mc:Choice>
    <mc:Fallback>
      <c:style val="5"/>
    </mc:Fallback>
  </mc:AlternateContent>
  <c:chart>
    <c:title>
      <c:tx>
        <c:strRef>
          <c:f>Nov!$B$51</c:f>
          <c:strCache>
            <c:ptCount val="1"/>
            <c:pt idx="0">
              <c:v>Witnessed Falls</c:v>
            </c:pt>
          </c:strCache>
        </c:strRef>
      </c:tx>
      <c:layout>
        <c:manualLayout>
          <c:xMode val="edge"/>
          <c:yMode val="edge"/>
          <c:x val="0.28456383934819923"/>
          <c:y val="4.8263836268180225E-2"/>
        </c:manualLayout>
      </c:layout>
      <c:overlay val="0"/>
      <c:spPr>
        <a:noFill/>
        <a:ln>
          <a:noFill/>
        </a:ln>
        <a:effectLst/>
      </c:spPr>
      <c:txPr>
        <a:bodyPr rot="0" spcFirstLastPara="1" vertOverflow="ellipsis" vert="horz" wrap="square" anchor="ctr" anchorCtr="1"/>
        <a:lstStyle/>
        <a:p>
          <a:pPr>
            <a:defRPr sz="1100" b="1" i="0" u="none" strike="noStrike" kern="1200" spc="0" baseline="0">
              <a:solidFill>
                <a:sysClr val="windowText" lastClr="000000"/>
              </a:solidFill>
              <a:latin typeface="+mn-lt"/>
              <a:ea typeface="+mn-ea"/>
              <a:cs typeface="+mn-cs"/>
            </a:defRPr>
          </a:pPr>
          <a:endParaRPr lang="en-US"/>
        </a:p>
      </c:txPr>
    </c:title>
    <c:autoTitleDeleted val="0"/>
    <c:plotArea>
      <c:layout/>
      <c:pieChart>
        <c:varyColors val="1"/>
        <c:ser>
          <c:idx val="2"/>
          <c:order val="0"/>
          <c:tx>
            <c:strRef>
              <c:f>Nov!$D$52</c:f>
              <c:strCache>
                <c:ptCount val="1"/>
                <c:pt idx="0">
                  <c:v>Total</c:v>
                </c:pt>
              </c:strCache>
            </c:strRef>
          </c:tx>
          <c:spPr>
            <a:solidFill>
              <a:srgbClr val="F7F7F7"/>
            </a:solidFill>
            <a:ln w="19050">
              <a:solidFill>
                <a:schemeClr val="bg2">
                  <a:lumMod val="90000"/>
                </a:schemeClr>
              </a:solidFill>
            </a:ln>
          </c:spPr>
          <c:dPt>
            <c:idx val="0"/>
            <c:bubble3D val="0"/>
            <c:spPr>
              <a:solidFill>
                <a:srgbClr val="F7F7F7"/>
              </a:solidFill>
              <a:ln w="19050">
                <a:solidFill>
                  <a:schemeClr val="bg2">
                    <a:lumMod val="90000"/>
                  </a:schemeClr>
                </a:solidFill>
              </a:ln>
              <a:effectLst/>
            </c:spPr>
            <c:extLst>
              <c:ext xmlns:c16="http://schemas.microsoft.com/office/drawing/2014/chart" uri="{C3380CC4-5D6E-409C-BE32-E72D297353CC}">
                <c16:uniqueId val="{00000001-56A5-4653-99CB-BE12162F20D1}"/>
              </c:ext>
            </c:extLst>
          </c:dPt>
          <c:dPt>
            <c:idx val="1"/>
            <c:bubble3D val="0"/>
            <c:spPr>
              <a:solidFill>
                <a:schemeClr val="bg2"/>
              </a:solidFill>
              <a:ln w="19050">
                <a:solidFill>
                  <a:schemeClr val="bg2">
                    <a:lumMod val="90000"/>
                  </a:schemeClr>
                </a:solidFill>
              </a:ln>
              <a:effectLst/>
            </c:spPr>
            <c:extLst>
              <c:ext xmlns:c16="http://schemas.microsoft.com/office/drawing/2014/chart" uri="{C3380CC4-5D6E-409C-BE32-E72D297353CC}">
                <c16:uniqueId val="{00000003-56A5-4653-99CB-BE12162F20D1}"/>
              </c:ext>
            </c:extLst>
          </c:dPt>
          <c:dLbls>
            <c:dLbl>
              <c:idx val="0"/>
              <c:layout>
                <c:manualLayout>
                  <c:x val="6.2922200858950839E-2"/>
                  <c:y val="-5.7940247469122956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6A5-4653-99CB-BE12162F20D1}"/>
                </c:ext>
              </c:extLst>
            </c:dLbl>
            <c:dLbl>
              <c:idx val="1"/>
              <c:layout>
                <c:manualLayout>
                  <c:x val="-4.8011385115936479E-2"/>
                  <c:y val="2.6697554736401265E-2"/>
                </c:manualLayout>
              </c:layout>
              <c:spPr>
                <a:noFill/>
                <a:ln>
                  <a:noFill/>
                </a:ln>
                <a:effectLst/>
              </c:spPr>
              <c:txPr>
                <a:bodyPr rot="0" spcFirstLastPara="1" vertOverflow="ellipsis" vert="horz" wrap="square" lIns="38100" tIns="19050" rIns="38100" bIns="19050" anchor="ctr" anchorCtr="1">
                  <a:noAutofit/>
                </a:bodyPr>
                <a:lstStyle/>
                <a:p>
                  <a:pPr>
                    <a:defRPr sz="9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0"/>
              <c:showBubbleSize val="0"/>
              <c:extLst>
                <c:ext xmlns:c15="http://schemas.microsoft.com/office/drawing/2012/chart" uri="{CE6537A1-D6FC-4f65-9D91-7224C49458BB}">
                  <c15:layout>
                    <c:manualLayout>
                      <c:w val="0.24931745400710711"/>
                      <c:h val="0.11967240535812428"/>
                    </c:manualLayout>
                  </c15:layout>
                </c:ext>
                <c:ext xmlns:c16="http://schemas.microsoft.com/office/drawing/2014/chart" uri="{C3380CC4-5D6E-409C-BE32-E72D297353CC}">
                  <c16:uniqueId val="{00000003-56A5-4653-99CB-BE12162F20D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Nov!$B$53:$B$54</c:f>
              <c:strCache>
                <c:ptCount val="2"/>
                <c:pt idx="0">
                  <c:v>Yes</c:v>
                </c:pt>
                <c:pt idx="1">
                  <c:v>No</c:v>
                </c:pt>
              </c:strCache>
            </c:strRef>
          </c:cat>
          <c:val>
            <c:numRef>
              <c:f>Nov!$D$53:$D$54</c:f>
              <c:numCache>
                <c:formatCode>General</c:formatCode>
                <c:ptCount val="2"/>
                <c:pt idx="0">
                  <c:v>0</c:v>
                </c:pt>
                <c:pt idx="1">
                  <c:v>0</c:v>
                </c:pt>
              </c:numCache>
            </c:numRef>
          </c:val>
          <c:extLst>
            <c:ext xmlns:c16="http://schemas.microsoft.com/office/drawing/2014/chart" uri="{C3380CC4-5D6E-409C-BE32-E72D297353CC}">
              <c16:uniqueId val="{00000004-56A5-4653-99CB-BE12162F20D1}"/>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solidFill>
      <a:schemeClr val="bg1"/>
    </a:solidFill>
    <a:ln w="3175"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c:printSettings>
</c:chartSpace>
</file>

<file path=xl/charts/chart10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Nov!$B$171</c:f>
          <c:strCache>
            <c:ptCount val="1"/>
            <c:pt idx="0">
              <c:v>Falls by Contributing Factors</c:v>
            </c:pt>
          </c:strCache>
        </c:strRef>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4"/>
          <c:order val="0"/>
          <c:tx>
            <c:strRef>
              <c:f>Nov!$G$172</c:f>
              <c:strCache>
                <c:ptCount val="1"/>
                <c:pt idx="0">
                  <c:v>Total</c:v>
                </c:pt>
              </c:strCache>
            </c:strRef>
          </c:tx>
          <c:spPr>
            <a:solidFill>
              <a:schemeClr val="bg2">
                <a:lumMod val="9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Nov!$B$173:$B$196</c:f>
              <c:strCache>
                <c:ptCount val="11"/>
                <c:pt idx="0">
                  <c:v>Assisted/caregiver transfer</c:v>
                </c:pt>
                <c:pt idx="1">
                  <c:v>Bowel and bladder (B&amp;B) needs</c:v>
                </c:pt>
                <c:pt idx="2">
                  <c:v>Behavioral or situational</c:v>
                </c:pt>
                <c:pt idx="3">
                  <c:v>Change of condition</c:v>
                </c:pt>
                <c:pt idx="4">
                  <c:v>Environmental factors</c:v>
                </c:pt>
                <c:pt idx="5">
                  <c:v>Equipment malfunction</c:v>
                </c:pt>
                <c:pt idx="6">
                  <c:v>Equipment or assistive device</c:v>
                </c:pt>
                <c:pt idx="7">
                  <c:v>Medication related</c:v>
                </c:pt>
                <c:pt idx="8">
                  <c:v>Process(s) not followed</c:v>
                </c:pt>
                <c:pt idx="9">
                  <c:v>Resident health conditions</c:v>
                </c:pt>
                <c:pt idx="10">
                  <c:v>Staff</c:v>
                </c:pt>
              </c:strCache>
            </c:strRef>
          </c:cat>
          <c:val>
            <c:numRef>
              <c:f>Nov!$G$173:$G$196</c:f>
              <c:numCache>
                <c:formatCode>General</c:formatCode>
                <c:ptCount val="24"/>
                <c:pt idx="0">
                  <c:v>0</c:v>
                </c:pt>
                <c:pt idx="1">
                  <c:v>0</c:v>
                </c:pt>
                <c:pt idx="2">
                  <c:v>0</c:v>
                </c:pt>
                <c:pt idx="3">
                  <c:v>0</c:v>
                </c:pt>
                <c:pt idx="4">
                  <c:v>0</c:v>
                </c:pt>
                <c:pt idx="5">
                  <c:v>0</c:v>
                </c:pt>
                <c:pt idx="6">
                  <c:v>0</c:v>
                </c:pt>
                <c:pt idx="7">
                  <c:v>0</c:v>
                </c:pt>
                <c:pt idx="8">
                  <c:v>0</c:v>
                </c:pt>
                <c:pt idx="9">
                  <c:v>0</c:v>
                </c:pt>
                <c:pt idx="10">
                  <c:v>0</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val>
          <c:extLst>
            <c:ext xmlns:c16="http://schemas.microsoft.com/office/drawing/2014/chart" uri="{C3380CC4-5D6E-409C-BE32-E72D297353CC}">
              <c16:uniqueId val="{00000000-216D-4B4C-9B6E-307FC5F9E9A8}"/>
            </c:ext>
          </c:extLst>
        </c:ser>
        <c:dLbls>
          <c:showLegendKey val="0"/>
          <c:showVal val="0"/>
          <c:showCatName val="0"/>
          <c:showSerName val="0"/>
          <c:showPercent val="0"/>
          <c:showBubbleSize val="0"/>
        </c:dLbls>
        <c:gapWidth val="182"/>
        <c:axId val="1658854639"/>
        <c:axId val="1658861839"/>
      </c:barChart>
      <c:catAx>
        <c:axId val="16588546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bg2">
                    <a:lumMod val="50000"/>
                  </a:schemeClr>
                </a:solidFill>
                <a:latin typeface="+mn-lt"/>
                <a:ea typeface="+mn-ea"/>
                <a:cs typeface="+mn-cs"/>
              </a:defRPr>
            </a:pPr>
            <a:endParaRPr lang="en-US"/>
          </a:p>
        </c:txPr>
        <c:crossAx val="1658861839"/>
        <c:crosses val="autoZero"/>
        <c:auto val="1"/>
        <c:lblAlgn val="ctr"/>
        <c:lblOffset val="100"/>
        <c:noMultiLvlLbl val="0"/>
      </c:catAx>
      <c:valAx>
        <c:axId val="1658861839"/>
        <c:scaling>
          <c:orientation val="minMax"/>
        </c:scaling>
        <c:delete val="1"/>
        <c:axPos val="t"/>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658854639"/>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orientation="landscape"/>
  </c:printSettings>
</c:chartSpace>
</file>

<file path=xl/charts/chart10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Nov!$F$51</c:f>
          <c:strCache>
            <c:ptCount val="1"/>
            <c:pt idx="0">
              <c:v>Fall Circumstances</c:v>
            </c:pt>
          </c:strCache>
        </c:strRef>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Nov!$H$52</c:f>
              <c:strCache>
                <c:ptCount val="1"/>
                <c:pt idx="0">
                  <c:v>Total</c:v>
                </c:pt>
              </c:strCache>
            </c:strRef>
          </c:tx>
          <c:spPr>
            <a:solidFill>
              <a:schemeClr val="bg2">
                <a:lumMod val="90000"/>
              </a:schemeClr>
            </a:solidFill>
            <a:ln>
              <a:solidFill>
                <a:schemeClr val="bg2">
                  <a:lumMod val="90000"/>
                </a:schemeClr>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Nov!$F$53:$F$55</c:f>
              <c:strCache>
                <c:ptCount val="3"/>
                <c:pt idx="0">
                  <c:v>Overwhelming Force</c:v>
                </c:pt>
                <c:pt idx="1">
                  <c:v>Intercepted</c:v>
                </c:pt>
                <c:pt idx="2">
                  <c:v>N/A</c:v>
                </c:pt>
              </c:strCache>
            </c:strRef>
          </c:cat>
          <c:val>
            <c:numRef>
              <c:f>Nov!$H$53:$H$55</c:f>
              <c:numCache>
                <c:formatCode>General</c:formatCode>
                <c:ptCount val="3"/>
                <c:pt idx="0">
                  <c:v>0</c:v>
                </c:pt>
                <c:pt idx="1">
                  <c:v>0</c:v>
                </c:pt>
                <c:pt idx="2">
                  <c:v>0</c:v>
                </c:pt>
              </c:numCache>
            </c:numRef>
          </c:val>
          <c:extLst>
            <c:ext xmlns:c16="http://schemas.microsoft.com/office/drawing/2014/chart" uri="{C3380CC4-5D6E-409C-BE32-E72D297353CC}">
              <c16:uniqueId val="{00000000-3B6F-47FE-B3BF-5958411A26D2}"/>
            </c:ext>
          </c:extLst>
        </c:ser>
        <c:dLbls>
          <c:showLegendKey val="0"/>
          <c:showVal val="0"/>
          <c:showCatName val="0"/>
          <c:showSerName val="0"/>
          <c:showPercent val="0"/>
          <c:showBubbleSize val="0"/>
        </c:dLbls>
        <c:gapWidth val="219"/>
        <c:overlap val="-27"/>
        <c:axId val="1226967759"/>
        <c:axId val="1226960559"/>
      </c:barChart>
      <c:catAx>
        <c:axId val="12269677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US"/>
          </a:p>
        </c:txPr>
        <c:crossAx val="1226960559"/>
        <c:crosses val="autoZero"/>
        <c:auto val="1"/>
        <c:lblAlgn val="ctr"/>
        <c:lblOffset val="100"/>
        <c:noMultiLvlLbl val="0"/>
      </c:catAx>
      <c:valAx>
        <c:axId val="122696055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1226967759"/>
        <c:crosses val="autoZero"/>
        <c:crossBetween val="between"/>
      </c:valAx>
      <c:spPr>
        <a:noFill/>
        <a:ln>
          <a:noFill/>
        </a:ln>
        <a:effectLst/>
      </c:spPr>
    </c:plotArea>
    <c:plotVisOnly val="1"/>
    <c:dispBlanksAs val="gap"/>
    <c:showDLblsOverMax val="0"/>
  </c:chart>
  <c:spPr>
    <a:noFill/>
    <a:ln w="6350"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5"/>
    </mc:Choice>
    <mc:Fallback>
      <c:style val="5"/>
    </mc:Fallback>
  </mc:AlternateContent>
  <c:chart>
    <c:title>
      <c:tx>
        <c:strRef>
          <c:f>Feb!$B$93</c:f>
          <c:strCache>
            <c:ptCount val="1"/>
            <c:pt idx="0">
              <c:v>Falls by Location</c:v>
            </c:pt>
          </c:strCache>
        </c:strRef>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
          <c:order val="0"/>
          <c:tx>
            <c:strRef>
              <c:f>Feb!$D$94</c:f>
              <c:strCache>
                <c:ptCount val="1"/>
                <c:pt idx="0">
                  <c:v>Total</c:v>
                </c:pt>
              </c:strCache>
            </c:strRef>
          </c:tx>
          <c:spPr>
            <a:solidFill>
              <a:schemeClr val="accent3">
                <a:tint val="77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Feb!$B$95:$B$105</c:f>
              <c:strCache>
                <c:ptCount val="7"/>
                <c:pt idx="0">
                  <c:v>Activity Room</c:v>
                </c:pt>
                <c:pt idx="1">
                  <c:v>Bedroom</c:v>
                </c:pt>
                <c:pt idx="2">
                  <c:v>Bathroom</c:v>
                </c:pt>
                <c:pt idx="3">
                  <c:v>Hallway</c:v>
                </c:pt>
                <c:pt idx="4">
                  <c:v>Offsite</c:v>
                </c:pt>
                <c:pt idx="5">
                  <c:v>Shower Room</c:v>
                </c:pt>
                <c:pt idx="6">
                  <c:v>Dining Room</c:v>
                </c:pt>
              </c:strCache>
            </c:strRef>
          </c:cat>
          <c:val>
            <c:numRef>
              <c:f>Feb!$D$95:$D$105</c:f>
              <c:numCache>
                <c:formatCode>General</c:formatCode>
                <c:ptCount val="11"/>
                <c:pt idx="0">
                  <c:v>0</c:v>
                </c:pt>
                <c:pt idx="1">
                  <c:v>0</c:v>
                </c:pt>
                <c:pt idx="2">
                  <c:v>0</c:v>
                </c:pt>
                <c:pt idx="3">
                  <c:v>0</c:v>
                </c:pt>
                <c:pt idx="4">
                  <c:v>0</c:v>
                </c:pt>
                <c:pt idx="5">
                  <c:v>0</c:v>
                </c:pt>
                <c:pt idx="6">
                  <c:v>0</c:v>
                </c:pt>
                <c:pt idx="7">
                  <c:v>#N/A</c:v>
                </c:pt>
                <c:pt idx="8">
                  <c:v>#N/A</c:v>
                </c:pt>
                <c:pt idx="9">
                  <c:v>#N/A</c:v>
                </c:pt>
                <c:pt idx="10">
                  <c:v>#N/A</c:v>
                </c:pt>
              </c:numCache>
            </c:numRef>
          </c:val>
          <c:extLst>
            <c:ext xmlns:c16="http://schemas.microsoft.com/office/drawing/2014/chart" uri="{C3380CC4-5D6E-409C-BE32-E72D297353CC}">
              <c16:uniqueId val="{00000000-2417-4CDA-8120-10D1D478C534}"/>
            </c:ext>
          </c:extLst>
        </c:ser>
        <c:dLbls>
          <c:showLegendKey val="0"/>
          <c:showVal val="0"/>
          <c:showCatName val="0"/>
          <c:showSerName val="0"/>
          <c:showPercent val="0"/>
          <c:showBubbleSize val="0"/>
        </c:dLbls>
        <c:gapWidth val="219"/>
        <c:overlap val="-27"/>
        <c:axId val="1569634943"/>
        <c:axId val="1590853103"/>
      </c:barChart>
      <c:catAx>
        <c:axId val="156963494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US"/>
          </a:p>
        </c:txPr>
        <c:crossAx val="1590853103"/>
        <c:crosses val="autoZero"/>
        <c:auto val="1"/>
        <c:lblAlgn val="ctr"/>
        <c:lblOffset val="100"/>
        <c:noMultiLvlLbl val="0"/>
      </c:catAx>
      <c:valAx>
        <c:axId val="1590853103"/>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69634943"/>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3175"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c:printSettings>
</c:chartSpace>
</file>

<file path=xl/charts/chart1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Jan!$B$134</c:f>
          <c:strCache>
            <c:ptCount val="1"/>
            <c:pt idx="0">
              <c:v>Falls by Shift</c:v>
            </c:pt>
          </c:strCache>
        </c:strRef>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tx>
            <c:strRef>
              <c:f>Nov!$D$135</c:f>
              <c:strCache>
                <c:ptCount val="1"/>
                <c:pt idx="0">
                  <c:v>Total</c:v>
                </c:pt>
              </c:strCache>
            </c:strRef>
          </c:tx>
          <c:spPr>
            <a:solidFill>
              <a:schemeClr val="bg1">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Nov!$B$136:$B$140</c:f>
              <c:strCache>
                <c:ptCount val="4"/>
                <c:pt idx="0">
                  <c:v>11-7</c:v>
                </c:pt>
                <c:pt idx="1">
                  <c:v>11–7</c:v>
                </c:pt>
                <c:pt idx="2">
                  <c:v>7–3</c:v>
                </c:pt>
                <c:pt idx="3">
                  <c:v>3–11</c:v>
                </c:pt>
              </c:strCache>
            </c:strRef>
          </c:cat>
          <c:val>
            <c:numRef>
              <c:f>Nov!$D$136:$D$140</c:f>
              <c:numCache>
                <c:formatCode>General</c:formatCode>
                <c:ptCount val="5"/>
                <c:pt idx="0">
                  <c:v>0</c:v>
                </c:pt>
                <c:pt idx="1">
                  <c:v>0</c:v>
                </c:pt>
                <c:pt idx="2">
                  <c:v>0</c:v>
                </c:pt>
                <c:pt idx="3">
                  <c:v>0</c:v>
                </c:pt>
                <c:pt idx="4">
                  <c:v>#N/A</c:v>
                </c:pt>
              </c:numCache>
            </c:numRef>
          </c:val>
          <c:extLst>
            <c:ext xmlns:c16="http://schemas.microsoft.com/office/drawing/2014/chart" uri="{C3380CC4-5D6E-409C-BE32-E72D297353CC}">
              <c16:uniqueId val="{00000001-9D7E-411A-991B-E6BD0DB7230D}"/>
            </c:ext>
          </c:extLst>
        </c:ser>
        <c:dLbls>
          <c:showLegendKey val="0"/>
          <c:showVal val="0"/>
          <c:showCatName val="0"/>
          <c:showSerName val="0"/>
          <c:showPercent val="0"/>
          <c:showBubbleSize val="0"/>
        </c:dLbls>
        <c:gapWidth val="219"/>
        <c:axId val="789078271"/>
        <c:axId val="789056671"/>
      </c:barChart>
      <c:catAx>
        <c:axId val="789078271"/>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US"/>
          </a:p>
        </c:txPr>
        <c:crossAx val="789056671"/>
        <c:crosses val="autoZero"/>
        <c:auto val="1"/>
        <c:lblAlgn val="ctr"/>
        <c:lblOffset val="100"/>
        <c:noMultiLvlLbl val="0"/>
      </c:catAx>
      <c:valAx>
        <c:axId val="789056671"/>
        <c:scaling>
          <c:orientation val="minMax"/>
        </c:scaling>
        <c:delete val="1"/>
        <c:axPos val="t"/>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789078271"/>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c:printSettings>
</c:chartSpace>
</file>

<file path=xl/charts/chart1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5"/>
    </mc:Choice>
    <mc:Fallback>
      <c:style val="5"/>
    </mc:Fallback>
  </mc:AlternateContent>
  <c:chart>
    <c:title>
      <c:tx>
        <c:strRef>
          <c:f>Dec!$B$93</c:f>
          <c:strCache>
            <c:ptCount val="1"/>
            <c:pt idx="0">
              <c:v>Falls by Location</c:v>
            </c:pt>
          </c:strCache>
        </c:strRef>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
          <c:order val="0"/>
          <c:tx>
            <c:strRef>
              <c:f>Dec!$D$94</c:f>
              <c:strCache>
                <c:ptCount val="1"/>
                <c:pt idx="0">
                  <c:v>Total</c:v>
                </c:pt>
              </c:strCache>
            </c:strRef>
          </c:tx>
          <c:spPr>
            <a:solidFill>
              <a:schemeClr val="accent3">
                <a:tint val="77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Dec!$B$95:$B$105</c:f>
              <c:strCache>
                <c:ptCount val="7"/>
                <c:pt idx="0">
                  <c:v>Activity Room</c:v>
                </c:pt>
                <c:pt idx="1">
                  <c:v>Bedroom</c:v>
                </c:pt>
                <c:pt idx="2">
                  <c:v>Bathroom</c:v>
                </c:pt>
                <c:pt idx="3">
                  <c:v>Hallway</c:v>
                </c:pt>
                <c:pt idx="4">
                  <c:v>Offsite</c:v>
                </c:pt>
                <c:pt idx="5">
                  <c:v>Shower Room</c:v>
                </c:pt>
                <c:pt idx="6">
                  <c:v>Dining Room</c:v>
                </c:pt>
              </c:strCache>
            </c:strRef>
          </c:cat>
          <c:val>
            <c:numRef>
              <c:f>Dec!$D$95:$D$105</c:f>
              <c:numCache>
                <c:formatCode>General</c:formatCode>
                <c:ptCount val="11"/>
                <c:pt idx="0">
                  <c:v>0</c:v>
                </c:pt>
                <c:pt idx="1">
                  <c:v>0</c:v>
                </c:pt>
                <c:pt idx="2">
                  <c:v>0</c:v>
                </c:pt>
                <c:pt idx="3">
                  <c:v>0</c:v>
                </c:pt>
                <c:pt idx="4">
                  <c:v>0</c:v>
                </c:pt>
                <c:pt idx="5">
                  <c:v>0</c:v>
                </c:pt>
                <c:pt idx="6">
                  <c:v>0</c:v>
                </c:pt>
                <c:pt idx="7">
                  <c:v>#N/A</c:v>
                </c:pt>
                <c:pt idx="8">
                  <c:v>#N/A</c:v>
                </c:pt>
                <c:pt idx="9">
                  <c:v>#N/A</c:v>
                </c:pt>
                <c:pt idx="10">
                  <c:v>#N/A</c:v>
                </c:pt>
              </c:numCache>
            </c:numRef>
          </c:val>
          <c:extLst>
            <c:ext xmlns:c16="http://schemas.microsoft.com/office/drawing/2014/chart" uri="{C3380CC4-5D6E-409C-BE32-E72D297353CC}">
              <c16:uniqueId val="{00000000-F0B7-4D83-A548-10ED314CECA1}"/>
            </c:ext>
          </c:extLst>
        </c:ser>
        <c:dLbls>
          <c:showLegendKey val="0"/>
          <c:showVal val="0"/>
          <c:showCatName val="0"/>
          <c:showSerName val="0"/>
          <c:showPercent val="0"/>
          <c:showBubbleSize val="0"/>
        </c:dLbls>
        <c:gapWidth val="219"/>
        <c:overlap val="-27"/>
        <c:axId val="1569634943"/>
        <c:axId val="1590853103"/>
      </c:barChart>
      <c:catAx>
        <c:axId val="156963494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US"/>
          </a:p>
        </c:txPr>
        <c:crossAx val="1590853103"/>
        <c:crosses val="autoZero"/>
        <c:auto val="1"/>
        <c:lblAlgn val="ctr"/>
        <c:lblOffset val="100"/>
        <c:noMultiLvlLbl val="0"/>
      </c:catAx>
      <c:valAx>
        <c:axId val="1590853103"/>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69634943"/>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3175"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c:printSettings>
</c:chartSpace>
</file>

<file path=xl/charts/chart1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Dec!$B$123</c:f>
          <c:strCache>
            <c:ptCount val="1"/>
            <c:pt idx="0">
              <c:v>Falls by Day of the Week </c:v>
            </c:pt>
          </c:strCache>
        </c:strRef>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
          <c:order val="0"/>
          <c:tx>
            <c:strRef>
              <c:f>Dec!$D$124</c:f>
              <c:strCache>
                <c:ptCount val="1"/>
                <c:pt idx="0">
                  <c:v>Total</c:v>
                </c:pt>
              </c:strCache>
            </c:strRef>
          </c:tx>
          <c:spPr>
            <a:solidFill>
              <a:schemeClr val="bg1">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Dec!$B$125:$B$131</c:f>
              <c:strCache>
                <c:ptCount val="7"/>
                <c:pt idx="0">
                  <c:v>Sun</c:v>
                </c:pt>
                <c:pt idx="1">
                  <c:v>Mon</c:v>
                </c:pt>
                <c:pt idx="2">
                  <c:v>Tue</c:v>
                </c:pt>
                <c:pt idx="3">
                  <c:v>Wed</c:v>
                </c:pt>
                <c:pt idx="4">
                  <c:v>Thu</c:v>
                </c:pt>
                <c:pt idx="5">
                  <c:v>Fri</c:v>
                </c:pt>
                <c:pt idx="6">
                  <c:v>Sat</c:v>
                </c:pt>
              </c:strCache>
            </c:strRef>
          </c:cat>
          <c:val>
            <c:numRef>
              <c:f>Dec!$D$125:$D$131</c:f>
              <c:numCache>
                <c:formatCode>General</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16AB-4BD4-8DD5-65B7A9D5AA0C}"/>
            </c:ext>
          </c:extLst>
        </c:ser>
        <c:dLbls>
          <c:showLegendKey val="0"/>
          <c:showVal val="0"/>
          <c:showCatName val="0"/>
          <c:showSerName val="0"/>
          <c:showPercent val="0"/>
          <c:showBubbleSize val="0"/>
        </c:dLbls>
        <c:gapWidth val="219"/>
        <c:overlap val="-27"/>
        <c:axId val="1569634943"/>
        <c:axId val="1590853103"/>
      </c:barChart>
      <c:catAx>
        <c:axId val="156963494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US"/>
          </a:p>
        </c:txPr>
        <c:crossAx val="1590853103"/>
        <c:crosses val="autoZero"/>
        <c:auto val="1"/>
        <c:lblAlgn val="ctr"/>
        <c:lblOffset val="100"/>
        <c:noMultiLvlLbl val="0"/>
      </c:catAx>
      <c:valAx>
        <c:axId val="1590853103"/>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69634943"/>
        <c:crosses val="autoZero"/>
        <c:crossBetween val="between"/>
      </c:valAx>
      <c:spPr>
        <a:noFill/>
        <a:ln>
          <a:noFill/>
        </a:ln>
        <a:effectLst/>
      </c:spPr>
    </c:plotArea>
    <c:plotVisOnly val="1"/>
    <c:dispBlanksAs val="gap"/>
    <c:showDLblsOverMax val="0"/>
  </c:chart>
  <c:spPr>
    <a:solidFill>
      <a:schemeClr val="bg1"/>
    </a:solidFill>
    <a:ln w="3175"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c:printSettings>
</c:chartSpace>
</file>

<file path=xl/charts/chart1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Dec!$B$108</c:f>
          <c:strCache>
            <c:ptCount val="1"/>
            <c:pt idx="0">
              <c:v>Falls by Nursing Station </c:v>
            </c:pt>
          </c:strCache>
        </c:strRef>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
          <c:order val="0"/>
          <c:tx>
            <c:strRef>
              <c:f>Dec!$D$109</c:f>
              <c:strCache>
                <c:ptCount val="1"/>
                <c:pt idx="0">
                  <c:v>Total</c:v>
                </c:pt>
              </c:strCache>
            </c:strRef>
          </c:tx>
          <c:spPr>
            <a:solidFill>
              <a:schemeClr val="bg1">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Dec!$B$110:$B$120</c:f>
              <c:strCache>
                <c:ptCount val="5"/>
                <c:pt idx="0">
                  <c:v>1</c:v>
                </c:pt>
                <c:pt idx="1">
                  <c:v>2</c:v>
                </c:pt>
                <c:pt idx="2">
                  <c:v>3</c:v>
                </c:pt>
                <c:pt idx="3">
                  <c:v>4</c:v>
                </c:pt>
                <c:pt idx="4">
                  <c:v>5</c:v>
                </c:pt>
              </c:strCache>
            </c:strRef>
          </c:cat>
          <c:val>
            <c:numRef>
              <c:f>Dec!$D$110:$D$120</c:f>
              <c:numCache>
                <c:formatCode>General</c:formatCode>
                <c:ptCount val="11"/>
                <c:pt idx="0">
                  <c:v>0</c:v>
                </c:pt>
                <c:pt idx="1">
                  <c:v>0</c:v>
                </c:pt>
                <c:pt idx="2">
                  <c:v>0</c:v>
                </c:pt>
                <c:pt idx="3">
                  <c:v>0</c:v>
                </c:pt>
                <c:pt idx="4">
                  <c:v>0</c:v>
                </c:pt>
                <c:pt idx="5">
                  <c:v>#N/A</c:v>
                </c:pt>
                <c:pt idx="6">
                  <c:v>#N/A</c:v>
                </c:pt>
                <c:pt idx="7">
                  <c:v>#N/A</c:v>
                </c:pt>
                <c:pt idx="8">
                  <c:v>#N/A</c:v>
                </c:pt>
                <c:pt idx="9">
                  <c:v>#N/A</c:v>
                </c:pt>
                <c:pt idx="10">
                  <c:v>#N/A</c:v>
                </c:pt>
              </c:numCache>
            </c:numRef>
          </c:val>
          <c:extLst>
            <c:ext xmlns:c16="http://schemas.microsoft.com/office/drawing/2014/chart" uri="{C3380CC4-5D6E-409C-BE32-E72D297353CC}">
              <c16:uniqueId val="{00000000-1C1C-4180-9D21-5E679BE21A82}"/>
            </c:ext>
          </c:extLst>
        </c:ser>
        <c:dLbls>
          <c:showLegendKey val="0"/>
          <c:showVal val="0"/>
          <c:showCatName val="0"/>
          <c:showSerName val="0"/>
          <c:showPercent val="0"/>
          <c:showBubbleSize val="0"/>
        </c:dLbls>
        <c:gapWidth val="219"/>
        <c:overlap val="-27"/>
        <c:axId val="1226967759"/>
        <c:axId val="1226960559"/>
      </c:barChart>
      <c:catAx>
        <c:axId val="12269677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US"/>
          </a:p>
        </c:txPr>
        <c:crossAx val="1226960559"/>
        <c:crosses val="autoZero"/>
        <c:auto val="1"/>
        <c:lblAlgn val="ctr"/>
        <c:lblOffset val="100"/>
        <c:noMultiLvlLbl val="0"/>
      </c:catAx>
      <c:valAx>
        <c:axId val="122696055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1226967759"/>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6350"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c:printSettings>
</c:chartSpace>
</file>

<file path=xl/charts/chart1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Dec!$F$58</c:f>
          <c:strCache>
            <c:ptCount val="1"/>
            <c:pt idx="0">
              <c:v>Falls by BIMS Score</c:v>
            </c:pt>
          </c:strCache>
        </c:strRef>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Dec!$H$59</c:f>
              <c:strCache>
                <c:ptCount val="1"/>
                <c:pt idx="0">
                  <c:v>Total</c:v>
                </c:pt>
              </c:strCache>
            </c:strRef>
          </c:tx>
          <c:spPr>
            <a:solidFill>
              <a:schemeClr val="bg2">
                <a:lumMod val="90000"/>
              </a:schemeClr>
            </a:solidFill>
            <a:ln>
              <a:solidFill>
                <a:schemeClr val="bg2">
                  <a:lumMod val="90000"/>
                </a:schemeClr>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Dec!$F$60:$F$62</c:f>
              <c:strCache>
                <c:ptCount val="3"/>
                <c:pt idx="0">
                  <c:v>Severe (1–7)</c:v>
                </c:pt>
                <c:pt idx="1">
                  <c:v>Moderate (8–12)</c:v>
                </c:pt>
                <c:pt idx="2">
                  <c:v>Intact (13–15)</c:v>
                </c:pt>
              </c:strCache>
            </c:strRef>
          </c:cat>
          <c:val>
            <c:numRef>
              <c:f>Dec!$H$60:$H$62</c:f>
              <c:numCache>
                <c:formatCode>General</c:formatCode>
                <c:ptCount val="3"/>
                <c:pt idx="0">
                  <c:v>0</c:v>
                </c:pt>
                <c:pt idx="1">
                  <c:v>0</c:v>
                </c:pt>
                <c:pt idx="2">
                  <c:v>0</c:v>
                </c:pt>
              </c:numCache>
            </c:numRef>
          </c:val>
          <c:extLst>
            <c:ext xmlns:c16="http://schemas.microsoft.com/office/drawing/2014/chart" uri="{C3380CC4-5D6E-409C-BE32-E72D297353CC}">
              <c16:uniqueId val="{00000000-8A1E-402F-B08F-928520A8C2E4}"/>
            </c:ext>
          </c:extLst>
        </c:ser>
        <c:dLbls>
          <c:showLegendKey val="0"/>
          <c:showVal val="0"/>
          <c:showCatName val="0"/>
          <c:showSerName val="0"/>
          <c:showPercent val="0"/>
          <c:showBubbleSize val="0"/>
        </c:dLbls>
        <c:gapWidth val="219"/>
        <c:overlap val="-27"/>
        <c:axId val="1226967759"/>
        <c:axId val="1226960559"/>
      </c:barChart>
      <c:catAx>
        <c:axId val="12269677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US"/>
          </a:p>
        </c:txPr>
        <c:crossAx val="1226960559"/>
        <c:crosses val="autoZero"/>
        <c:auto val="1"/>
        <c:lblAlgn val="ctr"/>
        <c:lblOffset val="100"/>
        <c:noMultiLvlLbl val="0"/>
      </c:catAx>
      <c:valAx>
        <c:axId val="122696055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1226967759"/>
        <c:crosses val="autoZero"/>
        <c:crossBetween val="between"/>
      </c:valAx>
      <c:spPr>
        <a:noFill/>
        <a:ln>
          <a:noFill/>
        </a:ln>
        <a:effectLst/>
      </c:spPr>
    </c:plotArea>
    <c:plotVisOnly val="1"/>
    <c:dispBlanksAs val="gap"/>
    <c:showDLblsOverMax val="0"/>
  </c:chart>
  <c:spPr>
    <a:noFill/>
    <a:ln w="6350"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c:printSettings>
</c:chartSpace>
</file>

<file path=xl/charts/chart1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Dec!$B$143</c:f>
          <c:strCache>
            <c:ptCount val="1"/>
            <c:pt idx="0">
              <c:v>Falls by Hour </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1"/>
          <c:order val="0"/>
          <c:tx>
            <c:strRef>
              <c:f>Dec!$D$144</c:f>
              <c:strCache>
                <c:ptCount val="1"/>
                <c:pt idx="0">
                  <c:v>Total</c:v>
                </c:pt>
              </c:strCache>
            </c:strRef>
          </c:tx>
          <c:spPr>
            <a:solidFill>
              <a:schemeClr val="bg1">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Dec!$B$145:$B$168</c:f>
              <c:strCache>
                <c:ptCount val="24"/>
                <c:pt idx="0">
                  <c:v>23:00–24:00</c:v>
                </c:pt>
                <c:pt idx="1">
                  <c:v>24:00–01:00</c:v>
                </c:pt>
                <c:pt idx="2">
                  <c:v>01:00–02:00</c:v>
                </c:pt>
                <c:pt idx="3">
                  <c:v>02:00–03:00</c:v>
                </c:pt>
                <c:pt idx="4">
                  <c:v>03:00–04:00</c:v>
                </c:pt>
                <c:pt idx="5">
                  <c:v>04:00–05:00</c:v>
                </c:pt>
                <c:pt idx="6">
                  <c:v>05:00–06:00</c:v>
                </c:pt>
                <c:pt idx="7">
                  <c:v>06:00–07:00</c:v>
                </c:pt>
                <c:pt idx="8">
                  <c:v>07:00–08:00</c:v>
                </c:pt>
                <c:pt idx="9">
                  <c:v>08:00–09:00</c:v>
                </c:pt>
                <c:pt idx="10">
                  <c:v>09:00–10:00</c:v>
                </c:pt>
                <c:pt idx="11">
                  <c:v>10:00–11:00</c:v>
                </c:pt>
                <c:pt idx="12">
                  <c:v>11:00–12:00</c:v>
                </c:pt>
                <c:pt idx="13">
                  <c:v>12:00–13:00</c:v>
                </c:pt>
                <c:pt idx="14">
                  <c:v>13:00–14:00</c:v>
                </c:pt>
                <c:pt idx="15">
                  <c:v>14:00–15:00</c:v>
                </c:pt>
                <c:pt idx="16">
                  <c:v>15:00–16:00</c:v>
                </c:pt>
                <c:pt idx="17">
                  <c:v>16:00–17:00</c:v>
                </c:pt>
                <c:pt idx="18">
                  <c:v>17:00–18:00</c:v>
                </c:pt>
                <c:pt idx="19">
                  <c:v>18:00–19:00</c:v>
                </c:pt>
                <c:pt idx="20">
                  <c:v>19:00–20:00</c:v>
                </c:pt>
                <c:pt idx="21">
                  <c:v>20:00–21:00</c:v>
                </c:pt>
                <c:pt idx="22">
                  <c:v>21:00–22:00</c:v>
                </c:pt>
                <c:pt idx="23">
                  <c:v>22:00–23:00</c:v>
                </c:pt>
              </c:strCache>
            </c:strRef>
          </c:cat>
          <c:val>
            <c:numRef>
              <c:f>Dec!$D$145:$D$168</c:f>
              <c:numCache>
                <c:formatCode>General</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6="http://schemas.microsoft.com/office/drawing/2014/chart" uri="{C3380CC4-5D6E-409C-BE32-E72D297353CC}">
              <c16:uniqueId val="{00000000-5607-4A89-9ABC-6FD275D21310}"/>
            </c:ext>
          </c:extLst>
        </c:ser>
        <c:dLbls>
          <c:showLegendKey val="0"/>
          <c:showVal val="0"/>
          <c:showCatName val="0"/>
          <c:showSerName val="0"/>
          <c:showPercent val="0"/>
          <c:showBubbleSize val="0"/>
        </c:dLbls>
        <c:gapWidth val="182"/>
        <c:axId val="1658854639"/>
        <c:axId val="1658861839"/>
      </c:barChart>
      <c:catAx>
        <c:axId val="16588546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1658861839"/>
        <c:crosses val="autoZero"/>
        <c:auto val="1"/>
        <c:lblAlgn val="ctr"/>
        <c:lblOffset val="100"/>
        <c:noMultiLvlLbl val="0"/>
      </c:catAx>
      <c:valAx>
        <c:axId val="1658861839"/>
        <c:scaling>
          <c:orientation val="minMax"/>
        </c:scaling>
        <c:delete val="1"/>
        <c:axPos val="t"/>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658854639"/>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orientation="landscape"/>
  </c:printSettings>
</c:chartSpace>
</file>

<file path=xl/charts/chart1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Dec!$B$65</c:f>
          <c:strCache>
            <c:ptCount val="1"/>
            <c:pt idx="0">
              <c:v>Falls by Activity</c:v>
            </c:pt>
          </c:strCache>
        </c:strRef>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tx>
            <c:strRef>
              <c:f>Dec!$G$66</c:f>
              <c:strCache>
                <c:ptCount val="1"/>
                <c:pt idx="0">
                  <c:v>Total</c:v>
                </c:pt>
              </c:strCache>
            </c:strRef>
          </c:tx>
          <c:spPr>
            <a:solidFill>
              <a:schemeClr val="bg1">
                <a:lumMod val="75000"/>
              </a:schemeClr>
            </a:solidFill>
            <a:ln>
              <a:solidFill>
                <a:schemeClr val="bg1">
                  <a:lumMod val="85000"/>
                </a:schemeClr>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Dec!$B$67:$B$90</c:f>
              <c:strCache>
                <c:ptCount val="11"/>
                <c:pt idx="0">
                  <c:v>Ambulating with assistive device (walker, cane, wheelchair)</c:v>
                </c:pt>
                <c:pt idx="1">
                  <c:v>Ambulating with staff assistance</c:v>
                </c:pt>
                <c:pt idx="2">
                  <c:v>Ambulating without assistance or assistive device</c:v>
                </c:pt>
                <c:pt idx="3">
                  <c:v>Changing position (e.g., in bed, chair)</c:v>
                </c:pt>
                <c:pt idx="4">
                  <c:v>Dressing or undressing</c:v>
                </c:pt>
                <c:pt idx="5">
                  <c:v>Other activity</c:v>
                </c:pt>
                <c:pt idx="6">
                  <c:v>Reaching for an item</c:v>
                </c:pt>
                <c:pt idx="7">
                  <c:v>Showering or bathing</c:v>
                </c:pt>
                <c:pt idx="8">
                  <c:v>Toileting</c:v>
                </c:pt>
                <c:pt idx="9">
                  <c:v>Transferring to or from bed, chair, wheelchair, etc.</c:v>
                </c:pt>
                <c:pt idx="10">
                  <c:v>Unknown</c:v>
                </c:pt>
              </c:strCache>
            </c:strRef>
          </c:cat>
          <c:val>
            <c:numRef>
              <c:f>Dec!$G$67:$G$90</c:f>
              <c:numCache>
                <c:formatCode>General</c:formatCode>
                <c:ptCount val="24"/>
                <c:pt idx="0">
                  <c:v>0</c:v>
                </c:pt>
                <c:pt idx="1">
                  <c:v>0</c:v>
                </c:pt>
                <c:pt idx="2">
                  <c:v>0</c:v>
                </c:pt>
                <c:pt idx="3">
                  <c:v>0</c:v>
                </c:pt>
                <c:pt idx="4">
                  <c:v>0</c:v>
                </c:pt>
                <c:pt idx="5">
                  <c:v>0</c:v>
                </c:pt>
                <c:pt idx="6">
                  <c:v>0</c:v>
                </c:pt>
                <c:pt idx="7">
                  <c:v>0</c:v>
                </c:pt>
                <c:pt idx="8">
                  <c:v>0</c:v>
                </c:pt>
                <c:pt idx="9">
                  <c:v>0</c:v>
                </c:pt>
                <c:pt idx="10">
                  <c:v>0</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val>
          <c:extLst>
            <c:ext xmlns:c16="http://schemas.microsoft.com/office/drawing/2014/chart" uri="{C3380CC4-5D6E-409C-BE32-E72D297353CC}">
              <c16:uniqueId val="{00000000-F0E8-4462-9F0E-7AEBFAE88F0C}"/>
            </c:ext>
          </c:extLst>
        </c:ser>
        <c:dLbls>
          <c:showLegendKey val="0"/>
          <c:showVal val="0"/>
          <c:showCatName val="0"/>
          <c:showSerName val="0"/>
          <c:showPercent val="0"/>
          <c:showBubbleSize val="0"/>
        </c:dLbls>
        <c:gapWidth val="182"/>
        <c:axId val="1658854639"/>
        <c:axId val="1658861839"/>
      </c:barChart>
      <c:catAx>
        <c:axId val="16588546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1658861839"/>
        <c:crosses val="autoZero"/>
        <c:auto val="1"/>
        <c:lblAlgn val="ctr"/>
        <c:lblOffset val="100"/>
        <c:noMultiLvlLbl val="0"/>
      </c:catAx>
      <c:valAx>
        <c:axId val="1658861839"/>
        <c:scaling>
          <c:orientation val="minMax"/>
        </c:scaling>
        <c:delete val="1"/>
        <c:axPos val="t"/>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658854639"/>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orientation="landscape"/>
  </c:printSettings>
</c:chartSpace>
</file>

<file path=xl/charts/chart1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5"/>
    </mc:Choice>
    <mc:Fallback>
      <c:style val="5"/>
    </mc:Fallback>
  </mc:AlternateContent>
  <c:chart>
    <c:title>
      <c:tx>
        <c:strRef>
          <c:f>Dec!$B$51</c:f>
          <c:strCache>
            <c:ptCount val="1"/>
            <c:pt idx="0">
              <c:v>Witnessed Falls</c:v>
            </c:pt>
          </c:strCache>
        </c:strRef>
      </c:tx>
      <c:layout>
        <c:manualLayout>
          <c:xMode val="edge"/>
          <c:yMode val="edge"/>
          <c:x val="0.28456383934819923"/>
          <c:y val="4.8263836268180225E-2"/>
        </c:manualLayout>
      </c:layout>
      <c:overlay val="0"/>
      <c:spPr>
        <a:noFill/>
        <a:ln>
          <a:noFill/>
        </a:ln>
        <a:effectLst/>
      </c:spPr>
      <c:txPr>
        <a:bodyPr rot="0" spcFirstLastPara="1" vertOverflow="ellipsis" vert="horz" wrap="square" anchor="ctr" anchorCtr="1"/>
        <a:lstStyle/>
        <a:p>
          <a:pPr>
            <a:defRPr sz="1100" b="1" i="0" u="none" strike="noStrike" kern="1200" spc="0" baseline="0">
              <a:solidFill>
                <a:sysClr val="windowText" lastClr="000000"/>
              </a:solidFill>
              <a:latin typeface="+mn-lt"/>
              <a:ea typeface="+mn-ea"/>
              <a:cs typeface="+mn-cs"/>
            </a:defRPr>
          </a:pPr>
          <a:endParaRPr lang="en-US"/>
        </a:p>
      </c:txPr>
    </c:title>
    <c:autoTitleDeleted val="0"/>
    <c:plotArea>
      <c:layout/>
      <c:pieChart>
        <c:varyColors val="1"/>
        <c:ser>
          <c:idx val="2"/>
          <c:order val="0"/>
          <c:tx>
            <c:strRef>
              <c:f>Dec!$D$52</c:f>
              <c:strCache>
                <c:ptCount val="1"/>
                <c:pt idx="0">
                  <c:v>Total</c:v>
                </c:pt>
              </c:strCache>
            </c:strRef>
          </c:tx>
          <c:spPr>
            <a:solidFill>
              <a:srgbClr val="F7F7F7"/>
            </a:solidFill>
            <a:ln w="19050">
              <a:solidFill>
                <a:schemeClr val="bg2">
                  <a:lumMod val="90000"/>
                </a:schemeClr>
              </a:solidFill>
            </a:ln>
          </c:spPr>
          <c:dPt>
            <c:idx val="0"/>
            <c:bubble3D val="0"/>
            <c:spPr>
              <a:solidFill>
                <a:srgbClr val="F7F7F7"/>
              </a:solidFill>
              <a:ln w="19050">
                <a:solidFill>
                  <a:schemeClr val="bg2">
                    <a:lumMod val="90000"/>
                  </a:schemeClr>
                </a:solidFill>
              </a:ln>
              <a:effectLst/>
            </c:spPr>
            <c:extLst>
              <c:ext xmlns:c16="http://schemas.microsoft.com/office/drawing/2014/chart" uri="{C3380CC4-5D6E-409C-BE32-E72D297353CC}">
                <c16:uniqueId val="{00000001-EF2C-4DAB-B88F-F172B4073DD4}"/>
              </c:ext>
            </c:extLst>
          </c:dPt>
          <c:dPt>
            <c:idx val="1"/>
            <c:bubble3D val="0"/>
            <c:spPr>
              <a:solidFill>
                <a:schemeClr val="bg2"/>
              </a:solidFill>
              <a:ln w="19050">
                <a:solidFill>
                  <a:schemeClr val="bg2">
                    <a:lumMod val="90000"/>
                  </a:schemeClr>
                </a:solidFill>
              </a:ln>
              <a:effectLst/>
            </c:spPr>
            <c:extLst>
              <c:ext xmlns:c16="http://schemas.microsoft.com/office/drawing/2014/chart" uri="{C3380CC4-5D6E-409C-BE32-E72D297353CC}">
                <c16:uniqueId val="{00000003-EF2C-4DAB-B88F-F172B4073DD4}"/>
              </c:ext>
            </c:extLst>
          </c:dPt>
          <c:dLbls>
            <c:dLbl>
              <c:idx val="0"/>
              <c:layout>
                <c:manualLayout>
                  <c:x val="6.2922200858950839E-2"/>
                  <c:y val="-5.7940247469122956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F2C-4DAB-B88F-F172B4073DD4}"/>
                </c:ext>
              </c:extLst>
            </c:dLbl>
            <c:dLbl>
              <c:idx val="1"/>
              <c:layout>
                <c:manualLayout>
                  <c:x val="-4.8011385115936479E-2"/>
                  <c:y val="2.6697554736401265E-2"/>
                </c:manualLayout>
              </c:layout>
              <c:spPr>
                <a:noFill/>
                <a:ln>
                  <a:noFill/>
                </a:ln>
                <a:effectLst/>
              </c:spPr>
              <c:txPr>
                <a:bodyPr rot="0" spcFirstLastPara="1" vertOverflow="ellipsis" vert="horz" wrap="square" lIns="38100" tIns="19050" rIns="38100" bIns="19050" anchor="ctr" anchorCtr="1">
                  <a:noAutofit/>
                </a:bodyPr>
                <a:lstStyle/>
                <a:p>
                  <a:pPr>
                    <a:defRPr sz="9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0"/>
              <c:showBubbleSize val="0"/>
              <c:extLst>
                <c:ext xmlns:c15="http://schemas.microsoft.com/office/drawing/2012/chart" uri="{CE6537A1-D6FC-4f65-9D91-7224C49458BB}">
                  <c15:layout>
                    <c:manualLayout>
                      <c:w val="0.24931745400710711"/>
                      <c:h val="0.11967240535812428"/>
                    </c:manualLayout>
                  </c15:layout>
                </c:ext>
                <c:ext xmlns:c16="http://schemas.microsoft.com/office/drawing/2014/chart" uri="{C3380CC4-5D6E-409C-BE32-E72D297353CC}">
                  <c16:uniqueId val="{00000003-EF2C-4DAB-B88F-F172B4073DD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Dec!$B$53:$B$54</c:f>
              <c:strCache>
                <c:ptCount val="2"/>
                <c:pt idx="0">
                  <c:v>Yes</c:v>
                </c:pt>
                <c:pt idx="1">
                  <c:v>No</c:v>
                </c:pt>
              </c:strCache>
            </c:strRef>
          </c:cat>
          <c:val>
            <c:numRef>
              <c:f>Dec!$D$53:$D$54</c:f>
              <c:numCache>
                <c:formatCode>General</c:formatCode>
                <c:ptCount val="2"/>
                <c:pt idx="0">
                  <c:v>0</c:v>
                </c:pt>
                <c:pt idx="1">
                  <c:v>0</c:v>
                </c:pt>
              </c:numCache>
            </c:numRef>
          </c:val>
          <c:extLst>
            <c:ext xmlns:c16="http://schemas.microsoft.com/office/drawing/2014/chart" uri="{C3380CC4-5D6E-409C-BE32-E72D297353CC}">
              <c16:uniqueId val="{00000004-EF2C-4DAB-B88F-F172B4073DD4}"/>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solidFill>
      <a:schemeClr val="bg1"/>
    </a:solidFill>
    <a:ln w="3175"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c:printSettings>
</c:chartSpace>
</file>

<file path=xl/charts/chart1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Dec!$B$171</c:f>
          <c:strCache>
            <c:ptCount val="1"/>
            <c:pt idx="0">
              <c:v>Falls by Contributing Factors</c:v>
            </c:pt>
          </c:strCache>
        </c:strRef>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4"/>
          <c:order val="0"/>
          <c:tx>
            <c:strRef>
              <c:f>Dec!$G$172</c:f>
              <c:strCache>
                <c:ptCount val="1"/>
                <c:pt idx="0">
                  <c:v>Total</c:v>
                </c:pt>
              </c:strCache>
            </c:strRef>
          </c:tx>
          <c:spPr>
            <a:solidFill>
              <a:schemeClr val="bg2">
                <a:lumMod val="9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Dec!$B$173:$B$196</c:f>
              <c:strCache>
                <c:ptCount val="11"/>
                <c:pt idx="0">
                  <c:v>Assisted/caregiver transfer</c:v>
                </c:pt>
                <c:pt idx="1">
                  <c:v>Bowel and bladder (B&amp;B) needs</c:v>
                </c:pt>
                <c:pt idx="2">
                  <c:v>Behavioral or situational</c:v>
                </c:pt>
                <c:pt idx="3">
                  <c:v>Change of condition</c:v>
                </c:pt>
                <c:pt idx="4">
                  <c:v>Environmental factors</c:v>
                </c:pt>
                <c:pt idx="5">
                  <c:v>Equipment malfunction</c:v>
                </c:pt>
                <c:pt idx="6">
                  <c:v>Equipment or assistive device</c:v>
                </c:pt>
                <c:pt idx="7">
                  <c:v>Medication related</c:v>
                </c:pt>
                <c:pt idx="8">
                  <c:v>Process(s) not followed</c:v>
                </c:pt>
                <c:pt idx="9">
                  <c:v>Resident health conditions</c:v>
                </c:pt>
                <c:pt idx="10">
                  <c:v>Staff</c:v>
                </c:pt>
              </c:strCache>
            </c:strRef>
          </c:cat>
          <c:val>
            <c:numRef>
              <c:f>Dec!$G$173:$G$196</c:f>
              <c:numCache>
                <c:formatCode>General</c:formatCode>
                <c:ptCount val="24"/>
                <c:pt idx="0">
                  <c:v>0</c:v>
                </c:pt>
                <c:pt idx="1">
                  <c:v>0</c:v>
                </c:pt>
                <c:pt idx="2">
                  <c:v>0</c:v>
                </c:pt>
                <c:pt idx="3">
                  <c:v>0</c:v>
                </c:pt>
                <c:pt idx="4">
                  <c:v>0</c:v>
                </c:pt>
                <c:pt idx="5">
                  <c:v>0</c:v>
                </c:pt>
                <c:pt idx="6">
                  <c:v>0</c:v>
                </c:pt>
                <c:pt idx="7">
                  <c:v>0</c:v>
                </c:pt>
                <c:pt idx="8">
                  <c:v>0</c:v>
                </c:pt>
                <c:pt idx="9">
                  <c:v>0</c:v>
                </c:pt>
                <c:pt idx="10">
                  <c:v>0</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val>
          <c:extLst>
            <c:ext xmlns:c16="http://schemas.microsoft.com/office/drawing/2014/chart" uri="{C3380CC4-5D6E-409C-BE32-E72D297353CC}">
              <c16:uniqueId val="{00000000-1C69-4506-B493-B8594D0BD5A5}"/>
            </c:ext>
          </c:extLst>
        </c:ser>
        <c:dLbls>
          <c:showLegendKey val="0"/>
          <c:showVal val="0"/>
          <c:showCatName val="0"/>
          <c:showSerName val="0"/>
          <c:showPercent val="0"/>
          <c:showBubbleSize val="0"/>
        </c:dLbls>
        <c:gapWidth val="182"/>
        <c:axId val="1658854639"/>
        <c:axId val="1658861839"/>
      </c:barChart>
      <c:catAx>
        <c:axId val="16588546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bg2">
                    <a:lumMod val="50000"/>
                  </a:schemeClr>
                </a:solidFill>
                <a:latin typeface="+mn-lt"/>
                <a:ea typeface="+mn-ea"/>
                <a:cs typeface="+mn-cs"/>
              </a:defRPr>
            </a:pPr>
            <a:endParaRPr lang="en-US"/>
          </a:p>
        </c:txPr>
        <c:crossAx val="1658861839"/>
        <c:crosses val="autoZero"/>
        <c:auto val="1"/>
        <c:lblAlgn val="ctr"/>
        <c:lblOffset val="100"/>
        <c:noMultiLvlLbl val="0"/>
      </c:catAx>
      <c:valAx>
        <c:axId val="1658861839"/>
        <c:scaling>
          <c:orientation val="minMax"/>
        </c:scaling>
        <c:delete val="1"/>
        <c:axPos val="t"/>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658854639"/>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orientation="landscape"/>
  </c:printSettings>
</c:chartSpace>
</file>

<file path=xl/charts/chart1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Dec!$F$51</c:f>
          <c:strCache>
            <c:ptCount val="1"/>
            <c:pt idx="0">
              <c:v>Fall Circumstances</c:v>
            </c:pt>
          </c:strCache>
        </c:strRef>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Dec!$H$52</c:f>
              <c:strCache>
                <c:ptCount val="1"/>
                <c:pt idx="0">
                  <c:v>Total</c:v>
                </c:pt>
              </c:strCache>
            </c:strRef>
          </c:tx>
          <c:spPr>
            <a:solidFill>
              <a:schemeClr val="bg2">
                <a:lumMod val="90000"/>
              </a:schemeClr>
            </a:solidFill>
            <a:ln>
              <a:solidFill>
                <a:schemeClr val="bg2">
                  <a:lumMod val="90000"/>
                </a:schemeClr>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Dec!$F$53:$F$55</c:f>
              <c:strCache>
                <c:ptCount val="3"/>
                <c:pt idx="0">
                  <c:v>Overwhelming Force</c:v>
                </c:pt>
                <c:pt idx="1">
                  <c:v>Intercepted</c:v>
                </c:pt>
                <c:pt idx="2">
                  <c:v>N/A</c:v>
                </c:pt>
              </c:strCache>
            </c:strRef>
          </c:cat>
          <c:val>
            <c:numRef>
              <c:f>Dec!$H$53:$H$55</c:f>
              <c:numCache>
                <c:formatCode>General</c:formatCode>
                <c:ptCount val="3"/>
                <c:pt idx="0">
                  <c:v>0</c:v>
                </c:pt>
                <c:pt idx="1">
                  <c:v>0</c:v>
                </c:pt>
                <c:pt idx="2">
                  <c:v>0</c:v>
                </c:pt>
              </c:numCache>
            </c:numRef>
          </c:val>
          <c:extLst>
            <c:ext xmlns:c16="http://schemas.microsoft.com/office/drawing/2014/chart" uri="{C3380CC4-5D6E-409C-BE32-E72D297353CC}">
              <c16:uniqueId val="{00000000-C6BD-4F11-A852-96809A3F585C}"/>
            </c:ext>
          </c:extLst>
        </c:ser>
        <c:dLbls>
          <c:showLegendKey val="0"/>
          <c:showVal val="0"/>
          <c:showCatName val="0"/>
          <c:showSerName val="0"/>
          <c:showPercent val="0"/>
          <c:showBubbleSize val="0"/>
        </c:dLbls>
        <c:gapWidth val="219"/>
        <c:overlap val="-27"/>
        <c:axId val="1226967759"/>
        <c:axId val="1226960559"/>
      </c:barChart>
      <c:catAx>
        <c:axId val="12269677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US"/>
          </a:p>
        </c:txPr>
        <c:crossAx val="1226960559"/>
        <c:crosses val="autoZero"/>
        <c:auto val="1"/>
        <c:lblAlgn val="ctr"/>
        <c:lblOffset val="100"/>
        <c:noMultiLvlLbl val="0"/>
      </c:catAx>
      <c:valAx>
        <c:axId val="122696055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1226967759"/>
        <c:crosses val="autoZero"/>
        <c:crossBetween val="between"/>
      </c:valAx>
      <c:spPr>
        <a:noFill/>
        <a:ln>
          <a:noFill/>
        </a:ln>
        <a:effectLst/>
      </c:spPr>
    </c:plotArea>
    <c:plotVisOnly val="1"/>
    <c:dispBlanksAs val="gap"/>
    <c:showDLblsOverMax val="0"/>
  </c:chart>
  <c:spPr>
    <a:noFill/>
    <a:ln w="6350"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Feb!$B$123</c:f>
          <c:strCache>
            <c:ptCount val="1"/>
            <c:pt idx="0">
              <c:v>Falls by Day of the Week </c:v>
            </c:pt>
          </c:strCache>
        </c:strRef>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
          <c:order val="0"/>
          <c:tx>
            <c:strRef>
              <c:f>Feb!$D$124</c:f>
              <c:strCache>
                <c:ptCount val="1"/>
                <c:pt idx="0">
                  <c:v>Total</c:v>
                </c:pt>
              </c:strCache>
            </c:strRef>
          </c:tx>
          <c:spPr>
            <a:solidFill>
              <a:schemeClr val="bg1">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Feb!$B$125:$B$131</c:f>
              <c:strCache>
                <c:ptCount val="7"/>
                <c:pt idx="0">
                  <c:v>Sun</c:v>
                </c:pt>
                <c:pt idx="1">
                  <c:v>Mon</c:v>
                </c:pt>
                <c:pt idx="2">
                  <c:v>Tue</c:v>
                </c:pt>
                <c:pt idx="3">
                  <c:v>Wed</c:v>
                </c:pt>
                <c:pt idx="4">
                  <c:v>Thu</c:v>
                </c:pt>
                <c:pt idx="5">
                  <c:v>Fri</c:v>
                </c:pt>
                <c:pt idx="6">
                  <c:v>Sat</c:v>
                </c:pt>
              </c:strCache>
            </c:strRef>
          </c:cat>
          <c:val>
            <c:numRef>
              <c:f>Feb!$D$125:$D$131</c:f>
              <c:numCache>
                <c:formatCode>General</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134E-43FC-9A53-1D7FB66D08BB}"/>
            </c:ext>
          </c:extLst>
        </c:ser>
        <c:dLbls>
          <c:showLegendKey val="0"/>
          <c:showVal val="0"/>
          <c:showCatName val="0"/>
          <c:showSerName val="0"/>
          <c:showPercent val="0"/>
          <c:showBubbleSize val="0"/>
        </c:dLbls>
        <c:gapWidth val="219"/>
        <c:overlap val="-27"/>
        <c:axId val="1569634943"/>
        <c:axId val="1590853103"/>
      </c:barChart>
      <c:catAx>
        <c:axId val="156963494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US"/>
          </a:p>
        </c:txPr>
        <c:crossAx val="1590853103"/>
        <c:crosses val="autoZero"/>
        <c:auto val="1"/>
        <c:lblAlgn val="ctr"/>
        <c:lblOffset val="100"/>
        <c:noMultiLvlLbl val="0"/>
      </c:catAx>
      <c:valAx>
        <c:axId val="1590853103"/>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69634943"/>
        <c:crosses val="autoZero"/>
        <c:crossBetween val="between"/>
      </c:valAx>
      <c:spPr>
        <a:noFill/>
        <a:ln>
          <a:noFill/>
        </a:ln>
        <a:effectLst/>
      </c:spPr>
    </c:plotArea>
    <c:plotVisOnly val="1"/>
    <c:dispBlanksAs val="gap"/>
    <c:showDLblsOverMax val="0"/>
  </c:chart>
  <c:spPr>
    <a:solidFill>
      <a:schemeClr val="bg1"/>
    </a:solidFill>
    <a:ln w="3175"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c:printSettings>
</c:chartSpace>
</file>

<file path=xl/charts/chart1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Jan!$B$134</c:f>
          <c:strCache>
            <c:ptCount val="1"/>
            <c:pt idx="0">
              <c:v>Falls by Shift</c:v>
            </c:pt>
          </c:strCache>
        </c:strRef>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1"/>
          <c:order val="0"/>
          <c:tx>
            <c:strRef>
              <c:f>Dec!$D$135</c:f>
              <c:strCache>
                <c:ptCount val="1"/>
                <c:pt idx="0">
                  <c:v>Total</c:v>
                </c:pt>
              </c:strCache>
            </c:strRef>
          </c:tx>
          <c:spPr>
            <a:solidFill>
              <a:schemeClr val="bg1">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Dec!$B$136:$B$140</c:f>
              <c:strCache>
                <c:ptCount val="4"/>
                <c:pt idx="0">
                  <c:v>11-7</c:v>
                </c:pt>
                <c:pt idx="1">
                  <c:v>11–7</c:v>
                </c:pt>
                <c:pt idx="2">
                  <c:v>7–3</c:v>
                </c:pt>
                <c:pt idx="3">
                  <c:v>3–11</c:v>
                </c:pt>
              </c:strCache>
            </c:strRef>
          </c:cat>
          <c:val>
            <c:numRef>
              <c:f>Dec!$D$136:$D$140</c:f>
              <c:numCache>
                <c:formatCode>General</c:formatCode>
                <c:ptCount val="5"/>
                <c:pt idx="0">
                  <c:v>0</c:v>
                </c:pt>
                <c:pt idx="1">
                  <c:v>0</c:v>
                </c:pt>
                <c:pt idx="2">
                  <c:v>0</c:v>
                </c:pt>
                <c:pt idx="3">
                  <c:v>0</c:v>
                </c:pt>
                <c:pt idx="4">
                  <c:v>#N/A</c:v>
                </c:pt>
              </c:numCache>
            </c:numRef>
          </c:val>
          <c:extLst>
            <c:ext xmlns:c16="http://schemas.microsoft.com/office/drawing/2014/chart" uri="{C3380CC4-5D6E-409C-BE32-E72D297353CC}">
              <c16:uniqueId val="{00000002-9087-4775-B21D-60516061DAD4}"/>
            </c:ext>
          </c:extLst>
        </c:ser>
        <c:dLbls>
          <c:showLegendKey val="0"/>
          <c:showVal val="0"/>
          <c:showCatName val="0"/>
          <c:showSerName val="0"/>
          <c:showPercent val="0"/>
          <c:showBubbleSize val="0"/>
        </c:dLbls>
        <c:gapWidth val="219"/>
        <c:axId val="789078271"/>
        <c:axId val="789056671"/>
      </c:barChart>
      <c:catAx>
        <c:axId val="789078271"/>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US"/>
          </a:p>
        </c:txPr>
        <c:crossAx val="789056671"/>
        <c:crosses val="autoZero"/>
        <c:auto val="1"/>
        <c:lblAlgn val="ctr"/>
        <c:lblOffset val="100"/>
        <c:noMultiLvlLbl val="0"/>
      </c:catAx>
      <c:valAx>
        <c:axId val="789056671"/>
        <c:scaling>
          <c:orientation val="minMax"/>
        </c:scaling>
        <c:delete val="1"/>
        <c:axPos val="t"/>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789078271"/>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c:printSettings>
</c:chartSpace>
</file>

<file path=xl/charts/chart1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a:t>Total Number of Falls by Month </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1"/>
          <c:order val="0"/>
          <c:tx>
            <c:strRef>
              <c:f>Falls!$B$7</c:f>
              <c:strCache>
                <c:ptCount val="1"/>
                <c:pt idx="0">
                  <c:v>All Falls</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Falls!$C$3:$N$3</c:f>
              <c:strCache>
                <c:ptCount val="12"/>
                <c:pt idx="0">
                  <c:v>January </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Falls!$C$7:$N$7</c:f>
              <c:numCache>
                <c:formatCode>General</c:formatCode>
                <c:ptCount val="12"/>
                <c:pt idx="0">
                  <c:v>#N/A</c:v>
                </c:pt>
                <c:pt idx="1">
                  <c:v>#N/A</c:v>
                </c:pt>
                <c:pt idx="2">
                  <c:v>#N/A</c:v>
                </c:pt>
                <c:pt idx="3">
                  <c:v>#N/A</c:v>
                </c:pt>
                <c:pt idx="4">
                  <c:v>#N/A</c:v>
                </c:pt>
                <c:pt idx="5">
                  <c:v>#N/A</c:v>
                </c:pt>
                <c:pt idx="6">
                  <c:v>#N/A</c:v>
                </c:pt>
                <c:pt idx="7">
                  <c:v>#N/A</c:v>
                </c:pt>
                <c:pt idx="8">
                  <c:v>#N/A</c:v>
                </c:pt>
                <c:pt idx="9">
                  <c:v>#N/A</c:v>
                </c:pt>
                <c:pt idx="10">
                  <c:v>#N/A</c:v>
                </c:pt>
                <c:pt idx="11">
                  <c:v>#N/A</c:v>
                </c:pt>
              </c:numCache>
            </c:numRef>
          </c:val>
          <c:smooth val="0"/>
          <c:extLst>
            <c:ext xmlns:c16="http://schemas.microsoft.com/office/drawing/2014/chart" uri="{C3380CC4-5D6E-409C-BE32-E72D297353CC}">
              <c16:uniqueId val="{00000006-88AE-4151-994A-CF67A8E0FFBD}"/>
            </c:ext>
          </c:extLst>
        </c:ser>
        <c:ser>
          <c:idx val="2"/>
          <c:order val="1"/>
          <c:tx>
            <c:strRef>
              <c:f>Falls!$B$8</c:f>
              <c:strCache>
                <c:ptCount val="1"/>
                <c:pt idx="0">
                  <c:v>Goal</c:v>
                </c:pt>
              </c:strCache>
            </c:strRef>
          </c:tx>
          <c:spPr>
            <a:ln w="28575" cap="rnd">
              <a:solidFill>
                <a:schemeClr val="accent6">
                  <a:lumMod val="60000"/>
                  <a:lumOff val="40000"/>
                </a:schemeClr>
              </a:solidFill>
              <a:round/>
            </a:ln>
            <a:effectLst/>
          </c:spPr>
          <c:marker>
            <c:symbol val="none"/>
          </c:marker>
          <c:cat>
            <c:strRef>
              <c:f>Falls!$C$3:$N$3</c:f>
              <c:strCache>
                <c:ptCount val="12"/>
                <c:pt idx="0">
                  <c:v>January </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Falls!$C$8:$N$8</c:f>
              <c:numCache>
                <c:formatCode>General</c:formatCode>
                <c:ptCount val="12"/>
                <c:pt idx="0">
                  <c:v>10</c:v>
                </c:pt>
                <c:pt idx="1">
                  <c:v>10</c:v>
                </c:pt>
                <c:pt idx="2">
                  <c:v>10</c:v>
                </c:pt>
                <c:pt idx="3">
                  <c:v>10</c:v>
                </c:pt>
                <c:pt idx="4">
                  <c:v>10</c:v>
                </c:pt>
                <c:pt idx="5">
                  <c:v>10</c:v>
                </c:pt>
                <c:pt idx="6">
                  <c:v>10</c:v>
                </c:pt>
                <c:pt idx="7">
                  <c:v>10</c:v>
                </c:pt>
                <c:pt idx="8">
                  <c:v>10</c:v>
                </c:pt>
                <c:pt idx="9">
                  <c:v>10</c:v>
                </c:pt>
                <c:pt idx="10">
                  <c:v>10</c:v>
                </c:pt>
                <c:pt idx="11">
                  <c:v>10</c:v>
                </c:pt>
              </c:numCache>
            </c:numRef>
          </c:val>
          <c:smooth val="0"/>
          <c:extLst>
            <c:ext xmlns:c16="http://schemas.microsoft.com/office/drawing/2014/chart" uri="{C3380CC4-5D6E-409C-BE32-E72D297353CC}">
              <c16:uniqueId val="{00000007-88AE-4151-994A-CF67A8E0FFBD}"/>
            </c:ext>
          </c:extLst>
        </c:ser>
        <c:dLbls>
          <c:showLegendKey val="0"/>
          <c:showVal val="0"/>
          <c:showCatName val="0"/>
          <c:showSerName val="0"/>
          <c:showPercent val="0"/>
          <c:showBubbleSize val="0"/>
        </c:dLbls>
        <c:marker val="1"/>
        <c:smooth val="0"/>
        <c:axId val="1155463519"/>
        <c:axId val="1155463039"/>
      </c:lineChart>
      <c:catAx>
        <c:axId val="115546351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US"/>
          </a:p>
        </c:txPr>
        <c:crossAx val="1155463039"/>
        <c:crosses val="autoZero"/>
        <c:auto val="1"/>
        <c:lblAlgn val="ctr"/>
        <c:lblOffset val="100"/>
        <c:noMultiLvlLbl val="0"/>
      </c:catAx>
      <c:valAx>
        <c:axId val="115546303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1155463519"/>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orientation="portrait"/>
  </c:printSettings>
</c:chartSpace>
</file>

<file path=xl/charts/chart1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Falls!$B$32</c:f>
          <c:strCache>
            <c:ptCount val="1"/>
            <c:pt idx="0">
              <c:v>Fall Rate by Month </c:v>
            </c:pt>
          </c:strCache>
        </c:strRef>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Falls!$B$34</c:f>
              <c:strCache>
                <c:ptCount val="1"/>
                <c:pt idx="0">
                  <c:v>Facility Rate</c:v>
                </c:pt>
              </c:strCache>
            </c:strRef>
          </c:tx>
          <c:spPr>
            <a:ln w="28575" cap="rnd">
              <a:solidFill>
                <a:schemeClr val="accent1"/>
              </a:solidFill>
              <a:round/>
            </a:ln>
            <a:effectLst/>
          </c:spPr>
          <c:marker>
            <c:symbol val="circle"/>
            <c:size val="5"/>
            <c:spPr>
              <a:solidFill>
                <a:schemeClr val="accent1"/>
              </a:solidFill>
              <a:ln w="9525">
                <a:solidFill>
                  <a:schemeClr val="accent1">
                    <a:alpha val="87000"/>
                  </a:schemeClr>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Falls!$C$33:$N$33</c:f>
              <c:strCache>
                <c:ptCount val="12"/>
                <c:pt idx="0">
                  <c:v>January </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Falls!$C$34:$N$34</c:f>
              <c:numCache>
                <c:formatCode>General</c:formatCode>
                <c:ptCount val="12"/>
                <c:pt idx="0">
                  <c:v>#N/A</c:v>
                </c:pt>
                <c:pt idx="1">
                  <c:v>#N/A</c:v>
                </c:pt>
                <c:pt idx="2">
                  <c:v>#N/A</c:v>
                </c:pt>
                <c:pt idx="3">
                  <c:v>#N/A</c:v>
                </c:pt>
                <c:pt idx="4">
                  <c:v>#N/A</c:v>
                </c:pt>
                <c:pt idx="5">
                  <c:v>#N/A</c:v>
                </c:pt>
                <c:pt idx="6">
                  <c:v>#N/A</c:v>
                </c:pt>
                <c:pt idx="7">
                  <c:v>#N/A</c:v>
                </c:pt>
                <c:pt idx="8">
                  <c:v>#N/A</c:v>
                </c:pt>
                <c:pt idx="9">
                  <c:v>#N/A</c:v>
                </c:pt>
                <c:pt idx="10">
                  <c:v>#N/A</c:v>
                </c:pt>
                <c:pt idx="11">
                  <c:v>#N/A</c:v>
                </c:pt>
              </c:numCache>
            </c:numRef>
          </c:val>
          <c:smooth val="0"/>
          <c:extLst>
            <c:ext xmlns:c16="http://schemas.microsoft.com/office/drawing/2014/chart" uri="{C3380CC4-5D6E-409C-BE32-E72D297353CC}">
              <c16:uniqueId val="{00000003-A664-4E22-AAB7-8A6228E3041F}"/>
            </c:ext>
          </c:extLst>
        </c:ser>
        <c:ser>
          <c:idx val="1"/>
          <c:order val="1"/>
          <c:tx>
            <c:strRef>
              <c:f>'Summary and Graphs'!#REF!</c:f>
              <c:strCache>
                <c:ptCount val="1"/>
                <c:pt idx="0">
                  <c:v>#REF!</c:v>
                </c:pt>
              </c:strCache>
            </c:strRef>
          </c:tx>
          <c:spPr>
            <a:ln w="28575" cap="rnd">
              <a:solidFill>
                <a:schemeClr val="accent2"/>
              </a:solidFill>
              <a:round/>
            </a:ln>
            <a:effectLst/>
          </c:spPr>
          <c:marker>
            <c:symbol val="none"/>
          </c:marker>
          <c:cat>
            <c:strRef>
              <c:f>Falls!$C$33:$N$33</c:f>
              <c:strCache>
                <c:ptCount val="12"/>
                <c:pt idx="0">
                  <c:v>January </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'Summary and Graphs'!#REF!</c:f>
              <c:numCache>
                <c:formatCode>General</c:formatCode>
                <c:ptCount val="1"/>
                <c:pt idx="0">
                  <c:v>1</c:v>
                </c:pt>
              </c:numCache>
            </c:numRef>
          </c:val>
          <c:smooth val="0"/>
          <c:extLst>
            <c:ext xmlns:c16="http://schemas.microsoft.com/office/drawing/2014/chart" uri="{C3380CC4-5D6E-409C-BE32-E72D297353CC}">
              <c16:uniqueId val="{00000004-A664-4E22-AAB7-8A6228E3041F}"/>
            </c:ext>
          </c:extLst>
        </c:ser>
        <c:ser>
          <c:idx val="2"/>
          <c:order val="2"/>
          <c:tx>
            <c:strRef>
              <c:f>'Summary and Graphs'!#REF!</c:f>
              <c:strCache>
                <c:ptCount val="1"/>
                <c:pt idx="0">
                  <c:v>#REF!</c:v>
                </c:pt>
              </c:strCache>
            </c:strRef>
          </c:tx>
          <c:spPr>
            <a:ln w="28575" cap="rnd">
              <a:solidFill>
                <a:schemeClr val="accent3"/>
              </a:solidFill>
              <a:round/>
            </a:ln>
            <a:effectLst/>
          </c:spPr>
          <c:marker>
            <c:symbol val="none"/>
          </c:marker>
          <c:cat>
            <c:strRef>
              <c:f>Falls!$C$33:$N$33</c:f>
              <c:strCache>
                <c:ptCount val="12"/>
                <c:pt idx="0">
                  <c:v>January </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'Summary and Graphs'!#REF!</c:f>
              <c:numCache>
                <c:formatCode>General</c:formatCode>
                <c:ptCount val="1"/>
                <c:pt idx="0">
                  <c:v>1</c:v>
                </c:pt>
              </c:numCache>
            </c:numRef>
          </c:val>
          <c:smooth val="0"/>
          <c:extLst>
            <c:ext xmlns:c16="http://schemas.microsoft.com/office/drawing/2014/chart" uri="{C3380CC4-5D6E-409C-BE32-E72D297353CC}">
              <c16:uniqueId val="{00000005-A664-4E22-AAB7-8A6228E3041F}"/>
            </c:ext>
          </c:extLst>
        </c:ser>
        <c:ser>
          <c:idx val="3"/>
          <c:order val="3"/>
          <c:tx>
            <c:strRef>
              <c:f>Falls!$B$35</c:f>
              <c:strCache>
                <c:ptCount val="1"/>
                <c:pt idx="0">
                  <c:v>Goal</c:v>
                </c:pt>
              </c:strCache>
            </c:strRef>
          </c:tx>
          <c:spPr>
            <a:ln w="28575" cap="rnd">
              <a:solidFill>
                <a:schemeClr val="accent6">
                  <a:lumMod val="60000"/>
                  <a:lumOff val="40000"/>
                </a:schemeClr>
              </a:solidFill>
              <a:round/>
            </a:ln>
            <a:effectLst/>
          </c:spPr>
          <c:marker>
            <c:symbol val="none"/>
          </c:marker>
          <c:cat>
            <c:strRef>
              <c:f>Falls!$C$33:$N$33</c:f>
              <c:strCache>
                <c:ptCount val="12"/>
                <c:pt idx="0">
                  <c:v>January </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Falls!$C$35:$N$35</c:f>
              <c:numCache>
                <c:formatCode>General</c:formatCode>
                <c:ptCount val="12"/>
                <c:pt idx="0">
                  <c:v>2.1</c:v>
                </c:pt>
                <c:pt idx="1">
                  <c:v>2.1</c:v>
                </c:pt>
                <c:pt idx="2">
                  <c:v>2.1</c:v>
                </c:pt>
                <c:pt idx="3">
                  <c:v>2.1</c:v>
                </c:pt>
                <c:pt idx="4">
                  <c:v>2.1</c:v>
                </c:pt>
                <c:pt idx="5">
                  <c:v>2.1</c:v>
                </c:pt>
                <c:pt idx="6">
                  <c:v>2.1</c:v>
                </c:pt>
                <c:pt idx="7">
                  <c:v>2.1</c:v>
                </c:pt>
                <c:pt idx="8">
                  <c:v>2.1</c:v>
                </c:pt>
                <c:pt idx="9">
                  <c:v>2.1</c:v>
                </c:pt>
                <c:pt idx="10">
                  <c:v>2.1</c:v>
                </c:pt>
                <c:pt idx="11">
                  <c:v>2.1</c:v>
                </c:pt>
              </c:numCache>
            </c:numRef>
          </c:val>
          <c:smooth val="0"/>
          <c:extLst>
            <c:ext xmlns:c16="http://schemas.microsoft.com/office/drawing/2014/chart" uri="{C3380CC4-5D6E-409C-BE32-E72D297353CC}">
              <c16:uniqueId val="{00000006-A664-4E22-AAB7-8A6228E3041F}"/>
            </c:ext>
          </c:extLst>
        </c:ser>
        <c:dLbls>
          <c:showLegendKey val="0"/>
          <c:showVal val="0"/>
          <c:showCatName val="0"/>
          <c:showSerName val="0"/>
          <c:showPercent val="0"/>
          <c:showBubbleSize val="0"/>
        </c:dLbls>
        <c:marker val="1"/>
        <c:smooth val="0"/>
        <c:axId val="1155463519"/>
        <c:axId val="1155463039"/>
      </c:lineChart>
      <c:catAx>
        <c:axId val="115546351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US"/>
          </a:p>
        </c:txPr>
        <c:crossAx val="1155463039"/>
        <c:crosses val="autoZero"/>
        <c:auto val="1"/>
        <c:lblAlgn val="ctr"/>
        <c:lblOffset val="100"/>
        <c:noMultiLvlLbl val="0"/>
      </c:catAx>
      <c:valAx>
        <c:axId val="115546303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1155463519"/>
        <c:crosses val="autoZero"/>
        <c:crossBetween val="between"/>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25" l="0.15" r="0.15" t="0.25" header="0.3" footer="0.3"/>
    <c:pageSetup orientation="landscape"/>
  </c:printSettings>
</c:chartSpace>
</file>

<file path=xl/charts/chart1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a:t>Number of Falls per Month by Category</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Falls!$B$4</c:f>
              <c:strCache>
                <c:ptCount val="1"/>
                <c:pt idx="0">
                  <c:v>Major Injury</c:v>
                </c:pt>
              </c:strCache>
            </c:strRef>
          </c:tx>
          <c:spPr>
            <a:ln w="28575" cap="rnd">
              <a:solidFill>
                <a:srgbClr val="FF0000">
                  <a:alpha val="97000"/>
                </a:srgbClr>
              </a:solidFill>
              <a:round/>
            </a:ln>
            <a:effectLst/>
          </c:spPr>
          <c:marker>
            <c:symbol val="circle"/>
            <c:size val="5"/>
            <c:spPr>
              <a:solidFill>
                <a:srgbClr val="FF0000"/>
              </a:solidFill>
              <a:ln w="9525">
                <a:solidFill>
                  <a:srgbClr val="FF0000"/>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ln>
                      <a:noFill/>
                    </a:ln>
                    <a:solidFill>
                      <a:srgbClr val="FF0000"/>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Falls!$C$3:$N$3</c:f>
              <c:strCache>
                <c:ptCount val="12"/>
                <c:pt idx="0">
                  <c:v>January </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Falls!$C$4:$N$4</c:f>
              <c:numCache>
                <c:formatCode>General</c:formatCode>
                <c:ptCount val="12"/>
                <c:pt idx="0">
                  <c:v>#N/A</c:v>
                </c:pt>
                <c:pt idx="1">
                  <c:v>#N/A</c:v>
                </c:pt>
                <c:pt idx="2">
                  <c:v>#N/A</c:v>
                </c:pt>
                <c:pt idx="3">
                  <c:v>#N/A</c:v>
                </c:pt>
                <c:pt idx="4">
                  <c:v>#N/A</c:v>
                </c:pt>
                <c:pt idx="5">
                  <c:v>#N/A</c:v>
                </c:pt>
                <c:pt idx="6">
                  <c:v>#N/A</c:v>
                </c:pt>
                <c:pt idx="7">
                  <c:v>#N/A</c:v>
                </c:pt>
                <c:pt idx="8">
                  <c:v>#N/A</c:v>
                </c:pt>
                <c:pt idx="9">
                  <c:v>#N/A</c:v>
                </c:pt>
                <c:pt idx="10">
                  <c:v>#N/A</c:v>
                </c:pt>
                <c:pt idx="11">
                  <c:v>#N/A</c:v>
                </c:pt>
              </c:numCache>
            </c:numRef>
          </c:val>
          <c:smooth val="0"/>
          <c:extLst>
            <c:ext xmlns:c16="http://schemas.microsoft.com/office/drawing/2014/chart" uri="{C3380CC4-5D6E-409C-BE32-E72D297353CC}">
              <c16:uniqueId val="{00000000-087B-4E92-84C8-A27D305D75A1}"/>
            </c:ext>
          </c:extLst>
        </c:ser>
        <c:ser>
          <c:idx val="1"/>
          <c:order val="1"/>
          <c:tx>
            <c:strRef>
              <c:f>Falls!$B$5</c:f>
              <c:strCache>
                <c:ptCount val="1"/>
                <c:pt idx="0">
                  <c:v>Injury (Except Major)</c:v>
                </c:pt>
              </c:strCache>
            </c:strRef>
          </c:tx>
          <c:spPr>
            <a:ln w="28575" cap="rnd">
              <a:solidFill>
                <a:schemeClr val="accent2"/>
              </a:solidFill>
              <a:round/>
            </a:ln>
            <a:effectLst/>
          </c:spPr>
          <c:marker>
            <c:symbol val="circle"/>
            <c:size val="5"/>
            <c:spPr>
              <a:solidFill>
                <a:srgbClr val="FF9900"/>
              </a:solidFill>
              <a:ln w="9525">
                <a:solidFill>
                  <a:srgbClr val="FF9900"/>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ln>
                      <a:noFill/>
                    </a:ln>
                    <a:solidFill>
                      <a:srgbClr val="FF9900"/>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Falls!$C$3:$N$3</c:f>
              <c:strCache>
                <c:ptCount val="12"/>
                <c:pt idx="0">
                  <c:v>January </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Falls!$C$5:$N$5</c:f>
              <c:numCache>
                <c:formatCode>General</c:formatCode>
                <c:ptCount val="12"/>
                <c:pt idx="0">
                  <c:v>#N/A</c:v>
                </c:pt>
                <c:pt idx="1">
                  <c:v>#N/A</c:v>
                </c:pt>
                <c:pt idx="2">
                  <c:v>#N/A</c:v>
                </c:pt>
                <c:pt idx="3">
                  <c:v>#N/A</c:v>
                </c:pt>
                <c:pt idx="4">
                  <c:v>#N/A</c:v>
                </c:pt>
                <c:pt idx="5">
                  <c:v>#N/A</c:v>
                </c:pt>
                <c:pt idx="6">
                  <c:v>#N/A</c:v>
                </c:pt>
                <c:pt idx="7">
                  <c:v>#N/A</c:v>
                </c:pt>
                <c:pt idx="8">
                  <c:v>#N/A</c:v>
                </c:pt>
                <c:pt idx="9">
                  <c:v>#N/A</c:v>
                </c:pt>
                <c:pt idx="10">
                  <c:v>#N/A</c:v>
                </c:pt>
                <c:pt idx="11">
                  <c:v>#N/A</c:v>
                </c:pt>
              </c:numCache>
            </c:numRef>
          </c:val>
          <c:smooth val="0"/>
          <c:extLst>
            <c:ext xmlns:c16="http://schemas.microsoft.com/office/drawing/2014/chart" uri="{C3380CC4-5D6E-409C-BE32-E72D297353CC}">
              <c16:uniqueId val="{00000001-087B-4E92-84C8-A27D305D75A1}"/>
            </c:ext>
          </c:extLst>
        </c:ser>
        <c:ser>
          <c:idx val="2"/>
          <c:order val="2"/>
          <c:tx>
            <c:strRef>
              <c:f>Falls!$B$6</c:f>
              <c:strCache>
                <c:ptCount val="1"/>
                <c:pt idx="0">
                  <c:v>No Injury</c:v>
                </c:pt>
              </c:strCache>
            </c:strRef>
          </c:tx>
          <c:spPr>
            <a:ln w="28575" cap="rnd">
              <a:solidFill>
                <a:schemeClr val="accent1"/>
              </a:solidFill>
              <a:round/>
            </a:ln>
            <a:effectLst/>
          </c:spPr>
          <c:marker>
            <c:symbol val="circle"/>
            <c:size val="5"/>
            <c:spPr>
              <a:solidFill>
                <a:schemeClr val="accent1">
                  <a:alpha val="98000"/>
                </a:schemeClr>
              </a:solidFill>
              <a:ln w="9525">
                <a:solidFill>
                  <a:schemeClr val="accent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accent1"/>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Falls!$C$3:$N$3</c:f>
              <c:strCache>
                <c:ptCount val="12"/>
                <c:pt idx="0">
                  <c:v>January </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Falls!$C$6:$N$6</c:f>
              <c:numCache>
                <c:formatCode>General</c:formatCode>
                <c:ptCount val="12"/>
                <c:pt idx="0">
                  <c:v>#N/A</c:v>
                </c:pt>
                <c:pt idx="1">
                  <c:v>#N/A</c:v>
                </c:pt>
                <c:pt idx="2">
                  <c:v>#N/A</c:v>
                </c:pt>
                <c:pt idx="3">
                  <c:v>#N/A</c:v>
                </c:pt>
                <c:pt idx="4">
                  <c:v>#N/A</c:v>
                </c:pt>
                <c:pt idx="5">
                  <c:v>#N/A</c:v>
                </c:pt>
                <c:pt idx="6">
                  <c:v>#N/A</c:v>
                </c:pt>
                <c:pt idx="7">
                  <c:v>#N/A</c:v>
                </c:pt>
                <c:pt idx="8">
                  <c:v>#N/A</c:v>
                </c:pt>
                <c:pt idx="9">
                  <c:v>#N/A</c:v>
                </c:pt>
                <c:pt idx="10">
                  <c:v>#N/A</c:v>
                </c:pt>
                <c:pt idx="11">
                  <c:v>#N/A</c:v>
                </c:pt>
              </c:numCache>
            </c:numRef>
          </c:val>
          <c:smooth val="0"/>
          <c:extLst>
            <c:ext xmlns:c16="http://schemas.microsoft.com/office/drawing/2014/chart" uri="{C3380CC4-5D6E-409C-BE32-E72D297353CC}">
              <c16:uniqueId val="{00000002-087B-4E92-84C8-A27D305D75A1}"/>
            </c:ext>
          </c:extLst>
        </c:ser>
        <c:dLbls>
          <c:showLegendKey val="0"/>
          <c:showVal val="0"/>
          <c:showCatName val="0"/>
          <c:showSerName val="0"/>
          <c:showPercent val="0"/>
          <c:showBubbleSize val="0"/>
        </c:dLbls>
        <c:marker val="1"/>
        <c:smooth val="0"/>
        <c:axId val="1155463519"/>
        <c:axId val="1155463039"/>
      </c:lineChart>
      <c:catAx>
        <c:axId val="115546351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US"/>
          </a:p>
        </c:txPr>
        <c:crossAx val="1155463039"/>
        <c:crosses val="autoZero"/>
        <c:auto val="1"/>
        <c:lblAlgn val="ctr"/>
        <c:lblOffset val="100"/>
        <c:noMultiLvlLbl val="0"/>
      </c:catAx>
      <c:valAx>
        <c:axId val="115546303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115546351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orientation="portrait"/>
  </c:printSettings>
</c:chartSpace>
</file>

<file path=xl/charts/chart1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'BIMS RCA'!$B$2</c:f>
          <c:strCache>
            <c:ptCount val="1"/>
            <c:pt idx="0">
              <c:v>BIMS Scores of Residents with Falls </c:v>
            </c:pt>
          </c:strCache>
        </c:strRef>
      </c:tx>
      <c:overlay val="0"/>
      <c:spPr>
        <a:noFill/>
        <a:ln>
          <a:noFill/>
        </a:ln>
        <a:effectLst/>
      </c:spPr>
      <c:txPr>
        <a:bodyPr rot="0" spcFirstLastPara="1" vertOverflow="ellipsis" vert="horz" wrap="square" anchor="ctr" anchorCtr="1"/>
        <a:lstStyle/>
        <a:p>
          <a:pPr>
            <a:defRPr sz="11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'BIMS RCA'!$D$10</c:f>
              <c:strCache>
                <c:ptCount val="1"/>
                <c:pt idx="0">
                  <c:v>Total</c:v>
                </c:pt>
              </c:strCache>
            </c:strRef>
          </c:tx>
          <c:spPr>
            <a:solidFill>
              <a:schemeClr val="accent1"/>
            </a:solidFill>
            <a:ln>
              <a:noFill/>
            </a:ln>
            <a:effectLst/>
          </c:spPr>
          <c:invertIfNegative val="0"/>
          <c:cat>
            <c:strRef>
              <c:f>'BIMS RCA'!$B$11:$B$13</c:f>
              <c:strCache>
                <c:ptCount val="3"/>
                <c:pt idx="0">
                  <c:v>Severe</c:v>
                </c:pt>
                <c:pt idx="1">
                  <c:v>Moderate</c:v>
                </c:pt>
                <c:pt idx="2">
                  <c:v>Intact</c:v>
                </c:pt>
              </c:strCache>
            </c:strRef>
          </c:cat>
          <c:val>
            <c:numRef>
              <c:f>'BIMS RCA'!$D$11:$D$13</c:f>
              <c:numCache>
                <c:formatCode>General</c:formatCode>
                <c:ptCount val="3"/>
                <c:pt idx="0">
                  <c:v>0</c:v>
                </c:pt>
                <c:pt idx="1">
                  <c:v>0</c:v>
                </c:pt>
                <c:pt idx="2">
                  <c:v>0</c:v>
                </c:pt>
              </c:numCache>
            </c:numRef>
          </c:val>
          <c:extLst>
            <c:ext xmlns:c16="http://schemas.microsoft.com/office/drawing/2014/chart" uri="{C3380CC4-5D6E-409C-BE32-E72D297353CC}">
              <c16:uniqueId val="{00000000-5377-465B-A1E1-9E2EA6968117}"/>
            </c:ext>
          </c:extLst>
        </c:ser>
        <c:dLbls>
          <c:showLegendKey val="0"/>
          <c:showVal val="0"/>
          <c:showCatName val="0"/>
          <c:showSerName val="0"/>
          <c:showPercent val="0"/>
          <c:showBubbleSize val="0"/>
        </c:dLbls>
        <c:gapWidth val="219"/>
        <c:overlap val="-27"/>
        <c:axId val="1226967759"/>
        <c:axId val="1226960559"/>
      </c:barChart>
      <c:catAx>
        <c:axId val="12269677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US"/>
          </a:p>
        </c:txPr>
        <c:crossAx val="1226960559"/>
        <c:crosses val="autoZero"/>
        <c:auto val="1"/>
        <c:lblAlgn val="ctr"/>
        <c:lblOffset val="100"/>
        <c:noMultiLvlLbl val="0"/>
      </c:catAx>
      <c:valAx>
        <c:axId val="122696055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1226967759"/>
        <c:crosses val="autoZero"/>
        <c:crossBetween val="between"/>
      </c:valAx>
      <c:spPr>
        <a:noFill/>
        <a:ln>
          <a:noFill/>
        </a:ln>
        <a:effectLst/>
      </c:spPr>
    </c:plotArea>
    <c:plotVisOnly val="1"/>
    <c:dispBlanksAs val="gap"/>
    <c:showDLblsOverMax val="0"/>
  </c:chart>
  <c:spPr>
    <a:noFill/>
    <a:ln w="6350" cap="flat" cmpd="sng" algn="ctr">
      <a:solidFill>
        <a:schemeClr val="accent3"/>
      </a:solidFill>
      <a:round/>
    </a:ln>
    <a:effectLst/>
  </c:spPr>
  <c:txPr>
    <a:bodyPr/>
    <a:lstStyle/>
    <a:p>
      <a:pPr>
        <a:defRPr/>
      </a:pPr>
      <a:endParaRPr lang="en-US"/>
    </a:p>
  </c:txPr>
  <c:printSettings>
    <c:headerFooter/>
    <c:pageMargins b="0.75" l="0.7" r="0.7" t="0.75" header="0.3" footer="0.3"/>
    <c:pageSetup/>
  </c:printSettings>
</c:chartSpace>
</file>

<file path=xl/charts/chart1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'BIMS RCA'!$B$23</c:f>
          <c:strCache>
            <c:ptCount val="1"/>
            <c:pt idx="0">
              <c:v>Fall Circumstances</c:v>
            </c:pt>
          </c:strCache>
        </c:strRef>
      </c:tx>
      <c:layout>
        <c:manualLayout>
          <c:xMode val="edge"/>
          <c:yMode val="edge"/>
          <c:x val="0.24525542495882549"/>
          <c:y val="2.138342860126174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tx>
            <c:strRef>
              <c:f>'BIMS RCA'!$D$24</c:f>
              <c:strCache>
                <c:ptCount val="1"/>
                <c:pt idx="0">
                  <c:v>Total</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0FAA-4098-82FC-ABDC501A290C}"/>
              </c:ext>
            </c:extLst>
          </c:dPt>
          <c:dPt>
            <c:idx val="1"/>
            <c:bubble3D val="0"/>
            <c:spPr>
              <a:solidFill>
                <a:schemeClr val="accent3"/>
              </a:solidFill>
              <a:ln w="19050">
                <a:solidFill>
                  <a:schemeClr val="lt1"/>
                </a:solidFill>
              </a:ln>
              <a:effectLst/>
            </c:spPr>
            <c:extLst>
              <c:ext xmlns:c16="http://schemas.microsoft.com/office/drawing/2014/chart" uri="{C3380CC4-5D6E-409C-BE32-E72D297353CC}">
                <c16:uniqueId val="{00000003-0FAA-4098-82FC-ABDC501A290C}"/>
              </c:ext>
            </c:extLst>
          </c:dPt>
          <c:dPt>
            <c:idx val="2"/>
            <c:bubble3D val="0"/>
            <c:spPr>
              <a:solidFill>
                <a:schemeClr val="accent5"/>
              </a:solidFill>
              <a:ln w="19050">
                <a:solidFill>
                  <a:schemeClr val="lt1"/>
                </a:solidFill>
              </a:ln>
              <a:effectLst/>
            </c:spPr>
            <c:extLst>
              <c:ext xmlns:c16="http://schemas.microsoft.com/office/drawing/2014/chart" uri="{C3380CC4-5D6E-409C-BE32-E72D297353CC}">
                <c16:uniqueId val="{00000005-0FAA-4098-82FC-ABDC501A290C}"/>
              </c:ext>
            </c:extLst>
          </c:dPt>
          <c:cat>
            <c:strRef>
              <c:f>'BIMS RCA'!$B$25:$B$27</c:f>
              <c:strCache>
                <c:ptCount val="3"/>
                <c:pt idx="0">
                  <c:v>Overwhelming Force</c:v>
                </c:pt>
                <c:pt idx="1">
                  <c:v>Intercepted</c:v>
                </c:pt>
                <c:pt idx="2">
                  <c:v>N/A</c:v>
                </c:pt>
              </c:strCache>
            </c:strRef>
          </c:cat>
          <c:val>
            <c:numRef>
              <c:f>'BIMS RCA'!$D$25:$D$27</c:f>
              <c:numCache>
                <c:formatCode>General</c:formatCode>
                <c:ptCount val="3"/>
                <c:pt idx="0">
                  <c:v>0</c:v>
                </c:pt>
                <c:pt idx="1">
                  <c:v>0</c:v>
                </c:pt>
                <c:pt idx="2">
                  <c:v>0</c:v>
                </c:pt>
              </c:numCache>
            </c:numRef>
          </c:val>
          <c:extLst>
            <c:ext xmlns:c16="http://schemas.microsoft.com/office/drawing/2014/chart" uri="{C3380CC4-5D6E-409C-BE32-E72D297353CC}">
              <c16:uniqueId val="{00000002-3568-41A0-9E6F-D71D8B0AA76E}"/>
            </c:ext>
          </c:extLst>
        </c:ser>
        <c:dLbls>
          <c:showLegendKey val="0"/>
          <c:showVal val="0"/>
          <c:showCatName val="0"/>
          <c:showSerName val="0"/>
          <c:showPercent val="0"/>
          <c:showBubbleSize val="0"/>
          <c:showLeaderLines val="1"/>
        </c:dLbls>
        <c:firstSliceAng val="0"/>
      </c:pieChart>
      <c:spPr>
        <a:noFill/>
        <a:ln>
          <a:noFill/>
        </a:ln>
        <a:effectLst/>
      </c:spPr>
    </c:plotArea>
    <c:legend>
      <c:legendPos val="r"/>
      <c:layout>
        <c:manualLayout>
          <c:xMode val="edge"/>
          <c:yMode val="edge"/>
          <c:x val="0.58660216025207235"/>
          <c:y val="0.29263951189708526"/>
          <c:w val="0.38685877420862563"/>
          <c:h val="0.64848744819762294"/>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'BIMS RCA'!$B$36</c:f>
          <c:strCache>
            <c:ptCount val="1"/>
            <c:pt idx="0">
              <c:v>Witnessed Falls</c:v>
            </c:pt>
          </c:strCache>
        </c:strRef>
      </c:tx>
      <c:layout>
        <c:manualLayout>
          <c:xMode val="edge"/>
          <c:yMode val="edge"/>
          <c:x val="0.27164191261607012"/>
          <c:y val="2.866021385998961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2"/>
          <c:order val="0"/>
          <c:tx>
            <c:strRef>
              <c:f>'BIMS RCA'!$C$37</c:f>
              <c:strCache>
                <c:ptCount val="1"/>
                <c:pt idx="0">
                  <c:v>Total</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A62D-4EC7-8667-B472516A6614}"/>
              </c:ext>
            </c:extLst>
          </c:dPt>
          <c:dPt>
            <c:idx val="1"/>
            <c:bubble3D val="0"/>
            <c:spPr>
              <a:solidFill>
                <a:schemeClr val="accent3"/>
              </a:solidFill>
              <a:ln w="19050">
                <a:solidFill>
                  <a:schemeClr val="lt1"/>
                </a:solidFill>
              </a:ln>
              <a:effectLst/>
            </c:spPr>
            <c:extLst>
              <c:ext xmlns:c16="http://schemas.microsoft.com/office/drawing/2014/chart" uri="{C3380CC4-5D6E-409C-BE32-E72D297353CC}">
                <c16:uniqueId val="{00000003-1F47-4B15-8008-7657A48FAC0C}"/>
              </c:ext>
            </c:extLst>
          </c:dPt>
          <c:cat>
            <c:strRef>
              <c:f>'BIMS RCA'!$B$38:$B$39</c:f>
              <c:strCache>
                <c:ptCount val="2"/>
                <c:pt idx="0">
                  <c:v>Yes</c:v>
                </c:pt>
                <c:pt idx="1">
                  <c:v>No</c:v>
                </c:pt>
              </c:strCache>
            </c:strRef>
          </c:cat>
          <c:val>
            <c:numRef>
              <c:f>'BIMS RCA'!$C$38:$C$39</c:f>
              <c:numCache>
                <c:formatCode>General</c:formatCode>
                <c:ptCount val="2"/>
                <c:pt idx="0">
                  <c:v>0</c:v>
                </c:pt>
                <c:pt idx="1">
                  <c:v>0</c:v>
                </c:pt>
              </c:numCache>
            </c:numRef>
          </c:val>
          <c:extLst>
            <c:ext xmlns:c16="http://schemas.microsoft.com/office/drawing/2014/chart" uri="{C3380CC4-5D6E-409C-BE32-E72D297353CC}">
              <c16:uniqueId val="{00000004-A62D-4EC7-8667-B472516A6614}"/>
            </c:ext>
          </c:extLst>
        </c:ser>
        <c:dLbls>
          <c:showLegendKey val="0"/>
          <c:showVal val="0"/>
          <c:showCatName val="0"/>
          <c:showSerName val="0"/>
          <c:showPercent val="0"/>
          <c:showBubbleSize val="0"/>
          <c:showLeaderLines val="1"/>
        </c:dLbls>
        <c:firstSliceAng val="0"/>
      </c:pieChart>
      <c:spPr>
        <a:noFill/>
        <a:ln>
          <a:noFill/>
        </a:ln>
        <a:effectLst/>
      </c:spPr>
    </c:plotArea>
    <c:legend>
      <c:legendPos val="r"/>
      <c:layout>
        <c:manualLayout>
          <c:xMode val="edge"/>
          <c:yMode val="edge"/>
          <c:x val="0.7687617878755918"/>
          <c:y val="0.42430276761559388"/>
          <c:w val="0.15907714806122183"/>
          <c:h val="0.34561168734880421"/>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hart1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'BIMS RCA'!$B$71</c:f>
          <c:strCache>
            <c:ptCount val="1"/>
            <c:pt idx="0">
              <c:v>Falls by Activity </c:v>
            </c:pt>
          </c:strCache>
        </c:strRef>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tx>
            <c:strRef>
              <c:f>'BIMS RCA'!$G$72</c:f>
              <c:strCache>
                <c:ptCount val="1"/>
                <c:pt idx="0">
                  <c:v>Total</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'BIMS RCA'!$B$73:$B$96</c:f>
              <c:strCache>
                <c:ptCount val="11"/>
                <c:pt idx="0">
                  <c:v>Ambulating with assistive device (walker, cane, wheelchair)</c:v>
                </c:pt>
                <c:pt idx="1">
                  <c:v>Ambulating with staff assistance</c:v>
                </c:pt>
                <c:pt idx="2">
                  <c:v>Ambulating without assistance or assistive device</c:v>
                </c:pt>
                <c:pt idx="3">
                  <c:v>Changing position (e.g., in bed, chair)</c:v>
                </c:pt>
                <c:pt idx="4">
                  <c:v>Dressing or undressing</c:v>
                </c:pt>
                <c:pt idx="5">
                  <c:v>Other activity</c:v>
                </c:pt>
                <c:pt idx="6">
                  <c:v>Reaching for an item</c:v>
                </c:pt>
                <c:pt idx="7">
                  <c:v>Showering or bathing</c:v>
                </c:pt>
                <c:pt idx="8">
                  <c:v>Toileting</c:v>
                </c:pt>
                <c:pt idx="9">
                  <c:v>Transferring to or from bed, chair, wheelchair, etc.</c:v>
                </c:pt>
                <c:pt idx="10">
                  <c:v>Unknown</c:v>
                </c:pt>
              </c:strCache>
            </c:strRef>
          </c:cat>
          <c:val>
            <c:numRef>
              <c:f>'BIMS RCA'!$G$73:$G$96</c:f>
              <c:numCache>
                <c:formatCode>General</c:formatCode>
                <c:ptCount val="24"/>
                <c:pt idx="0">
                  <c:v>0</c:v>
                </c:pt>
                <c:pt idx="1">
                  <c:v>0</c:v>
                </c:pt>
                <c:pt idx="2">
                  <c:v>0</c:v>
                </c:pt>
                <c:pt idx="3">
                  <c:v>0</c:v>
                </c:pt>
                <c:pt idx="4">
                  <c:v>0</c:v>
                </c:pt>
                <c:pt idx="5">
                  <c:v>0</c:v>
                </c:pt>
                <c:pt idx="6">
                  <c:v>0</c:v>
                </c:pt>
                <c:pt idx="7">
                  <c:v>0</c:v>
                </c:pt>
                <c:pt idx="8">
                  <c:v>0</c:v>
                </c:pt>
                <c:pt idx="9">
                  <c:v>0</c:v>
                </c:pt>
                <c:pt idx="10">
                  <c:v>0</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val>
          <c:extLst>
            <c:ext xmlns:c16="http://schemas.microsoft.com/office/drawing/2014/chart" uri="{C3380CC4-5D6E-409C-BE32-E72D297353CC}">
              <c16:uniqueId val="{00000000-CF4D-4C44-831B-E7F31ED36DC6}"/>
            </c:ext>
          </c:extLst>
        </c:ser>
        <c:dLbls>
          <c:showLegendKey val="0"/>
          <c:showVal val="0"/>
          <c:showCatName val="0"/>
          <c:showSerName val="0"/>
          <c:showPercent val="0"/>
          <c:showBubbleSize val="0"/>
        </c:dLbls>
        <c:gapWidth val="182"/>
        <c:axId val="1658854639"/>
        <c:axId val="1658861839"/>
      </c:barChart>
      <c:catAx>
        <c:axId val="16588546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1658861839"/>
        <c:crosses val="autoZero"/>
        <c:auto val="1"/>
        <c:lblAlgn val="ctr"/>
        <c:lblOffset val="100"/>
        <c:noMultiLvlLbl val="0"/>
      </c:catAx>
      <c:valAx>
        <c:axId val="1658861839"/>
        <c:scaling>
          <c:orientation val="minMax"/>
        </c:scaling>
        <c:delete val="1"/>
        <c:axPos val="t"/>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658854639"/>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orientation="landscape"/>
  </c:printSettings>
</c:chartSpace>
</file>

<file path=xl/charts/chart1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'BIMS RCA'!$B$127</c:f>
          <c:strCache>
            <c:ptCount val="1"/>
            <c:pt idx="0">
              <c:v>Falls by Contributing Factors</c:v>
            </c:pt>
          </c:strCache>
        </c:strRef>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4"/>
          <c:order val="0"/>
          <c:tx>
            <c:strRef>
              <c:f>'BIMS RCA'!$G$128</c:f>
              <c:strCache>
                <c:ptCount val="1"/>
                <c:pt idx="0">
                  <c:v>Total</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'BIMS RCA'!$B$129:$B$152</c:f>
              <c:strCache>
                <c:ptCount val="11"/>
                <c:pt idx="0">
                  <c:v>Assisted/caregiver transfer</c:v>
                </c:pt>
                <c:pt idx="1">
                  <c:v>Bowel and bladder (B&amp;B) needs</c:v>
                </c:pt>
                <c:pt idx="2">
                  <c:v>Behavioral or situational</c:v>
                </c:pt>
                <c:pt idx="3">
                  <c:v>Change of condition</c:v>
                </c:pt>
                <c:pt idx="4">
                  <c:v>Environmental factors</c:v>
                </c:pt>
                <c:pt idx="5">
                  <c:v>Equipment malfunction</c:v>
                </c:pt>
                <c:pt idx="6">
                  <c:v>Equipment or assistive device</c:v>
                </c:pt>
                <c:pt idx="7">
                  <c:v>Medication related</c:v>
                </c:pt>
                <c:pt idx="8">
                  <c:v>Process(s) not followed</c:v>
                </c:pt>
                <c:pt idx="9">
                  <c:v>Resident health conditions</c:v>
                </c:pt>
                <c:pt idx="10">
                  <c:v>Staff</c:v>
                </c:pt>
              </c:strCache>
            </c:strRef>
          </c:cat>
          <c:val>
            <c:numRef>
              <c:f>'BIMS RCA'!$G$129:$G$152</c:f>
              <c:numCache>
                <c:formatCode>General</c:formatCode>
                <c:ptCount val="24"/>
                <c:pt idx="0">
                  <c:v>0</c:v>
                </c:pt>
                <c:pt idx="1">
                  <c:v>0</c:v>
                </c:pt>
                <c:pt idx="2">
                  <c:v>0</c:v>
                </c:pt>
                <c:pt idx="3">
                  <c:v>0</c:v>
                </c:pt>
                <c:pt idx="4">
                  <c:v>0</c:v>
                </c:pt>
                <c:pt idx="5">
                  <c:v>0</c:v>
                </c:pt>
                <c:pt idx="6">
                  <c:v>0</c:v>
                </c:pt>
                <c:pt idx="7">
                  <c:v>0</c:v>
                </c:pt>
                <c:pt idx="8">
                  <c:v>0</c:v>
                </c:pt>
                <c:pt idx="9">
                  <c:v>0</c:v>
                </c:pt>
                <c:pt idx="10">
                  <c:v>0</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val>
          <c:extLst>
            <c:ext xmlns:c16="http://schemas.microsoft.com/office/drawing/2014/chart" uri="{C3380CC4-5D6E-409C-BE32-E72D297353CC}">
              <c16:uniqueId val="{00000000-6A55-4445-8380-B1EB3D20E431}"/>
            </c:ext>
          </c:extLst>
        </c:ser>
        <c:dLbls>
          <c:showLegendKey val="0"/>
          <c:showVal val="0"/>
          <c:showCatName val="0"/>
          <c:showSerName val="0"/>
          <c:showPercent val="0"/>
          <c:showBubbleSize val="0"/>
        </c:dLbls>
        <c:gapWidth val="182"/>
        <c:axId val="1658854639"/>
        <c:axId val="1658861839"/>
      </c:barChart>
      <c:catAx>
        <c:axId val="16588546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1658861839"/>
        <c:crosses val="autoZero"/>
        <c:auto val="1"/>
        <c:lblAlgn val="ctr"/>
        <c:lblOffset val="100"/>
        <c:noMultiLvlLbl val="0"/>
      </c:catAx>
      <c:valAx>
        <c:axId val="1658861839"/>
        <c:scaling>
          <c:orientation val="minMax"/>
        </c:scaling>
        <c:delete val="1"/>
        <c:axPos val="t"/>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658854639"/>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orientation="landscape"/>
  </c:printSettings>
</c:chartSpace>
</file>

<file path=xl/charts/chart1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'Loc Hr'!$B$2</c:f>
          <c:strCache>
            <c:ptCount val="1"/>
            <c:pt idx="0">
              <c:v>Number of Falls by Nurses Station </c:v>
            </c:pt>
          </c:strCache>
        </c:strRef>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'Loc Hr'!$C$18</c:f>
              <c:strCache>
                <c:ptCount val="1"/>
                <c:pt idx="0">
                  <c:v>Total</c:v>
                </c:pt>
              </c:strCache>
            </c:strRef>
          </c:tx>
          <c:spPr>
            <a:solidFill>
              <a:schemeClr val="accent1"/>
            </a:solidFill>
            <a:ln>
              <a:noFill/>
            </a:ln>
            <a:effectLst/>
          </c:spPr>
          <c:invertIfNegative val="0"/>
          <c:cat>
            <c:strRef>
              <c:f>'Loc Hr'!$B$19:$B$29</c:f>
              <c:strCache>
                <c:ptCount val="5"/>
                <c:pt idx="0">
                  <c:v>1</c:v>
                </c:pt>
                <c:pt idx="1">
                  <c:v>2</c:v>
                </c:pt>
                <c:pt idx="2">
                  <c:v>3</c:v>
                </c:pt>
                <c:pt idx="3">
                  <c:v>4</c:v>
                </c:pt>
                <c:pt idx="4">
                  <c:v>5</c:v>
                </c:pt>
              </c:strCache>
            </c:strRef>
          </c:cat>
          <c:val>
            <c:numRef>
              <c:f>'Loc Hr'!$C$19:$C$29</c:f>
              <c:numCache>
                <c:formatCode>General</c:formatCode>
                <c:ptCount val="11"/>
                <c:pt idx="0">
                  <c:v>0</c:v>
                </c:pt>
                <c:pt idx="1">
                  <c:v>0</c:v>
                </c:pt>
                <c:pt idx="2">
                  <c:v>0</c:v>
                </c:pt>
                <c:pt idx="3">
                  <c:v>0</c:v>
                </c:pt>
                <c:pt idx="4">
                  <c:v>0</c:v>
                </c:pt>
                <c:pt idx="5">
                  <c:v>#N/A</c:v>
                </c:pt>
                <c:pt idx="6">
                  <c:v>#N/A</c:v>
                </c:pt>
                <c:pt idx="7">
                  <c:v>#N/A</c:v>
                </c:pt>
                <c:pt idx="8">
                  <c:v>#N/A</c:v>
                </c:pt>
                <c:pt idx="9">
                  <c:v>#N/A</c:v>
                </c:pt>
                <c:pt idx="10">
                  <c:v>#N/A</c:v>
                </c:pt>
              </c:numCache>
            </c:numRef>
          </c:val>
          <c:extLst>
            <c:ext xmlns:c16="http://schemas.microsoft.com/office/drawing/2014/chart" uri="{C3380CC4-5D6E-409C-BE32-E72D297353CC}">
              <c16:uniqueId val="{00000000-3E60-4161-8098-7B0D8BF1A9F3}"/>
            </c:ext>
          </c:extLst>
        </c:ser>
        <c:dLbls>
          <c:showLegendKey val="0"/>
          <c:showVal val="0"/>
          <c:showCatName val="0"/>
          <c:showSerName val="0"/>
          <c:showPercent val="0"/>
          <c:showBubbleSize val="0"/>
        </c:dLbls>
        <c:gapWidth val="219"/>
        <c:overlap val="-27"/>
        <c:axId val="1226967759"/>
        <c:axId val="1226960559"/>
      </c:barChart>
      <c:catAx>
        <c:axId val="12269677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US"/>
          </a:p>
        </c:txPr>
        <c:crossAx val="1226960559"/>
        <c:crosses val="autoZero"/>
        <c:auto val="1"/>
        <c:lblAlgn val="ctr"/>
        <c:lblOffset val="100"/>
        <c:noMultiLvlLbl val="0"/>
      </c:catAx>
      <c:valAx>
        <c:axId val="122696055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1226967759"/>
        <c:crosses val="autoZero"/>
        <c:crossBetween val="between"/>
      </c:valAx>
      <c:spPr>
        <a:noFill/>
        <a:ln>
          <a:noFill/>
        </a:ln>
        <a:effectLst/>
      </c:spPr>
    </c:plotArea>
    <c:plotVisOnly val="1"/>
    <c:dispBlanksAs val="gap"/>
    <c:showDLblsOverMax val="0"/>
  </c:chart>
  <c:spPr>
    <a:noFill/>
    <a:ln w="6350" cap="flat" cmpd="sng" algn="ctr">
      <a:solidFill>
        <a:schemeClr val="tx1"/>
      </a:solidFill>
      <a:round/>
    </a:ln>
    <a:effectLst/>
  </c:spPr>
  <c:txPr>
    <a:bodyPr/>
    <a:lstStyle/>
    <a:p>
      <a:pPr>
        <a:defRPr/>
      </a:pPr>
      <a:endParaRPr lang="en-US"/>
    </a:p>
  </c:txPr>
  <c:printSettings>
    <c:headerFooter/>
    <c:pageMargins b="0.75" l="0.7" r="0.7" t="0.75" header="0.3" footer="0.3"/>
    <c:pageSetup orientation="portrait"/>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Feb!$B$108</c:f>
          <c:strCache>
            <c:ptCount val="1"/>
            <c:pt idx="0">
              <c:v>Falls by Nursing Station </c:v>
            </c:pt>
          </c:strCache>
        </c:strRef>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
          <c:order val="0"/>
          <c:tx>
            <c:strRef>
              <c:f>Feb!$D$109</c:f>
              <c:strCache>
                <c:ptCount val="1"/>
                <c:pt idx="0">
                  <c:v>Total</c:v>
                </c:pt>
              </c:strCache>
            </c:strRef>
          </c:tx>
          <c:spPr>
            <a:solidFill>
              <a:schemeClr val="bg1">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Feb!$B$110:$B$120</c:f>
              <c:strCache>
                <c:ptCount val="5"/>
                <c:pt idx="0">
                  <c:v>1</c:v>
                </c:pt>
                <c:pt idx="1">
                  <c:v>2</c:v>
                </c:pt>
                <c:pt idx="2">
                  <c:v>3</c:v>
                </c:pt>
                <c:pt idx="3">
                  <c:v>4</c:v>
                </c:pt>
                <c:pt idx="4">
                  <c:v>5</c:v>
                </c:pt>
              </c:strCache>
            </c:strRef>
          </c:cat>
          <c:val>
            <c:numRef>
              <c:f>Feb!$D$110:$D$120</c:f>
              <c:numCache>
                <c:formatCode>General</c:formatCode>
                <c:ptCount val="11"/>
                <c:pt idx="0">
                  <c:v>0</c:v>
                </c:pt>
                <c:pt idx="1">
                  <c:v>0</c:v>
                </c:pt>
                <c:pt idx="2">
                  <c:v>0</c:v>
                </c:pt>
                <c:pt idx="3">
                  <c:v>0</c:v>
                </c:pt>
                <c:pt idx="4">
                  <c:v>0</c:v>
                </c:pt>
                <c:pt idx="5">
                  <c:v>#N/A</c:v>
                </c:pt>
                <c:pt idx="6">
                  <c:v>#N/A</c:v>
                </c:pt>
                <c:pt idx="7">
                  <c:v>#N/A</c:v>
                </c:pt>
                <c:pt idx="8">
                  <c:v>#N/A</c:v>
                </c:pt>
                <c:pt idx="9">
                  <c:v>#N/A</c:v>
                </c:pt>
                <c:pt idx="10">
                  <c:v>#N/A</c:v>
                </c:pt>
              </c:numCache>
            </c:numRef>
          </c:val>
          <c:extLst>
            <c:ext xmlns:c16="http://schemas.microsoft.com/office/drawing/2014/chart" uri="{C3380CC4-5D6E-409C-BE32-E72D297353CC}">
              <c16:uniqueId val="{00000000-2D47-47A6-B319-2E96798ED224}"/>
            </c:ext>
          </c:extLst>
        </c:ser>
        <c:dLbls>
          <c:showLegendKey val="0"/>
          <c:showVal val="0"/>
          <c:showCatName val="0"/>
          <c:showSerName val="0"/>
          <c:showPercent val="0"/>
          <c:showBubbleSize val="0"/>
        </c:dLbls>
        <c:gapWidth val="219"/>
        <c:overlap val="-27"/>
        <c:axId val="1226967759"/>
        <c:axId val="1226960559"/>
      </c:barChart>
      <c:catAx>
        <c:axId val="12269677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US"/>
          </a:p>
        </c:txPr>
        <c:crossAx val="1226960559"/>
        <c:crosses val="autoZero"/>
        <c:auto val="1"/>
        <c:lblAlgn val="ctr"/>
        <c:lblOffset val="100"/>
        <c:noMultiLvlLbl val="0"/>
      </c:catAx>
      <c:valAx>
        <c:axId val="122696055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1226967759"/>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6350"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c:printSettings>
</c:chartSpace>
</file>

<file path=xl/charts/chart1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'Loc Hr'!$B$63</c:f>
          <c:strCache>
            <c:ptCount val="1"/>
            <c:pt idx="0">
              <c:v>Falls by Day of the Week </c:v>
            </c:pt>
          </c:strCache>
        </c:strRef>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'Loc Hr'!$C$75</c:f>
              <c:strCache>
                <c:ptCount val="1"/>
                <c:pt idx="0">
                  <c:v>Total</c:v>
                </c:pt>
              </c:strCache>
            </c:strRef>
          </c:tx>
          <c:spPr>
            <a:solidFill>
              <a:schemeClr val="accent1"/>
            </a:solidFill>
            <a:ln>
              <a:noFill/>
            </a:ln>
            <a:effectLst>
              <a:outerShdw blurRad="50800" dist="38100" dir="5400000" algn="t" rotWithShape="0">
                <a:prstClr val="black">
                  <a:alpha val="40000"/>
                </a:prstClr>
              </a:outerShdw>
              <a:softEdge rad="12700"/>
            </a:effectLst>
            <a:scene3d>
              <a:camera prst="orthographicFront"/>
              <a:lightRig rig="threePt" dir="t"/>
            </a:scene3d>
            <a:sp3d prstMaterial="matte"/>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'Loc Hr'!$B$76:$B$82</c:f>
              <c:strCache>
                <c:ptCount val="7"/>
                <c:pt idx="0">
                  <c:v>Sun</c:v>
                </c:pt>
                <c:pt idx="1">
                  <c:v>Mon</c:v>
                </c:pt>
                <c:pt idx="2">
                  <c:v>Tue</c:v>
                </c:pt>
                <c:pt idx="3">
                  <c:v>Wed</c:v>
                </c:pt>
                <c:pt idx="4">
                  <c:v>Thu</c:v>
                </c:pt>
                <c:pt idx="5">
                  <c:v>Fri</c:v>
                </c:pt>
                <c:pt idx="6">
                  <c:v>Sat</c:v>
                </c:pt>
              </c:strCache>
            </c:strRef>
          </c:cat>
          <c:val>
            <c:numRef>
              <c:f>'Loc Hr'!$C$76:$C$82</c:f>
              <c:numCache>
                <c:formatCode>General</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1343-4FB6-B96F-00C92E6AA285}"/>
            </c:ext>
          </c:extLst>
        </c:ser>
        <c:dLbls>
          <c:showLegendKey val="0"/>
          <c:showVal val="0"/>
          <c:showCatName val="0"/>
          <c:showSerName val="0"/>
          <c:showPercent val="0"/>
          <c:showBubbleSize val="0"/>
        </c:dLbls>
        <c:gapWidth val="219"/>
        <c:overlap val="-27"/>
        <c:axId val="1569634943"/>
        <c:axId val="1590853103"/>
      </c:barChart>
      <c:catAx>
        <c:axId val="156963494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US"/>
          </a:p>
        </c:txPr>
        <c:crossAx val="1590853103"/>
        <c:crosses val="autoZero"/>
        <c:auto val="1"/>
        <c:lblAlgn val="ctr"/>
        <c:lblOffset val="100"/>
        <c:noMultiLvlLbl val="0"/>
      </c:catAx>
      <c:valAx>
        <c:axId val="1590853103"/>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69634943"/>
        <c:crosses val="autoZero"/>
        <c:crossBetween val="between"/>
      </c:valAx>
      <c:spPr>
        <a:noFill/>
        <a:ln>
          <a:noFill/>
        </a:ln>
        <a:effectLst/>
      </c:spPr>
    </c:plotArea>
    <c:plotVisOnly val="1"/>
    <c:dispBlanksAs val="gap"/>
    <c:showDLblsOverMax val="0"/>
  </c:chart>
  <c:spPr>
    <a:noFill/>
    <a:ln w="6350"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1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'Loc Hr'!$B$94</c:f>
          <c:strCache>
            <c:ptCount val="1"/>
            <c:pt idx="0">
              <c:v>Cumulative Number of 
Falls by Shift</c:v>
            </c:pt>
          </c:strCache>
        </c:strRef>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tx>
            <c:strRef>
              <c:f>'Loc Hr'!$C$95</c:f>
              <c:strCache>
                <c:ptCount val="1"/>
                <c:pt idx="0">
                  <c:v>TOTAL</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'Loc Hr'!$B$96:$B$100</c:f>
              <c:strCache>
                <c:ptCount val="4"/>
                <c:pt idx="0">
                  <c:v>11-7</c:v>
                </c:pt>
                <c:pt idx="1">
                  <c:v>11–7</c:v>
                </c:pt>
                <c:pt idx="2">
                  <c:v>7–3</c:v>
                </c:pt>
                <c:pt idx="3">
                  <c:v>3–11</c:v>
                </c:pt>
              </c:strCache>
            </c:strRef>
          </c:cat>
          <c:val>
            <c:numRef>
              <c:f>'Loc Hr'!$C$96:$C$100</c:f>
              <c:numCache>
                <c:formatCode>General</c:formatCode>
                <c:ptCount val="5"/>
                <c:pt idx="0">
                  <c:v>0</c:v>
                </c:pt>
                <c:pt idx="1">
                  <c:v>0</c:v>
                </c:pt>
                <c:pt idx="2">
                  <c:v>0</c:v>
                </c:pt>
                <c:pt idx="3">
                  <c:v>0</c:v>
                </c:pt>
                <c:pt idx="4">
                  <c:v>#N/A</c:v>
                </c:pt>
              </c:numCache>
            </c:numRef>
          </c:val>
          <c:extLst>
            <c:ext xmlns:c16="http://schemas.microsoft.com/office/drawing/2014/chart" uri="{C3380CC4-5D6E-409C-BE32-E72D297353CC}">
              <c16:uniqueId val="{00000000-32FA-454E-9084-A2E6A929C47D}"/>
            </c:ext>
          </c:extLst>
        </c:ser>
        <c:dLbls>
          <c:showLegendKey val="0"/>
          <c:showVal val="0"/>
          <c:showCatName val="0"/>
          <c:showSerName val="0"/>
          <c:showPercent val="0"/>
          <c:showBubbleSize val="0"/>
        </c:dLbls>
        <c:gapWidth val="219"/>
        <c:axId val="789078271"/>
        <c:axId val="789056671"/>
      </c:barChart>
      <c:catAx>
        <c:axId val="789078271"/>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US"/>
          </a:p>
        </c:txPr>
        <c:crossAx val="789056671"/>
        <c:crosses val="autoZero"/>
        <c:auto val="1"/>
        <c:lblAlgn val="ctr"/>
        <c:lblOffset val="100"/>
        <c:noMultiLvlLbl val="0"/>
      </c:catAx>
      <c:valAx>
        <c:axId val="789056671"/>
        <c:scaling>
          <c:orientation val="minMax"/>
        </c:scaling>
        <c:delete val="1"/>
        <c:axPos val="t"/>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789078271"/>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317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1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'Loc Hr'!$B$104</c:f>
          <c:strCache>
            <c:ptCount val="1"/>
            <c:pt idx="0">
              <c:v>Number of Falls by Hour </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spPr>
            <a:solidFill>
              <a:schemeClr val="accent1"/>
            </a:solidFill>
            <a:ln>
              <a:noFill/>
            </a:ln>
            <a:effectLst>
              <a:softEdge rad="12700"/>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'Loc Hr'!$B$134:$B$157</c:f>
              <c:strCache>
                <c:ptCount val="24"/>
                <c:pt idx="0">
                  <c:v>23:00–24:00</c:v>
                </c:pt>
                <c:pt idx="1">
                  <c:v>24:00–01:00</c:v>
                </c:pt>
                <c:pt idx="2">
                  <c:v>01:00–02:00</c:v>
                </c:pt>
                <c:pt idx="3">
                  <c:v>02:00–03:00</c:v>
                </c:pt>
                <c:pt idx="4">
                  <c:v>03:00–04:00</c:v>
                </c:pt>
                <c:pt idx="5">
                  <c:v>04:00–05:00</c:v>
                </c:pt>
                <c:pt idx="6">
                  <c:v>05:00–06:00</c:v>
                </c:pt>
                <c:pt idx="7">
                  <c:v>06:00–07:00</c:v>
                </c:pt>
                <c:pt idx="8">
                  <c:v>07:00–08:00</c:v>
                </c:pt>
                <c:pt idx="9">
                  <c:v>08:00–09:00</c:v>
                </c:pt>
                <c:pt idx="10">
                  <c:v>09:00–10:00</c:v>
                </c:pt>
                <c:pt idx="11">
                  <c:v>10:00–11:00</c:v>
                </c:pt>
                <c:pt idx="12">
                  <c:v>11:00–12:00</c:v>
                </c:pt>
                <c:pt idx="13">
                  <c:v>12:00–13:00</c:v>
                </c:pt>
                <c:pt idx="14">
                  <c:v>13:00–14:00</c:v>
                </c:pt>
                <c:pt idx="15">
                  <c:v>14:00–15:00</c:v>
                </c:pt>
                <c:pt idx="16">
                  <c:v>15:00–16:00</c:v>
                </c:pt>
                <c:pt idx="17">
                  <c:v>16:00–17:00</c:v>
                </c:pt>
                <c:pt idx="18">
                  <c:v>17:00–18:00</c:v>
                </c:pt>
                <c:pt idx="19">
                  <c:v>18:00–19:00</c:v>
                </c:pt>
                <c:pt idx="20">
                  <c:v>19:00–20:00</c:v>
                </c:pt>
                <c:pt idx="21">
                  <c:v>20:00–21:00</c:v>
                </c:pt>
                <c:pt idx="22">
                  <c:v>21:00–22:00</c:v>
                </c:pt>
                <c:pt idx="23">
                  <c:v>22:00–23:00</c:v>
                </c:pt>
              </c:strCache>
            </c:strRef>
          </c:cat>
          <c:val>
            <c:numRef>
              <c:f>'Loc Hr'!$C$134:$C$157</c:f>
              <c:numCache>
                <c:formatCode>General</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5="http://schemas.microsoft.com/office/drawing/2012/chart" uri="{02D57815-91ED-43cb-92C2-25804820EDAC}">
              <c15:filteredSeriesTitle>
                <c15:tx>
                  <c:strRef>
                    <c:extLst>
                      <c:ext uri="{02D57815-91ED-43cb-92C2-25804820EDAC}">
                        <c15:formulaRef>
                          <c15:sqref> </c15:sqref>
                        </c15:formulaRef>
                      </c:ext>
                    </c:extLst>
                  </c:strRef>
                </c15:tx>
              </c15:filteredSeriesTitle>
            </c:ext>
            <c:ext xmlns:c16="http://schemas.microsoft.com/office/drawing/2014/chart" uri="{C3380CC4-5D6E-409C-BE32-E72D297353CC}">
              <c16:uniqueId val="{00000000-724C-4096-8435-6A999FFE3A26}"/>
            </c:ext>
          </c:extLst>
        </c:ser>
        <c:dLbls>
          <c:showLegendKey val="0"/>
          <c:showVal val="0"/>
          <c:showCatName val="0"/>
          <c:showSerName val="0"/>
          <c:showPercent val="0"/>
          <c:showBubbleSize val="0"/>
        </c:dLbls>
        <c:gapWidth val="182"/>
        <c:axId val="1658854639"/>
        <c:axId val="1658861839"/>
      </c:barChart>
      <c:catAx>
        <c:axId val="1658854639"/>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58861839"/>
        <c:crosses val="autoZero"/>
        <c:auto val="1"/>
        <c:lblAlgn val="ctr"/>
        <c:lblOffset val="100"/>
        <c:noMultiLvlLbl val="0"/>
      </c:catAx>
      <c:valAx>
        <c:axId val="1658861839"/>
        <c:scaling>
          <c:orientation val="minMax"/>
        </c:scaling>
        <c:delete val="1"/>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658854639"/>
        <c:crosses val="autoZero"/>
        <c:crossBetween val="between"/>
      </c:valAx>
      <c:spPr>
        <a:noFill/>
        <a:ln>
          <a:noFill/>
        </a:ln>
        <a:effectLst/>
      </c:spPr>
    </c:plotArea>
    <c:plotVisOnly val="1"/>
    <c:dispBlanksAs val="gap"/>
    <c:showDLblsOverMax val="0"/>
  </c:chart>
  <c:spPr>
    <a:solidFill>
      <a:schemeClr val="bg1"/>
    </a:solidFill>
    <a:ln w="317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1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'Loc Hr'!$B$33</c:f>
          <c:strCache>
            <c:ptCount val="1"/>
            <c:pt idx="0">
              <c:v>Location of Falls by Month </c:v>
            </c:pt>
          </c:strCache>
        </c:strRef>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'Loc Hr'!$C$49</c:f>
              <c:strCache>
                <c:ptCount val="1"/>
                <c:pt idx="0">
                  <c:v>Total</c:v>
                </c:pt>
              </c:strCache>
            </c:strRef>
          </c:tx>
          <c:spPr>
            <a:solidFill>
              <a:schemeClr val="accent1"/>
            </a:solidFill>
            <a:ln>
              <a:noFill/>
            </a:ln>
            <a:effectLst>
              <a:outerShdw blurRad="50800" dist="38100" dir="3600000" algn="t" rotWithShape="0">
                <a:prstClr val="black">
                  <a:alpha val="40000"/>
                </a:prstClr>
              </a:outerShdw>
              <a:softEdge rad="12700"/>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'Loc Hr'!$B$50:$B$60</c:f>
              <c:strCache>
                <c:ptCount val="7"/>
                <c:pt idx="0">
                  <c:v>Activity Room</c:v>
                </c:pt>
                <c:pt idx="1">
                  <c:v>Bedroom</c:v>
                </c:pt>
                <c:pt idx="2">
                  <c:v>Bathroom</c:v>
                </c:pt>
                <c:pt idx="3">
                  <c:v>Hallway</c:v>
                </c:pt>
                <c:pt idx="4">
                  <c:v>Offsite</c:v>
                </c:pt>
                <c:pt idx="5">
                  <c:v>Shower Room</c:v>
                </c:pt>
                <c:pt idx="6">
                  <c:v>Dining Room</c:v>
                </c:pt>
              </c:strCache>
            </c:strRef>
          </c:cat>
          <c:val>
            <c:numRef>
              <c:f>'Loc Hr'!$C$50:$C$60</c:f>
              <c:numCache>
                <c:formatCode>General</c:formatCode>
                <c:ptCount val="11"/>
                <c:pt idx="0">
                  <c:v>0</c:v>
                </c:pt>
                <c:pt idx="1">
                  <c:v>0</c:v>
                </c:pt>
                <c:pt idx="2">
                  <c:v>0</c:v>
                </c:pt>
                <c:pt idx="3">
                  <c:v>0</c:v>
                </c:pt>
                <c:pt idx="4">
                  <c:v>0</c:v>
                </c:pt>
                <c:pt idx="5">
                  <c:v>0</c:v>
                </c:pt>
                <c:pt idx="6">
                  <c:v>0</c:v>
                </c:pt>
                <c:pt idx="7">
                  <c:v>#N/A</c:v>
                </c:pt>
                <c:pt idx="8">
                  <c:v>#N/A</c:v>
                </c:pt>
                <c:pt idx="9">
                  <c:v>#N/A</c:v>
                </c:pt>
                <c:pt idx="10">
                  <c:v>#N/A</c:v>
                </c:pt>
              </c:numCache>
            </c:numRef>
          </c:val>
          <c:extLst>
            <c:ext xmlns:c16="http://schemas.microsoft.com/office/drawing/2014/chart" uri="{C3380CC4-5D6E-409C-BE32-E72D297353CC}">
              <c16:uniqueId val="{00000000-9A97-4A37-83DD-3EAE91C878E5}"/>
            </c:ext>
          </c:extLst>
        </c:ser>
        <c:dLbls>
          <c:showLegendKey val="0"/>
          <c:showVal val="0"/>
          <c:showCatName val="0"/>
          <c:showSerName val="0"/>
          <c:showPercent val="0"/>
          <c:showBubbleSize val="0"/>
        </c:dLbls>
        <c:gapWidth val="219"/>
        <c:overlap val="-27"/>
        <c:axId val="1569634943"/>
        <c:axId val="1590853103"/>
      </c:barChart>
      <c:catAx>
        <c:axId val="156963494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US"/>
          </a:p>
        </c:txPr>
        <c:crossAx val="1590853103"/>
        <c:crosses val="autoZero"/>
        <c:auto val="1"/>
        <c:lblAlgn val="ctr"/>
        <c:lblOffset val="100"/>
        <c:noMultiLvlLbl val="0"/>
      </c:catAx>
      <c:valAx>
        <c:axId val="1590853103"/>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69634943"/>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317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Feb!$F$58</c:f>
          <c:strCache>
            <c:ptCount val="1"/>
            <c:pt idx="0">
              <c:v>Falls by BIMS Score</c:v>
            </c:pt>
          </c:strCache>
        </c:strRef>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Feb!$H$59</c:f>
              <c:strCache>
                <c:ptCount val="1"/>
                <c:pt idx="0">
                  <c:v>Total</c:v>
                </c:pt>
              </c:strCache>
            </c:strRef>
          </c:tx>
          <c:spPr>
            <a:solidFill>
              <a:schemeClr val="bg2">
                <a:lumMod val="90000"/>
              </a:schemeClr>
            </a:solidFill>
            <a:ln>
              <a:solidFill>
                <a:schemeClr val="bg2">
                  <a:lumMod val="90000"/>
                </a:schemeClr>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Feb!$F$60:$F$62</c:f>
              <c:strCache>
                <c:ptCount val="3"/>
                <c:pt idx="0">
                  <c:v>Severe (1–7)</c:v>
                </c:pt>
                <c:pt idx="1">
                  <c:v>Moderate (8–12)</c:v>
                </c:pt>
                <c:pt idx="2">
                  <c:v>Intact (13–15)</c:v>
                </c:pt>
              </c:strCache>
            </c:strRef>
          </c:cat>
          <c:val>
            <c:numRef>
              <c:f>Feb!$H$60:$H$62</c:f>
              <c:numCache>
                <c:formatCode>General</c:formatCode>
                <c:ptCount val="3"/>
                <c:pt idx="0">
                  <c:v>0</c:v>
                </c:pt>
                <c:pt idx="1">
                  <c:v>0</c:v>
                </c:pt>
                <c:pt idx="2">
                  <c:v>0</c:v>
                </c:pt>
              </c:numCache>
            </c:numRef>
          </c:val>
          <c:extLst>
            <c:ext xmlns:c16="http://schemas.microsoft.com/office/drawing/2014/chart" uri="{C3380CC4-5D6E-409C-BE32-E72D297353CC}">
              <c16:uniqueId val="{00000000-E837-48D9-AFDC-80491C996797}"/>
            </c:ext>
          </c:extLst>
        </c:ser>
        <c:dLbls>
          <c:showLegendKey val="0"/>
          <c:showVal val="0"/>
          <c:showCatName val="0"/>
          <c:showSerName val="0"/>
          <c:showPercent val="0"/>
          <c:showBubbleSize val="0"/>
        </c:dLbls>
        <c:gapWidth val="219"/>
        <c:overlap val="-27"/>
        <c:axId val="1226967759"/>
        <c:axId val="1226960559"/>
      </c:barChart>
      <c:catAx>
        <c:axId val="12269677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US"/>
          </a:p>
        </c:txPr>
        <c:crossAx val="1226960559"/>
        <c:crosses val="autoZero"/>
        <c:auto val="1"/>
        <c:lblAlgn val="ctr"/>
        <c:lblOffset val="100"/>
        <c:noMultiLvlLbl val="0"/>
      </c:catAx>
      <c:valAx>
        <c:axId val="122696055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1226967759"/>
        <c:crosses val="autoZero"/>
        <c:crossBetween val="between"/>
      </c:valAx>
      <c:spPr>
        <a:noFill/>
        <a:ln>
          <a:noFill/>
        </a:ln>
        <a:effectLst/>
      </c:spPr>
    </c:plotArea>
    <c:plotVisOnly val="1"/>
    <c:dispBlanksAs val="gap"/>
    <c:showDLblsOverMax val="0"/>
  </c:chart>
  <c:spPr>
    <a:noFill/>
    <a:ln w="6350"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Feb!$B$143</c:f>
          <c:strCache>
            <c:ptCount val="1"/>
            <c:pt idx="0">
              <c:v>Falls by Hour </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1"/>
          <c:order val="0"/>
          <c:tx>
            <c:strRef>
              <c:f>Feb!$D$144</c:f>
              <c:strCache>
                <c:ptCount val="1"/>
                <c:pt idx="0">
                  <c:v>Total</c:v>
                </c:pt>
              </c:strCache>
            </c:strRef>
          </c:tx>
          <c:spPr>
            <a:solidFill>
              <a:schemeClr val="bg1">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Feb!$B$145:$B$168</c:f>
              <c:strCache>
                <c:ptCount val="24"/>
                <c:pt idx="0">
                  <c:v>23:00–24:00</c:v>
                </c:pt>
                <c:pt idx="1">
                  <c:v>24:00–01:00</c:v>
                </c:pt>
                <c:pt idx="2">
                  <c:v>01:00–02:00</c:v>
                </c:pt>
                <c:pt idx="3">
                  <c:v>02:00–03:00</c:v>
                </c:pt>
                <c:pt idx="4">
                  <c:v>03:00–04:00</c:v>
                </c:pt>
                <c:pt idx="5">
                  <c:v>04:00–05:00</c:v>
                </c:pt>
                <c:pt idx="6">
                  <c:v>05:00–06:00</c:v>
                </c:pt>
                <c:pt idx="7">
                  <c:v>06:00–07:00</c:v>
                </c:pt>
                <c:pt idx="8">
                  <c:v>07:00–08:00</c:v>
                </c:pt>
                <c:pt idx="9">
                  <c:v>08:00–09:00</c:v>
                </c:pt>
                <c:pt idx="10">
                  <c:v>09:00–10:00</c:v>
                </c:pt>
                <c:pt idx="11">
                  <c:v>10:00–11:00</c:v>
                </c:pt>
                <c:pt idx="12">
                  <c:v>11:00–12:00</c:v>
                </c:pt>
                <c:pt idx="13">
                  <c:v>12:00–13:00</c:v>
                </c:pt>
                <c:pt idx="14">
                  <c:v>13:00–14:00</c:v>
                </c:pt>
                <c:pt idx="15">
                  <c:v>14:00–15:00</c:v>
                </c:pt>
                <c:pt idx="16">
                  <c:v>15:00–16:00</c:v>
                </c:pt>
                <c:pt idx="17">
                  <c:v>16:00–17:00</c:v>
                </c:pt>
                <c:pt idx="18">
                  <c:v>17:00–18:00</c:v>
                </c:pt>
                <c:pt idx="19">
                  <c:v>18:00–19:00</c:v>
                </c:pt>
                <c:pt idx="20">
                  <c:v>19:00–20:00</c:v>
                </c:pt>
                <c:pt idx="21">
                  <c:v>20:00–21:00</c:v>
                </c:pt>
                <c:pt idx="22">
                  <c:v>21:00–22:00</c:v>
                </c:pt>
                <c:pt idx="23">
                  <c:v>22:00–23:00</c:v>
                </c:pt>
              </c:strCache>
            </c:strRef>
          </c:cat>
          <c:val>
            <c:numRef>
              <c:f>Feb!$D$145:$D$168</c:f>
              <c:numCache>
                <c:formatCode>General</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6="http://schemas.microsoft.com/office/drawing/2014/chart" uri="{C3380CC4-5D6E-409C-BE32-E72D297353CC}">
              <c16:uniqueId val="{00000000-13C1-466B-831A-26270F2D9111}"/>
            </c:ext>
          </c:extLst>
        </c:ser>
        <c:dLbls>
          <c:showLegendKey val="0"/>
          <c:showVal val="0"/>
          <c:showCatName val="0"/>
          <c:showSerName val="0"/>
          <c:showPercent val="0"/>
          <c:showBubbleSize val="0"/>
        </c:dLbls>
        <c:gapWidth val="182"/>
        <c:axId val="1658854639"/>
        <c:axId val="1658861839"/>
      </c:barChart>
      <c:catAx>
        <c:axId val="16588546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1658861839"/>
        <c:crosses val="autoZero"/>
        <c:auto val="1"/>
        <c:lblAlgn val="ctr"/>
        <c:lblOffset val="100"/>
        <c:noMultiLvlLbl val="0"/>
      </c:catAx>
      <c:valAx>
        <c:axId val="1658861839"/>
        <c:scaling>
          <c:orientation val="minMax"/>
        </c:scaling>
        <c:delete val="1"/>
        <c:axPos val="t"/>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658854639"/>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Feb!$B$65</c:f>
          <c:strCache>
            <c:ptCount val="1"/>
            <c:pt idx="0">
              <c:v>Falls by Activity</c:v>
            </c:pt>
          </c:strCache>
        </c:strRef>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tx>
            <c:strRef>
              <c:f>Feb!$G$66</c:f>
              <c:strCache>
                <c:ptCount val="1"/>
                <c:pt idx="0">
                  <c:v>Total</c:v>
                </c:pt>
              </c:strCache>
            </c:strRef>
          </c:tx>
          <c:spPr>
            <a:solidFill>
              <a:schemeClr val="bg1">
                <a:lumMod val="75000"/>
              </a:schemeClr>
            </a:solidFill>
            <a:ln>
              <a:solidFill>
                <a:schemeClr val="bg1">
                  <a:lumMod val="85000"/>
                </a:schemeClr>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Feb!$B$67:$B$90</c:f>
              <c:strCache>
                <c:ptCount val="11"/>
                <c:pt idx="0">
                  <c:v>Ambulating with assistive device (walker, cane, wheelchair)</c:v>
                </c:pt>
                <c:pt idx="1">
                  <c:v>Ambulating with staff assistance</c:v>
                </c:pt>
                <c:pt idx="2">
                  <c:v>Ambulating without assistance or assistive device</c:v>
                </c:pt>
                <c:pt idx="3">
                  <c:v>Changing position (e.g., in bed, chair)</c:v>
                </c:pt>
                <c:pt idx="4">
                  <c:v>Dressing or undressing</c:v>
                </c:pt>
                <c:pt idx="5">
                  <c:v>Other activity</c:v>
                </c:pt>
                <c:pt idx="6">
                  <c:v>Reaching for an item</c:v>
                </c:pt>
                <c:pt idx="7">
                  <c:v>Showering or bathing</c:v>
                </c:pt>
                <c:pt idx="8">
                  <c:v>Toileting</c:v>
                </c:pt>
                <c:pt idx="9">
                  <c:v>Transferring to or from bed, chair, wheelchair, etc.</c:v>
                </c:pt>
                <c:pt idx="10">
                  <c:v>Unknown</c:v>
                </c:pt>
              </c:strCache>
            </c:strRef>
          </c:cat>
          <c:val>
            <c:numRef>
              <c:f>Feb!$G$67:$G$90</c:f>
              <c:numCache>
                <c:formatCode>General</c:formatCode>
                <c:ptCount val="24"/>
                <c:pt idx="0">
                  <c:v>0</c:v>
                </c:pt>
                <c:pt idx="1">
                  <c:v>0</c:v>
                </c:pt>
                <c:pt idx="2">
                  <c:v>0</c:v>
                </c:pt>
                <c:pt idx="3">
                  <c:v>0</c:v>
                </c:pt>
                <c:pt idx="4">
                  <c:v>0</c:v>
                </c:pt>
                <c:pt idx="5">
                  <c:v>0</c:v>
                </c:pt>
                <c:pt idx="6">
                  <c:v>0</c:v>
                </c:pt>
                <c:pt idx="7">
                  <c:v>0</c:v>
                </c:pt>
                <c:pt idx="8">
                  <c:v>0</c:v>
                </c:pt>
                <c:pt idx="9">
                  <c:v>0</c:v>
                </c:pt>
                <c:pt idx="10">
                  <c:v>0</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val>
          <c:extLst>
            <c:ext xmlns:c16="http://schemas.microsoft.com/office/drawing/2014/chart" uri="{C3380CC4-5D6E-409C-BE32-E72D297353CC}">
              <c16:uniqueId val="{00000000-AD81-4C2D-9279-B1EE6B923E8D}"/>
            </c:ext>
          </c:extLst>
        </c:ser>
        <c:dLbls>
          <c:showLegendKey val="0"/>
          <c:showVal val="0"/>
          <c:showCatName val="0"/>
          <c:showSerName val="0"/>
          <c:showPercent val="0"/>
          <c:showBubbleSize val="0"/>
        </c:dLbls>
        <c:gapWidth val="182"/>
        <c:axId val="1658854639"/>
        <c:axId val="1658861839"/>
      </c:barChart>
      <c:catAx>
        <c:axId val="16588546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1658861839"/>
        <c:crosses val="autoZero"/>
        <c:auto val="1"/>
        <c:lblAlgn val="ctr"/>
        <c:lblOffset val="100"/>
        <c:noMultiLvlLbl val="0"/>
      </c:catAx>
      <c:valAx>
        <c:axId val="1658861839"/>
        <c:scaling>
          <c:orientation val="minMax"/>
        </c:scaling>
        <c:delete val="1"/>
        <c:axPos val="t"/>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658854639"/>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5"/>
    </mc:Choice>
    <mc:Fallback>
      <c:style val="5"/>
    </mc:Fallback>
  </mc:AlternateContent>
  <c:chart>
    <c:title>
      <c:tx>
        <c:strRef>
          <c:f>Feb!$B$51</c:f>
          <c:strCache>
            <c:ptCount val="1"/>
            <c:pt idx="0">
              <c:v>Witnessed Falls</c:v>
            </c:pt>
          </c:strCache>
        </c:strRef>
      </c:tx>
      <c:layout>
        <c:manualLayout>
          <c:xMode val="edge"/>
          <c:yMode val="edge"/>
          <c:x val="0.28456383934819923"/>
          <c:y val="4.8263836268180225E-2"/>
        </c:manualLayout>
      </c:layout>
      <c:overlay val="0"/>
      <c:spPr>
        <a:noFill/>
        <a:ln>
          <a:noFill/>
        </a:ln>
        <a:effectLst/>
      </c:spPr>
      <c:txPr>
        <a:bodyPr rot="0" spcFirstLastPara="1" vertOverflow="ellipsis" vert="horz" wrap="square" anchor="ctr" anchorCtr="1"/>
        <a:lstStyle/>
        <a:p>
          <a:pPr>
            <a:defRPr sz="1100" b="1" i="0" u="none" strike="noStrike" kern="1200" spc="0" baseline="0">
              <a:solidFill>
                <a:sysClr val="windowText" lastClr="000000"/>
              </a:solidFill>
              <a:latin typeface="+mn-lt"/>
              <a:ea typeface="+mn-ea"/>
              <a:cs typeface="+mn-cs"/>
            </a:defRPr>
          </a:pPr>
          <a:endParaRPr lang="en-US"/>
        </a:p>
      </c:txPr>
    </c:title>
    <c:autoTitleDeleted val="0"/>
    <c:plotArea>
      <c:layout/>
      <c:pieChart>
        <c:varyColors val="1"/>
        <c:ser>
          <c:idx val="2"/>
          <c:order val="0"/>
          <c:tx>
            <c:strRef>
              <c:f>Feb!$D$52</c:f>
              <c:strCache>
                <c:ptCount val="1"/>
                <c:pt idx="0">
                  <c:v>Total</c:v>
                </c:pt>
              </c:strCache>
            </c:strRef>
          </c:tx>
          <c:spPr>
            <a:solidFill>
              <a:srgbClr val="F7F7F7"/>
            </a:solidFill>
            <a:ln w="19050">
              <a:solidFill>
                <a:schemeClr val="bg2">
                  <a:lumMod val="90000"/>
                </a:schemeClr>
              </a:solidFill>
            </a:ln>
          </c:spPr>
          <c:dPt>
            <c:idx val="0"/>
            <c:bubble3D val="0"/>
            <c:spPr>
              <a:solidFill>
                <a:srgbClr val="F7F7F7"/>
              </a:solidFill>
              <a:ln w="19050">
                <a:solidFill>
                  <a:schemeClr val="bg2">
                    <a:lumMod val="90000"/>
                  </a:schemeClr>
                </a:solidFill>
              </a:ln>
              <a:effectLst/>
            </c:spPr>
            <c:extLst>
              <c:ext xmlns:c16="http://schemas.microsoft.com/office/drawing/2014/chart" uri="{C3380CC4-5D6E-409C-BE32-E72D297353CC}">
                <c16:uniqueId val="{00000001-D4BE-4420-BFED-460DE1B49E94}"/>
              </c:ext>
            </c:extLst>
          </c:dPt>
          <c:dPt>
            <c:idx val="1"/>
            <c:bubble3D val="0"/>
            <c:spPr>
              <a:solidFill>
                <a:schemeClr val="bg2"/>
              </a:solidFill>
              <a:ln w="19050">
                <a:solidFill>
                  <a:schemeClr val="bg2">
                    <a:lumMod val="90000"/>
                  </a:schemeClr>
                </a:solidFill>
              </a:ln>
              <a:effectLst/>
            </c:spPr>
            <c:extLst>
              <c:ext xmlns:c16="http://schemas.microsoft.com/office/drawing/2014/chart" uri="{C3380CC4-5D6E-409C-BE32-E72D297353CC}">
                <c16:uniqueId val="{00000003-D4BE-4420-BFED-460DE1B49E94}"/>
              </c:ext>
            </c:extLst>
          </c:dPt>
          <c:dLbls>
            <c:dLbl>
              <c:idx val="0"/>
              <c:layout>
                <c:manualLayout>
                  <c:x val="6.2922200858950839E-2"/>
                  <c:y val="-5.7940247469122956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4BE-4420-BFED-460DE1B49E94}"/>
                </c:ext>
              </c:extLst>
            </c:dLbl>
            <c:dLbl>
              <c:idx val="1"/>
              <c:layout>
                <c:manualLayout>
                  <c:x val="-4.8011385115936479E-2"/>
                  <c:y val="2.6697554736401265E-2"/>
                </c:manualLayout>
              </c:layout>
              <c:spPr>
                <a:noFill/>
                <a:ln>
                  <a:noFill/>
                </a:ln>
                <a:effectLst/>
              </c:spPr>
              <c:txPr>
                <a:bodyPr rot="0" spcFirstLastPara="1" vertOverflow="ellipsis" vert="horz" wrap="square" lIns="38100" tIns="19050" rIns="38100" bIns="19050" anchor="ctr" anchorCtr="1">
                  <a:noAutofit/>
                </a:bodyPr>
                <a:lstStyle/>
                <a:p>
                  <a:pPr>
                    <a:defRPr sz="9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0"/>
              <c:showBubbleSize val="0"/>
              <c:extLst>
                <c:ext xmlns:c15="http://schemas.microsoft.com/office/drawing/2012/chart" uri="{CE6537A1-D6FC-4f65-9D91-7224C49458BB}">
                  <c15:layout>
                    <c:manualLayout>
                      <c:w val="0.24931745400710711"/>
                      <c:h val="0.11967240535812428"/>
                    </c:manualLayout>
                  </c15:layout>
                </c:ext>
                <c:ext xmlns:c16="http://schemas.microsoft.com/office/drawing/2014/chart" uri="{C3380CC4-5D6E-409C-BE32-E72D297353CC}">
                  <c16:uniqueId val="{00000003-D4BE-4420-BFED-460DE1B49E9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Feb!$B$53:$B$54</c:f>
              <c:strCache>
                <c:ptCount val="2"/>
                <c:pt idx="0">
                  <c:v>Yes</c:v>
                </c:pt>
                <c:pt idx="1">
                  <c:v>No</c:v>
                </c:pt>
              </c:strCache>
            </c:strRef>
          </c:cat>
          <c:val>
            <c:numRef>
              <c:f>Feb!$D$53:$D$54</c:f>
              <c:numCache>
                <c:formatCode>General</c:formatCode>
                <c:ptCount val="2"/>
                <c:pt idx="0">
                  <c:v>0</c:v>
                </c:pt>
                <c:pt idx="1">
                  <c:v>0</c:v>
                </c:pt>
              </c:numCache>
            </c:numRef>
          </c:val>
          <c:extLst>
            <c:ext xmlns:c16="http://schemas.microsoft.com/office/drawing/2014/chart" uri="{C3380CC4-5D6E-409C-BE32-E72D297353CC}">
              <c16:uniqueId val="{00000004-D4BE-4420-BFED-460DE1B49E94}"/>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solidFill>
      <a:schemeClr val="bg1"/>
    </a:solidFill>
    <a:ln w="3175"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Feb!$B$171</c:f>
          <c:strCache>
            <c:ptCount val="1"/>
            <c:pt idx="0">
              <c:v>Falls by Contributing Factors</c:v>
            </c:pt>
          </c:strCache>
        </c:strRef>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4"/>
          <c:order val="0"/>
          <c:tx>
            <c:strRef>
              <c:f>Feb!$G$172</c:f>
              <c:strCache>
                <c:ptCount val="1"/>
                <c:pt idx="0">
                  <c:v>Total</c:v>
                </c:pt>
              </c:strCache>
            </c:strRef>
          </c:tx>
          <c:spPr>
            <a:solidFill>
              <a:schemeClr val="bg2">
                <a:lumMod val="9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Feb!$B$173:$B$196</c:f>
              <c:strCache>
                <c:ptCount val="11"/>
                <c:pt idx="0">
                  <c:v>Assisted/caregiver transfer</c:v>
                </c:pt>
                <c:pt idx="1">
                  <c:v>Bowel and bladder (B&amp;B) needs</c:v>
                </c:pt>
                <c:pt idx="2">
                  <c:v>Behavioral or situational</c:v>
                </c:pt>
                <c:pt idx="3">
                  <c:v>Change of condition</c:v>
                </c:pt>
                <c:pt idx="4">
                  <c:v>Environmental factors</c:v>
                </c:pt>
                <c:pt idx="5">
                  <c:v>Equipment malfunction</c:v>
                </c:pt>
                <c:pt idx="6">
                  <c:v>Equipment or assistive device</c:v>
                </c:pt>
                <c:pt idx="7">
                  <c:v>Medication related</c:v>
                </c:pt>
                <c:pt idx="8">
                  <c:v>Process(s) not followed</c:v>
                </c:pt>
                <c:pt idx="9">
                  <c:v>Resident health conditions</c:v>
                </c:pt>
                <c:pt idx="10">
                  <c:v>Staff</c:v>
                </c:pt>
              </c:strCache>
            </c:strRef>
          </c:cat>
          <c:val>
            <c:numRef>
              <c:f>Feb!$G$173:$G$196</c:f>
              <c:numCache>
                <c:formatCode>General</c:formatCode>
                <c:ptCount val="24"/>
                <c:pt idx="0">
                  <c:v>0</c:v>
                </c:pt>
                <c:pt idx="1">
                  <c:v>0</c:v>
                </c:pt>
                <c:pt idx="2">
                  <c:v>0</c:v>
                </c:pt>
                <c:pt idx="3">
                  <c:v>0</c:v>
                </c:pt>
                <c:pt idx="4">
                  <c:v>0</c:v>
                </c:pt>
                <c:pt idx="5">
                  <c:v>0</c:v>
                </c:pt>
                <c:pt idx="6">
                  <c:v>0</c:v>
                </c:pt>
                <c:pt idx="7">
                  <c:v>0</c:v>
                </c:pt>
                <c:pt idx="8">
                  <c:v>0</c:v>
                </c:pt>
                <c:pt idx="9">
                  <c:v>0</c:v>
                </c:pt>
                <c:pt idx="10">
                  <c:v>0</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val>
          <c:extLst>
            <c:ext xmlns:c16="http://schemas.microsoft.com/office/drawing/2014/chart" uri="{C3380CC4-5D6E-409C-BE32-E72D297353CC}">
              <c16:uniqueId val="{00000000-43E1-4F46-8B21-4DABB22FC717}"/>
            </c:ext>
          </c:extLst>
        </c:ser>
        <c:dLbls>
          <c:showLegendKey val="0"/>
          <c:showVal val="0"/>
          <c:showCatName val="0"/>
          <c:showSerName val="0"/>
          <c:showPercent val="0"/>
          <c:showBubbleSize val="0"/>
        </c:dLbls>
        <c:gapWidth val="182"/>
        <c:axId val="1658854639"/>
        <c:axId val="1658861839"/>
      </c:barChart>
      <c:catAx>
        <c:axId val="16588546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bg2">
                    <a:lumMod val="50000"/>
                  </a:schemeClr>
                </a:solidFill>
                <a:latin typeface="+mn-lt"/>
                <a:ea typeface="+mn-ea"/>
                <a:cs typeface="+mn-cs"/>
              </a:defRPr>
            </a:pPr>
            <a:endParaRPr lang="en-US"/>
          </a:p>
        </c:txPr>
        <c:crossAx val="1658861839"/>
        <c:crosses val="autoZero"/>
        <c:auto val="1"/>
        <c:lblAlgn val="ctr"/>
        <c:lblOffset val="100"/>
        <c:noMultiLvlLbl val="0"/>
      </c:catAx>
      <c:valAx>
        <c:axId val="1658861839"/>
        <c:scaling>
          <c:orientation val="minMax"/>
        </c:scaling>
        <c:delete val="1"/>
        <c:axPos val="t"/>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658854639"/>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orientation="landscape"/>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Feb!$F$51</c:f>
          <c:strCache>
            <c:ptCount val="1"/>
            <c:pt idx="0">
              <c:v>Fall Circumstances</c:v>
            </c:pt>
          </c:strCache>
        </c:strRef>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Feb!$H$52</c:f>
              <c:strCache>
                <c:ptCount val="1"/>
                <c:pt idx="0">
                  <c:v>Total</c:v>
                </c:pt>
              </c:strCache>
            </c:strRef>
          </c:tx>
          <c:spPr>
            <a:solidFill>
              <a:schemeClr val="bg2">
                <a:lumMod val="90000"/>
              </a:schemeClr>
            </a:solidFill>
            <a:ln>
              <a:solidFill>
                <a:schemeClr val="bg2">
                  <a:lumMod val="90000"/>
                </a:schemeClr>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Feb!$F$53:$F$55</c:f>
              <c:strCache>
                <c:ptCount val="3"/>
                <c:pt idx="0">
                  <c:v>Overwhelming Force</c:v>
                </c:pt>
                <c:pt idx="1">
                  <c:v>Intercepted</c:v>
                </c:pt>
                <c:pt idx="2">
                  <c:v>N/A</c:v>
                </c:pt>
              </c:strCache>
            </c:strRef>
          </c:cat>
          <c:val>
            <c:numRef>
              <c:f>Feb!$H$53:$H$55</c:f>
              <c:numCache>
                <c:formatCode>General</c:formatCode>
                <c:ptCount val="3"/>
                <c:pt idx="0">
                  <c:v>0</c:v>
                </c:pt>
                <c:pt idx="1">
                  <c:v>0</c:v>
                </c:pt>
                <c:pt idx="2">
                  <c:v>0</c:v>
                </c:pt>
              </c:numCache>
            </c:numRef>
          </c:val>
          <c:extLst>
            <c:ext xmlns:c16="http://schemas.microsoft.com/office/drawing/2014/chart" uri="{C3380CC4-5D6E-409C-BE32-E72D297353CC}">
              <c16:uniqueId val="{00000000-A30C-46BA-B0E6-37A8F31EEA22}"/>
            </c:ext>
          </c:extLst>
        </c:ser>
        <c:dLbls>
          <c:showLegendKey val="0"/>
          <c:showVal val="0"/>
          <c:showCatName val="0"/>
          <c:showSerName val="0"/>
          <c:showPercent val="0"/>
          <c:showBubbleSize val="0"/>
        </c:dLbls>
        <c:gapWidth val="219"/>
        <c:overlap val="-27"/>
        <c:axId val="1226967759"/>
        <c:axId val="1226960559"/>
      </c:barChart>
      <c:catAx>
        <c:axId val="12269677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US"/>
          </a:p>
        </c:txPr>
        <c:crossAx val="1226960559"/>
        <c:crosses val="autoZero"/>
        <c:auto val="1"/>
        <c:lblAlgn val="ctr"/>
        <c:lblOffset val="100"/>
        <c:noMultiLvlLbl val="0"/>
      </c:catAx>
      <c:valAx>
        <c:axId val="122696055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1226967759"/>
        <c:crosses val="autoZero"/>
        <c:crossBetween val="between"/>
      </c:valAx>
      <c:spPr>
        <a:noFill/>
        <a:ln>
          <a:noFill/>
        </a:ln>
        <a:effectLst/>
      </c:spPr>
    </c:plotArea>
    <c:plotVisOnly val="1"/>
    <c:dispBlanksAs val="gap"/>
    <c:showDLblsOverMax val="0"/>
  </c:chart>
  <c:spPr>
    <a:noFill/>
    <a:ln w="6350"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Jan!$B$123</c:f>
          <c:strCache>
            <c:ptCount val="1"/>
            <c:pt idx="0">
              <c:v>Falls by Day of the Week </c:v>
            </c:pt>
          </c:strCache>
        </c:strRef>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
          <c:order val="0"/>
          <c:tx>
            <c:strRef>
              <c:f>Jan!$D$124</c:f>
              <c:strCache>
                <c:ptCount val="1"/>
                <c:pt idx="0">
                  <c:v>Total</c:v>
                </c:pt>
              </c:strCache>
            </c:strRef>
          </c:tx>
          <c:spPr>
            <a:solidFill>
              <a:schemeClr val="bg1">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Jan!$B$125:$B$131</c:f>
              <c:strCache>
                <c:ptCount val="7"/>
                <c:pt idx="0">
                  <c:v>Sun</c:v>
                </c:pt>
                <c:pt idx="1">
                  <c:v>Mon</c:v>
                </c:pt>
                <c:pt idx="2">
                  <c:v>Tue</c:v>
                </c:pt>
                <c:pt idx="3">
                  <c:v>Wed</c:v>
                </c:pt>
                <c:pt idx="4">
                  <c:v>Thu</c:v>
                </c:pt>
                <c:pt idx="5">
                  <c:v>Fri</c:v>
                </c:pt>
                <c:pt idx="6">
                  <c:v>Sat</c:v>
                </c:pt>
              </c:strCache>
            </c:strRef>
          </c:cat>
          <c:val>
            <c:numRef>
              <c:f>Jan!$D$125:$D$131</c:f>
              <c:numCache>
                <c:formatCode>General</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2-9D51-435F-901A-644FF9710FB1}"/>
            </c:ext>
          </c:extLst>
        </c:ser>
        <c:dLbls>
          <c:showLegendKey val="0"/>
          <c:showVal val="0"/>
          <c:showCatName val="0"/>
          <c:showSerName val="0"/>
          <c:showPercent val="0"/>
          <c:showBubbleSize val="0"/>
        </c:dLbls>
        <c:gapWidth val="219"/>
        <c:overlap val="-27"/>
        <c:axId val="1569634943"/>
        <c:axId val="1590853103"/>
      </c:barChart>
      <c:catAx>
        <c:axId val="156963494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US"/>
          </a:p>
        </c:txPr>
        <c:crossAx val="1590853103"/>
        <c:crosses val="autoZero"/>
        <c:auto val="1"/>
        <c:lblAlgn val="ctr"/>
        <c:lblOffset val="100"/>
        <c:noMultiLvlLbl val="0"/>
      </c:catAx>
      <c:valAx>
        <c:axId val="1590853103"/>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69634943"/>
        <c:crosses val="autoZero"/>
        <c:crossBetween val="between"/>
      </c:valAx>
      <c:spPr>
        <a:noFill/>
        <a:ln>
          <a:noFill/>
        </a:ln>
        <a:effectLst/>
      </c:spPr>
    </c:plotArea>
    <c:plotVisOnly val="1"/>
    <c:dispBlanksAs val="gap"/>
    <c:showDLblsOverMax val="0"/>
  </c:chart>
  <c:spPr>
    <a:solidFill>
      <a:schemeClr val="bg1"/>
    </a:solidFill>
    <a:ln w="3175"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Jan!$B$134</c:f>
          <c:strCache>
            <c:ptCount val="1"/>
            <c:pt idx="0">
              <c:v>Falls by Shift</c:v>
            </c:pt>
          </c:strCache>
        </c:strRef>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tx>
            <c:strRef>
              <c:f>Feb!$D$135</c:f>
              <c:strCache>
                <c:ptCount val="1"/>
                <c:pt idx="0">
                  <c:v>Total</c:v>
                </c:pt>
              </c:strCache>
            </c:strRef>
          </c:tx>
          <c:spPr>
            <a:solidFill>
              <a:schemeClr val="bg1">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Feb!$B$136:$B$140</c:f>
              <c:strCache>
                <c:ptCount val="4"/>
                <c:pt idx="0">
                  <c:v>11-7</c:v>
                </c:pt>
                <c:pt idx="1">
                  <c:v>11–7</c:v>
                </c:pt>
                <c:pt idx="2">
                  <c:v>7–3</c:v>
                </c:pt>
                <c:pt idx="3">
                  <c:v>3–11</c:v>
                </c:pt>
              </c:strCache>
            </c:strRef>
          </c:cat>
          <c:val>
            <c:numRef>
              <c:f>Feb!$D$136:$D$140</c:f>
              <c:numCache>
                <c:formatCode>General</c:formatCode>
                <c:ptCount val="5"/>
                <c:pt idx="0">
                  <c:v>0</c:v>
                </c:pt>
                <c:pt idx="1">
                  <c:v>0</c:v>
                </c:pt>
                <c:pt idx="2">
                  <c:v>0</c:v>
                </c:pt>
                <c:pt idx="3">
                  <c:v>0</c:v>
                </c:pt>
                <c:pt idx="4">
                  <c:v>#N/A</c:v>
                </c:pt>
              </c:numCache>
            </c:numRef>
          </c:val>
          <c:extLst>
            <c:ext xmlns:c16="http://schemas.microsoft.com/office/drawing/2014/chart" uri="{C3380CC4-5D6E-409C-BE32-E72D297353CC}">
              <c16:uniqueId val="{00000001-3D42-4D1B-AB77-72F0EEC7CB17}"/>
            </c:ext>
          </c:extLst>
        </c:ser>
        <c:dLbls>
          <c:showLegendKey val="0"/>
          <c:showVal val="0"/>
          <c:showCatName val="0"/>
          <c:showSerName val="0"/>
          <c:showPercent val="0"/>
          <c:showBubbleSize val="0"/>
        </c:dLbls>
        <c:gapWidth val="219"/>
        <c:axId val="789078271"/>
        <c:axId val="789056671"/>
      </c:barChart>
      <c:catAx>
        <c:axId val="789078271"/>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US"/>
          </a:p>
        </c:txPr>
        <c:crossAx val="789056671"/>
        <c:crosses val="autoZero"/>
        <c:auto val="1"/>
        <c:lblAlgn val="ctr"/>
        <c:lblOffset val="100"/>
        <c:noMultiLvlLbl val="0"/>
      </c:catAx>
      <c:valAx>
        <c:axId val="789056671"/>
        <c:scaling>
          <c:orientation val="minMax"/>
        </c:scaling>
        <c:delete val="1"/>
        <c:axPos val="t"/>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789078271"/>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5"/>
    </mc:Choice>
    <mc:Fallback>
      <c:style val="5"/>
    </mc:Fallback>
  </mc:AlternateContent>
  <c:chart>
    <c:title>
      <c:tx>
        <c:strRef>
          <c:f>Mar!$B$93</c:f>
          <c:strCache>
            <c:ptCount val="1"/>
            <c:pt idx="0">
              <c:v>Falls by Location</c:v>
            </c:pt>
          </c:strCache>
        </c:strRef>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
          <c:order val="0"/>
          <c:tx>
            <c:strRef>
              <c:f>Mar!$D$94</c:f>
              <c:strCache>
                <c:ptCount val="1"/>
                <c:pt idx="0">
                  <c:v>Total</c:v>
                </c:pt>
              </c:strCache>
            </c:strRef>
          </c:tx>
          <c:spPr>
            <a:solidFill>
              <a:schemeClr val="accent3">
                <a:tint val="77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Mar!$B$95:$B$105</c:f>
              <c:strCache>
                <c:ptCount val="7"/>
                <c:pt idx="0">
                  <c:v>Activity Room</c:v>
                </c:pt>
                <c:pt idx="1">
                  <c:v>Bedroom</c:v>
                </c:pt>
                <c:pt idx="2">
                  <c:v>Bathroom</c:v>
                </c:pt>
                <c:pt idx="3">
                  <c:v>Hallway</c:v>
                </c:pt>
                <c:pt idx="4">
                  <c:v>Offsite</c:v>
                </c:pt>
                <c:pt idx="5">
                  <c:v>Shower Room</c:v>
                </c:pt>
                <c:pt idx="6">
                  <c:v>Dining Room</c:v>
                </c:pt>
              </c:strCache>
            </c:strRef>
          </c:cat>
          <c:val>
            <c:numRef>
              <c:f>Mar!$D$95:$D$105</c:f>
              <c:numCache>
                <c:formatCode>General</c:formatCode>
                <c:ptCount val="11"/>
                <c:pt idx="0">
                  <c:v>0</c:v>
                </c:pt>
                <c:pt idx="1">
                  <c:v>0</c:v>
                </c:pt>
                <c:pt idx="2">
                  <c:v>0</c:v>
                </c:pt>
                <c:pt idx="3">
                  <c:v>0</c:v>
                </c:pt>
                <c:pt idx="4">
                  <c:v>0</c:v>
                </c:pt>
                <c:pt idx="5">
                  <c:v>0</c:v>
                </c:pt>
                <c:pt idx="6">
                  <c:v>0</c:v>
                </c:pt>
                <c:pt idx="7">
                  <c:v>#N/A</c:v>
                </c:pt>
                <c:pt idx="8">
                  <c:v>#N/A</c:v>
                </c:pt>
                <c:pt idx="9">
                  <c:v>#N/A</c:v>
                </c:pt>
                <c:pt idx="10">
                  <c:v>#N/A</c:v>
                </c:pt>
              </c:numCache>
            </c:numRef>
          </c:val>
          <c:extLst>
            <c:ext xmlns:c16="http://schemas.microsoft.com/office/drawing/2014/chart" uri="{C3380CC4-5D6E-409C-BE32-E72D297353CC}">
              <c16:uniqueId val="{00000000-5C75-4A3A-A121-6AE196588672}"/>
            </c:ext>
          </c:extLst>
        </c:ser>
        <c:dLbls>
          <c:showLegendKey val="0"/>
          <c:showVal val="0"/>
          <c:showCatName val="0"/>
          <c:showSerName val="0"/>
          <c:showPercent val="0"/>
          <c:showBubbleSize val="0"/>
        </c:dLbls>
        <c:gapWidth val="219"/>
        <c:overlap val="-27"/>
        <c:axId val="1569634943"/>
        <c:axId val="1590853103"/>
      </c:barChart>
      <c:catAx>
        <c:axId val="156963494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US"/>
          </a:p>
        </c:txPr>
        <c:crossAx val="1590853103"/>
        <c:crosses val="autoZero"/>
        <c:auto val="1"/>
        <c:lblAlgn val="ctr"/>
        <c:lblOffset val="100"/>
        <c:noMultiLvlLbl val="0"/>
      </c:catAx>
      <c:valAx>
        <c:axId val="1590853103"/>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69634943"/>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3175"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Mar!$B$123</c:f>
          <c:strCache>
            <c:ptCount val="1"/>
            <c:pt idx="0">
              <c:v>Falls by Day of the Week </c:v>
            </c:pt>
          </c:strCache>
        </c:strRef>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
          <c:order val="0"/>
          <c:tx>
            <c:strRef>
              <c:f>Mar!$D$124</c:f>
              <c:strCache>
                <c:ptCount val="1"/>
                <c:pt idx="0">
                  <c:v>Total</c:v>
                </c:pt>
              </c:strCache>
            </c:strRef>
          </c:tx>
          <c:spPr>
            <a:solidFill>
              <a:schemeClr val="bg1">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Mar!$B$125:$B$131</c:f>
              <c:strCache>
                <c:ptCount val="7"/>
                <c:pt idx="0">
                  <c:v>Sun</c:v>
                </c:pt>
                <c:pt idx="1">
                  <c:v>Mon</c:v>
                </c:pt>
                <c:pt idx="2">
                  <c:v>Tue</c:v>
                </c:pt>
                <c:pt idx="3">
                  <c:v>Wed</c:v>
                </c:pt>
                <c:pt idx="4">
                  <c:v>Thu</c:v>
                </c:pt>
                <c:pt idx="5">
                  <c:v>Fri</c:v>
                </c:pt>
                <c:pt idx="6">
                  <c:v>Sat</c:v>
                </c:pt>
              </c:strCache>
            </c:strRef>
          </c:cat>
          <c:val>
            <c:numRef>
              <c:f>Mar!$D$125:$D$131</c:f>
              <c:numCache>
                <c:formatCode>General</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BC27-46EE-BB9B-EC130B529A44}"/>
            </c:ext>
          </c:extLst>
        </c:ser>
        <c:dLbls>
          <c:showLegendKey val="0"/>
          <c:showVal val="0"/>
          <c:showCatName val="0"/>
          <c:showSerName val="0"/>
          <c:showPercent val="0"/>
          <c:showBubbleSize val="0"/>
        </c:dLbls>
        <c:gapWidth val="219"/>
        <c:overlap val="-27"/>
        <c:axId val="1569634943"/>
        <c:axId val="1590853103"/>
      </c:barChart>
      <c:catAx>
        <c:axId val="156963494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US"/>
          </a:p>
        </c:txPr>
        <c:crossAx val="1590853103"/>
        <c:crosses val="autoZero"/>
        <c:auto val="1"/>
        <c:lblAlgn val="ctr"/>
        <c:lblOffset val="100"/>
        <c:noMultiLvlLbl val="0"/>
      </c:catAx>
      <c:valAx>
        <c:axId val="1590853103"/>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69634943"/>
        <c:crosses val="autoZero"/>
        <c:crossBetween val="between"/>
      </c:valAx>
      <c:spPr>
        <a:noFill/>
        <a:ln>
          <a:noFill/>
        </a:ln>
        <a:effectLst/>
      </c:spPr>
    </c:plotArea>
    <c:plotVisOnly val="1"/>
    <c:dispBlanksAs val="gap"/>
    <c:showDLblsOverMax val="0"/>
  </c:chart>
  <c:spPr>
    <a:solidFill>
      <a:schemeClr val="bg1"/>
    </a:solidFill>
    <a:ln w="3175"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Mar!$B$108</c:f>
          <c:strCache>
            <c:ptCount val="1"/>
            <c:pt idx="0">
              <c:v>Falls by Nursing Station </c:v>
            </c:pt>
          </c:strCache>
        </c:strRef>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
          <c:order val="0"/>
          <c:tx>
            <c:strRef>
              <c:f>Mar!$D$109</c:f>
              <c:strCache>
                <c:ptCount val="1"/>
                <c:pt idx="0">
                  <c:v>Total</c:v>
                </c:pt>
              </c:strCache>
            </c:strRef>
          </c:tx>
          <c:spPr>
            <a:solidFill>
              <a:schemeClr val="bg1">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Mar!$B$110:$B$120</c:f>
              <c:strCache>
                <c:ptCount val="5"/>
                <c:pt idx="0">
                  <c:v>1</c:v>
                </c:pt>
                <c:pt idx="1">
                  <c:v>2</c:v>
                </c:pt>
                <c:pt idx="2">
                  <c:v>3</c:v>
                </c:pt>
                <c:pt idx="3">
                  <c:v>4</c:v>
                </c:pt>
                <c:pt idx="4">
                  <c:v>5</c:v>
                </c:pt>
              </c:strCache>
            </c:strRef>
          </c:cat>
          <c:val>
            <c:numRef>
              <c:f>Mar!$D$110:$D$120</c:f>
              <c:numCache>
                <c:formatCode>General</c:formatCode>
                <c:ptCount val="11"/>
                <c:pt idx="0">
                  <c:v>0</c:v>
                </c:pt>
                <c:pt idx="1">
                  <c:v>0</c:v>
                </c:pt>
                <c:pt idx="2">
                  <c:v>0</c:v>
                </c:pt>
                <c:pt idx="3">
                  <c:v>0</c:v>
                </c:pt>
                <c:pt idx="4">
                  <c:v>0</c:v>
                </c:pt>
                <c:pt idx="5">
                  <c:v>#N/A</c:v>
                </c:pt>
                <c:pt idx="6">
                  <c:v>#N/A</c:v>
                </c:pt>
                <c:pt idx="7">
                  <c:v>#N/A</c:v>
                </c:pt>
                <c:pt idx="8">
                  <c:v>#N/A</c:v>
                </c:pt>
                <c:pt idx="9">
                  <c:v>#N/A</c:v>
                </c:pt>
                <c:pt idx="10">
                  <c:v>#N/A</c:v>
                </c:pt>
              </c:numCache>
            </c:numRef>
          </c:val>
          <c:extLst>
            <c:ext xmlns:c16="http://schemas.microsoft.com/office/drawing/2014/chart" uri="{C3380CC4-5D6E-409C-BE32-E72D297353CC}">
              <c16:uniqueId val="{00000000-838D-4BC9-B7F8-C132CDA758CF}"/>
            </c:ext>
          </c:extLst>
        </c:ser>
        <c:dLbls>
          <c:showLegendKey val="0"/>
          <c:showVal val="0"/>
          <c:showCatName val="0"/>
          <c:showSerName val="0"/>
          <c:showPercent val="0"/>
          <c:showBubbleSize val="0"/>
        </c:dLbls>
        <c:gapWidth val="219"/>
        <c:overlap val="-27"/>
        <c:axId val="1226967759"/>
        <c:axId val="1226960559"/>
      </c:barChart>
      <c:catAx>
        <c:axId val="12269677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US"/>
          </a:p>
        </c:txPr>
        <c:crossAx val="1226960559"/>
        <c:crosses val="autoZero"/>
        <c:auto val="1"/>
        <c:lblAlgn val="ctr"/>
        <c:lblOffset val="100"/>
        <c:noMultiLvlLbl val="0"/>
      </c:catAx>
      <c:valAx>
        <c:axId val="122696055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1226967759"/>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6350"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Mar!$F$58</c:f>
          <c:strCache>
            <c:ptCount val="1"/>
            <c:pt idx="0">
              <c:v>Falls by BIMS Score</c:v>
            </c:pt>
          </c:strCache>
        </c:strRef>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Mar!$H$59</c:f>
              <c:strCache>
                <c:ptCount val="1"/>
                <c:pt idx="0">
                  <c:v>Total</c:v>
                </c:pt>
              </c:strCache>
            </c:strRef>
          </c:tx>
          <c:spPr>
            <a:solidFill>
              <a:schemeClr val="bg2">
                <a:lumMod val="90000"/>
              </a:schemeClr>
            </a:solidFill>
            <a:ln>
              <a:solidFill>
                <a:schemeClr val="bg2">
                  <a:lumMod val="90000"/>
                </a:schemeClr>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Mar!$F$60:$F$62</c:f>
              <c:strCache>
                <c:ptCount val="3"/>
                <c:pt idx="0">
                  <c:v>Severe (1–7)</c:v>
                </c:pt>
                <c:pt idx="1">
                  <c:v>Moderate (8–12)</c:v>
                </c:pt>
                <c:pt idx="2">
                  <c:v>Intact (13–15)</c:v>
                </c:pt>
              </c:strCache>
            </c:strRef>
          </c:cat>
          <c:val>
            <c:numRef>
              <c:f>Mar!$H$60:$H$62</c:f>
              <c:numCache>
                <c:formatCode>General</c:formatCode>
                <c:ptCount val="3"/>
                <c:pt idx="0">
                  <c:v>0</c:v>
                </c:pt>
                <c:pt idx="1">
                  <c:v>0</c:v>
                </c:pt>
                <c:pt idx="2">
                  <c:v>0</c:v>
                </c:pt>
              </c:numCache>
            </c:numRef>
          </c:val>
          <c:extLst>
            <c:ext xmlns:c16="http://schemas.microsoft.com/office/drawing/2014/chart" uri="{C3380CC4-5D6E-409C-BE32-E72D297353CC}">
              <c16:uniqueId val="{00000000-2ABA-41BB-9FC5-4B3BFD1A3DF5}"/>
            </c:ext>
          </c:extLst>
        </c:ser>
        <c:dLbls>
          <c:showLegendKey val="0"/>
          <c:showVal val="0"/>
          <c:showCatName val="0"/>
          <c:showSerName val="0"/>
          <c:showPercent val="0"/>
          <c:showBubbleSize val="0"/>
        </c:dLbls>
        <c:gapWidth val="219"/>
        <c:overlap val="-27"/>
        <c:axId val="1226967759"/>
        <c:axId val="1226960559"/>
      </c:barChart>
      <c:catAx>
        <c:axId val="12269677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US"/>
          </a:p>
        </c:txPr>
        <c:crossAx val="1226960559"/>
        <c:crosses val="autoZero"/>
        <c:auto val="1"/>
        <c:lblAlgn val="ctr"/>
        <c:lblOffset val="100"/>
        <c:noMultiLvlLbl val="0"/>
      </c:catAx>
      <c:valAx>
        <c:axId val="122696055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1226967759"/>
        <c:crosses val="autoZero"/>
        <c:crossBetween val="between"/>
      </c:valAx>
      <c:spPr>
        <a:noFill/>
        <a:ln>
          <a:noFill/>
        </a:ln>
        <a:effectLst/>
      </c:spPr>
    </c:plotArea>
    <c:plotVisOnly val="1"/>
    <c:dispBlanksAs val="gap"/>
    <c:showDLblsOverMax val="0"/>
  </c:chart>
  <c:spPr>
    <a:noFill/>
    <a:ln w="6350"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Mar!$B$143</c:f>
          <c:strCache>
            <c:ptCount val="1"/>
            <c:pt idx="0">
              <c:v>Falls by Hour </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1"/>
          <c:order val="0"/>
          <c:tx>
            <c:strRef>
              <c:f>Mar!$D$144</c:f>
              <c:strCache>
                <c:ptCount val="1"/>
                <c:pt idx="0">
                  <c:v>Total</c:v>
                </c:pt>
              </c:strCache>
            </c:strRef>
          </c:tx>
          <c:spPr>
            <a:solidFill>
              <a:schemeClr val="bg1">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Mar!$B$145:$B$168</c:f>
              <c:strCache>
                <c:ptCount val="24"/>
                <c:pt idx="0">
                  <c:v>23:00–24:00</c:v>
                </c:pt>
                <c:pt idx="1">
                  <c:v>24:00–01:00</c:v>
                </c:pt>
                <c:pt idx="2">
                  <c:v>01:00–02:00</c:v>
                </c:pt>
                <c:pt idx="3">
                  <c:v>02:00–03:00</c:v>
                </c:pt>
                <c:pt idx="4">
                  <c:v>03:00–04:00</c:v>
                </c:pt>
                <c:pt idx="5">
                  <c:v>04:00–05:00</c:v>
                </c:pt>
                <c:pt idx="6">
                  <c:v>05:00–06:00</c:v>
                </c:pt>
                <c:pt idx="7">
                  <c:v>06:00–07:00</c:v>
                </c:pt>
                <c:pt idx="8">
                  <c:v>07:00–08:00</c:v>
                </c:pt>
                <c:pt idx="9">
                  <c:v>08:00–09:00</c:v>
                </c:pt>
                <c:pt idx="10">
                  <c:v>09:00–10:00</c:v>
                </c:pt>
                <c:pt idx="11">
                  <c:v>10:00–11:00</c:v>
                </c:pt>
                <c:pt idx="12">
                  <c:v>11:00–12:00</c:v>
                </c:pt>
                <c:pt idx="13">
                  <c:v>12:00–13:00</c:v>
                </c:pt>
                <c:pt idx="14">
                  <c:v>13:00–14:00</c:v>
                </c:pt>
                <c:pt idx="15">
                  <c:v>14:00–15:00</c:v>
                </c:pt>
                <c:pt idx="16">
                  <c:v>15:00–16:00</c:v>
                </c:pt>
                <c:pt idx="17">
                  <c:v>16:00–17:00</c:v>
                </c:pt>
                <c:pt idx="18">
                  <c:v>17:00–18:00</c:v>
                </c:pt>
                <c:pt idx="19">
                  <c:v>18:00–19:00</c:v>
                </c:pt>
                <c:pt idx="20">
                  <c:v>19:00–20:00</c:v>
                </c:pt>
                <c:pt idx="21">
                  <c:v>20:00–21:00</c:v>
                </c:pt>
                <c:pt idx="22">
                  <c:v>21:00–22:00</c:v>
                </c:pt>
                <c:pt idx="23">
                  <c:v>22:00–23:00</c:v>
                </c:pt>
              </c:strCache>
            </c:strRef>
          </c:cat>
          <c:val>
            <c:numRef>
              <c:f>Mar!$D$145:$D$168</c:f>
              <c:numCache>
                <c:formatCode>General</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6="http://schemas.microsoft.com/office/drawing/2014/chart" uri="{C3380CC4-5D6E-409C-BE32-E72D297353CC}">
              <c16:uniqueId val="{00000000-9036-493D-BFEF-6858AFAE3C32}"/>
            </c:ext>
          </c:extLst>
        </c:ser>
        <c:dLbls>
          <c:showLegendKey val="0"/>
          <c:showVal val="0"/>
          <c:showCatName val="0"/>
          <c:showSerName val="0"/>
          <c:showPercent val="0"/>
          <c:showBubbleSize val="0"/>
        </c:dLbls>
        <c:gapWidth val="182"/>
        <c:axId val="1658854639"/>
        <c:axId val="1658861839"/>
      </c:barChart>
      <c:catAx>
        <c:axId val="16588546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1658861839"/>
        <c:crosses val="autoZero"/>
        <c:auto val="1"/>
        <c:lblAlgn val="ctr"/>
        <c:lblOffset val="100"/>
        <c:noMultiLvlLbl val="0"/>
      </c:catAx>
      <c:valAx>
        <c:axId val="1658861839"/>
        <c:scaling>
          <c:orientation val="minMax"/>
        </c:scaling>
        <c:delete val="1"/>
        <c:axPos val="t"/>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658854639"/>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orientation="landscape"/>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Mar!$B$65</c:f>
          <c:strCache>
            <c:ptCount val="1"/>
            <c:pt idx="0">
              <c:v>Falls by Activity</c:v>
            </c:pt>
          </c:strCache>
        </c:strRef>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tx>
            <c:strRef>
              <c:f>Mar!$G$66</c:f>
              <c:strCache>
                <c:ptCount val="1"/>
                <c:pt idx="0">
                  <c:v>Total</c:v>
                </c:pt>
              </c:strCache>
            </c:strRef>
          </c:tx>
          <c:spPr>
            <a:solidFill>
              <a:schemeClr val="bg1">
                <a:lumMod val="75000"/>
              </a:schemeClr>
            </a:solidFill>
            <a:ln>
              <a:solidFill>
                <a:schemeClr val="bg1">
                  <a:lumMod val="85000"/>
                </a:schemeClr>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Mar!$B$67:$B$90</c:f>
              <c:strCache>
                <c:ptCount val="11"/>
                <c:pt idx="0">
                  <c:v>Ambulating with assistive device (walker, cane, wheelchair)</c:v>
                </c:pt>
                <c:pt idx="1">
                  <c:v>Ambulating with staff assistance</c:v>
                </c:pt>
                <c:pt idx="2">
                  <c:v>Ambulating without assistance or assistive device</c:v>
                </c:pt>
                <c:pt idx="3">
                  <c:v>Changing position (e.g., in bed, chair)</c:v>
                </c:pt>
                <c:pt idx="4">
                  <c:v>Dressing or undressing</c:v>
                </c:pt>
                <c:pt idx="5">
                  <c:v>Other activity</c:v>
                </c:pt>
                <c:pt idx="6">
                  <c:v>Reaching for an item</c:v>
                </c:pt>
                <c:pt idx="7">
                  <c:v>Showering or bathing</c:v>
                </c:pt>
                <c:pt idx="8">
                  <c:v>Toileting</c:v>
                </c:pt>
                <c:pt idx="9">
                  <c:v>Transferring to or from bed, chair, wheelchair, etc.</c:v>
                </c:pt>
                <c:pt idx="10">
                  <c:v>Unknown</c:v>
                </c:pt>
              </c:strCache>
            </c:strRef>
          </c:cat>
          <c:val>
            <c:numRef>
              <c:f>Mar!$G$67:$G$90</c:f>
              <c:numCache>
                <c:formatCode>General</c:formatCode>
                <c:ptCount val="24"/>
                <c:pt idx="0">
                  <c:v>0</c:v>
                </c:pt>
                <c:pt idx="1">
                  <c:v>0</c:v>
                </c:pt>
                <c:pt idx="2">
                  <c:v>0</c:v>
                </c:pt>
                <c:pt idx="3">
                  <c:v>0</c:v>
                </c:pt>
                <c:pt idx="4">
                  <c:v>0</c:v>
                </c:pt>
                <c:pt idx="5">
                  <c:v>0</c:v>
                </c:pt>
                <c:pt idx="6">
                  <c:v>0</c:v>
                </c:pt>
                <c:pt idx="7">
                  <c:v>0</c:v>
                </c:pt>
                <c:pt idx="8">
                  <c:v>0</c:v>
                </c:pt>
                <c:pt idx="9">
                  <c:v>0</c:v>
                </c:pt>
                <c:pt idx="10">
                  <c:v>0</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val>
          <c:extLst>
            <c:ext xmlns:c16="http://schemas.microsoft.com/office/drawing/2014/chart" uri="{C3380CC4-5D6E-409C-BE32-E72D297353CC}">
              <c16:uniqueId val="{00000000-B691-409F-A1EB-DBA6B8015856}"/>
            </c:ext>
          </c:extLst>
        </c:ser>
        <c:dLbls>
          <c:showLegendKey val="0"/>
          <c:showVal val="0"/>
          <c:showCatName val="0"/>
          <c:showSerName val="0"/>
          <c:showPercent val="0"/>
          <c:showBubbleSize val="0"/>
        </c:dLbls>
        <c:gapWidth val="182"/>
        <c:axId val="1658854639"/>
        <c:axId val="1658861839"/>
      </c:barChart>
      <c:catAx>
        <c:axId val="16588546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1658861839"/>
        <c:crosses val="autoZero"/>
        <c:auto val="1"/>
        <c:lblAlgn val="ctr"/>
        <c:lblOffset val="100"/>
        <c:noMultiLvlLbl val="0"/>
      </c:catAx>
      <c:valAx>
        <c:axId val="1658861839"/>
        <c:scaling>
          <c:orientation val="minMax"/>
        </c:scaling>
        <c:delete val="1"/>
        <c:axPos val="t"/>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658854639"/>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orientation="landscape"/>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5"/>
    </mc:Choice>
    <mc:Fallback>
      <c:style val="5"/>
    </mc:Fallback>
  </mc:AlternateContent>
  <c:chart>
    <c:title>
      <c:tx>
        <c:strRef>
          <c:f>Mar!$B$51</c:f>
          <c:strCache>
            <c:ptCount val="1"/>
            <c:pt idx="0">
              <c:v>Witnessed Falls</c:v>
            </c:pt>
          </c:strCache>
        </c:strRef>
      </c:tx>
      <c:layout>
        <c:manualLayout>
          <c:xMode val="edge"/>
          <c:yMode val="edge"/>
          <c:x val="0.28456383934819923"/>
          <c:y val="4.8263836268180225E-2"/>
        </c:manualLayout>
      </c:layout>
      <c:overlay val="0"/>
      <c:spPr>
        <a:noFill/>
        <a:ln>
          <a:noFill/>
        </a:ln>
        <a:effectLst/>
      </c:spPr>
      <c:txPr>
        <a:bodyPr rot="0" spcFirstLastPara="1" vertOverflow="ellipsis" vert="horz" wrap="square" anchor="ctr" anchorCtr="1"/>
        <a:lstStyle/>
        <a:p>
          <a:pPr>
            <a:defRPr sz="1100" b="1" i="0" u="none" strike="noStrike" kern="1200" spc="0" baseline="0">
              <a:solidFill>
                <a:sysClr val="windowText" lastClr="000000"/>
              </a:solidFill>
              <a:latin typeface="+mn-lt"/>
              <a:ea typeface="+mn-ea"/>
              <a:cs typeface="+mn-cs"/>
            </a:defRPr>
          </a:pPr>
          <a:endParaRPr lang="en-US"/>
        </a:p>
      </c:txPr>
    </c:title>
    <c:autoTitleDeleted val="0"/>
    <c:plotArea>
      <c:layout/>
      <c:pieChart>
        <c:varyColors val="1"/>
        <c:ser>
          <c:idx val="2"/>
          <c:order val="0"/>
          <c:tx>
            <c:strRef>
              <c:f>Mar!$D$52</c:f>
              <c:strCache>
                <c:ptCount val="1"/>
                <c:pt idx="0">
                  <c:v>Total</c:v>
                </c:pt>
              </c:strCache>
            </c:strRef>
          </c:tx>
          <c:spPr>
            <a:solidFill>
              <a:srgbClr val="F7F7F7"/>
            </a:solidFill>
            <a:ln w="19050">
              <a:solidFill>
                <a:schemeClr val="bg2">
                  <a:lumMod val="90000"/>
                </a:schemeClr>
              </a:solidFill>
            </a:ln>
          </c:spPr>
          <c:dPt>
            <c:idx val="0"/>
            <c:bubble3D val="0"/>
            <c:spPr>
              <a:solidFill>
                <a:srgbClr val="F7F7F7"/>
              </a:solidFill>
              <a:ln w="19050">
                <a:solidFill>
                  <a:schemeClr val="bg2">
                    <a:lumMod val="90000"/>
                  </a:schemeClr>
                </a:solidFill>
              </a:ln>
              <a:effectLst/>
            </c:spPr>
            <c:extLst>
              <c:ext xmlns:c16="http://schemas.microsoft.com/office/drawing/2014/chart" uri="{C3380CC4-5D6E-409C-BE32-E72D297353CC}">
                <c16:uniqueId val="{00000001-0E73-47B5-867D-627828C34F23}"/>
              </c:ext>
            </c:extLst>
          </c:dPt>
          <c:dPt>
            <c:idx val="1"/>
            <c:bubble3D val="0"/>
            <c:spPr>
              <a:solidFill>
                <a:schemeClr val="bg2"/>
              </a:solidFill>
              <a:ln w="19050">
                <a:solidFill>
                  <a:schemeClr val="bg2">
                    <a:lumMod val="90000"/>
                  </a:schemeClr>
                </a:solidFill>
              </a:ln>
              <a:effectLst/>
            </c:spPr>
            <c:extLst>
              <c:ext xmlns:c16="http://schemas.microsoft.com/office/drawing/2014/chart" uri="{C3380CC4-5D6E-409C-BE32-E72D297353CC}">
                <c16:uniqueId val="{00000003-0E73-47B5-867D-627828C34F23}"/>
              </c:ext>
            </c:extLst>
          </c:dPt>
          <c:dLbls>
            <c:dLbl>
              <c:idx val="0"/>
              <c:layout>
                <c:manualLayout>
                  <c:x val="6.2922200858950839E-2"/>
                  <c:y val="-5.7940247469122956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E73-47B5-867D-627828C34F23}"/>
                </c:ext>
              </c:extLst>
            </c:dLbl>
            <c:dLbl>
              <c:idx val="1"/>
              <c:layout>
                <c:manualLayout>
                  <c:x val="-4.8011385115936479E-2"/>
                  <c:y val="2.6697554736401265E-2"/>
                </c:manualLayout>
              </c:layout>
              <c:spPr>
                <a:noFill/>
                <a:ln>
                  <a:noFill/>
                </a:ln>
                <a:effectLst/>
              </c:spPr>
              <c:txPr>
                <a:bodyPr rot="0" spcFirstLastPara="1" vertOverflow="ellipsis" vert="horz" wrap="square" lIns="38100" tIns="19050" rIns="38100" bIns="19050" anchor="ctr" anchorCtr="1">
                  <a:noAutofit/>
                </a:bodyPr>
                <a:lstStyle/>
                <a:p>
                  <a:pPr>
                    <a:defRPr sz="9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0"/>
              <c:showBubbleSize val="0"/>
              <c:extLst>
                <c:ext xmlns:c15="http://schemas.microsoft.com/office/drawing/2012/chart" uri="{CE6537A1-D6FC-4f65-9D91-7224C49458BB}">
                  <c15:layout>
                    <c:manualLayout>
                      <c:w val="0.24931745400710711"/>
                      <c:h val="0.11967240535812428"/>
                    </c:manualLayout>
                  </c15:layout>
                </c:ext>
                <c:ext xmlns:c16="http://schemas.microsoft.com/office/drawing/2014/chart" uri="{C3380CC4-5D6E-409C-BE32-E72D297353CC}">
                  <c16:uniqueId val="{00000003-0E73-47B5-867D-627828C34F2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Mar!$B$53:$B$54</c:f>
              <c:strCache>
                <c:ptCount val="2"/>
                <c:pt idx="0">
                  <c:v>Yes</c:v>
                </c:pt>
                <c:pt idx="1">
                  <c:v>No</c:v>
                </c:pt>
              </c:strCache>
            </c:strRef>
          </c:cat>
          <c:val>
            <c:numRef>
              <c:f>Mar!$D$53:$D$54</c:f>
              <c:numCache>
                <c:formatCode>General</c:formatCode>
                <c:ptCount val="2"/>
                <c:pt idx="0">
                  <c:v>0</c:v>
                </c:pt>
                <c:pt idx="1">
                  <c:v>0</c:v>
                </c:pt>
              </c:numCache>
            </c:numRef>
          </c:val>
          <c:extLst>
            <c:ext xmlns:c16="http://schemas.microsoft.com/office/drawing/2014/chart" uri="{C3380CC4-5D6E-409C-BE32-E72D297353CC}">
              <c16:uniqueId val="{00000004-0E73-47B5-867D-627828C34F23}"/>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solidFill>
      <a:schemeClr val="bg1"/>
    </a:solidFill>
    <a:ln w="3175"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Mar!$B$171</c:f>
          <c:strCache>
            <c:ptCount val="1"/>
            <c:pt idx="0">
              <c:v>Falls by Contributing Factors</c:v>
            </c:pt>
          </c:strCache>
        </c:strRef>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4"/>
          <c:order val="0"/>
          <c:tx>
            <c:strRef>
              <c:f>Mar!$G$172</c:f>
              <c:strCache>
                <c:ptCount val="1"/>
                <c:pt idx="0">
                  <c:v>Total</c:v>
                </c:pt>
              </c:strCache>
            </c:strRef>
          </c:tx>
          <c:spPr>
            <a:solidFill>
              <a:schemeClr val="bg2">
                <a:lumMod val="9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Mar!$B$173:$B$196</c:f>
              <c:strCache>
                <c:ptCount val="11"/>
                <c:pt idx="0">
                  <c:v>Assisted/caregiver transfer</c:v>
                </c:pt>
                <c:pt idx="1">
                  <c:v>Bowel and bladder (B&amp;B) needs</c:v>
                </c:pt>
                <c:pt idx="2">
                  <c:v>Behavioral or situational</c:v>
                </c:pt>
                <c:pt idx="3">
                  <c:v>Change of condition</c:v>
                </c:pt>
                <c:pt idx="4">
                  <c:v>Environmental factors</c:v>
                </c:pt>
                <c:pt idx="5">
                  <c:v>Equipment malfunction</c:v>
                </c:pt>
                <c:pt idx="6">
                  <c:v>Equipment or assistive device</c:v>
                </c:pt>
                <c:pt idx="7">
                  <c:v>Medication related</c:v>
                </c:pt>
                <c:pt idx="8">
                  <c:v>Process(s) not followed</c:v>
                </c:pt>
                <c:pt idx="9">
                  <c:v>Resident health conditions</c:v>
                </c:pt>
                <c:pt idx="10">
                  <c:v>Staff</c:v>
                </c:pt>
              </c:strCache>
            </c:strRef>
          </c:cat>
          <c:val>
            <c:numRef>
              <c:f>Mar!$G$173:$G$196</c:f>
              <c:numCache>
                <c:formatCode>General</c:formatCode>
                <c:ptCount val="24"/>
                <c:pt idx="0">
                  <c:v>0</c:v>
                </c:pt>
                <c:pt idx="1">
                  <c:v>0</c:v>
                </c:pt>
                <c:pt idx="2">
                  <c:v>0</c:v>
                </c:pt>
                <c:pt idx="3">
                  <c:v>0</c:v>
                </c:pt>
                <c:pt idx="4">
                  <c:v>0</c:v>
                </c:pt>
                <c:pt idx="5">
                  <c:v>0</c:v>
                </c:pt>
                <c:pt idx="6">
                  <c:v>0</c:v>
                </c:pt>
                <c:pt idx="7">
                  <c:v>0</c:v>
                </c:pt>
                <c:pt idx="8">
                  <c:v>0</c:v>
                </c:pt>
                <c:pt idx="9">
                  <c:v>0</c:v>
                </c:pt>
                <c:pt idx="10">
                  <c:v>0</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val>
          <c:extLst>
            <c:ext xmlns:c16="http://schemas.microsoft.com/office/drawing/2014/chart" uri="{C3380CC4-5D6E-409C-BE32-E72D297353CC}">
              <c16:uniqueId val="{00000000-135E-4EEA-992F-7CCEA8406E52}"/>
            </c:ext>
          </c:extLst>
        </c:ser>
        <c:dLbls>
          <c:showLegendKey val="0"/>
          <c:showVal val="0"/>
          <c:showCatName val="0"/>
          <c:showSerName val="0"/>
          <c:showPercent val="0"/>
          <c:showBubbleSize val="0"/>
        </c:dLbls>
        <c:gapWidth val="182"/>
        <c:axId val="1658854639"/>
        <c:axId val="1658861839"/>
      </c:barChart>
      <c:catAx>
        <c:axId val="16588546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bg2">
                    <a:lumMod val="50000"/>
                  </a:schemeClr>
                </a:solidFill>
                <a:latin typeface="+mn-lt"/>
                <a:ea typeface="+mn-ea"/>
                <a:cs typeface="+mn-cs"/>
              </a:defRPr>
            </a:pPr>
            <a:endParaRPr lang="en-US"/>
          </a:p>
        </c:txPr>
        <c:crossAx val="1658861839"/>
        <c:crosses val="autoZero"/>
        <c:auto val="1"/>
        <c:lblAlgn val="ctr"/>
        <c:lblOffset val="100"/>
        <c:noMultiLvlLbl val="0"/>
      </c:catAx>
      <c:valAx>
        <c:axId val="1658861839"/>
        <c:scaling>
          <c:orientation val="minMax"/>
        </c:scaling>
        <c:delete val="1"/>
        <c:axPos val="t"/>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658854639"/>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orientation="landscape"/>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Mar!$F$51</c:f>
          <c:strCache>
            <c:ptCount val="1"/>
            <c:pt idx="0">
              <c:v>Fall Circumstances</c:v>
            </c:pt>
          </c:strCache>
        </c:strRef>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Mar!$H$52</c:f>
              <c:strCache>
                <c:ptCount val="1"/>
                <c:pt idx="0">
                  <c:v>Total</c:v>
                </c:pt>
              </c:strCache>
            </c:strRef>
          </c:tx>
          <c:spPr>
            <a:solidFill>
              <a:schemeClr val="bg2">
                <a:lumMod val="90000"/>
              </a:schemeClr>
            </a:solidFill>
            <a:ln>
              <a:solidFill>
                <a:schemeClr val="bg2">
                  <a:lumMod val="90000"/>
                </a:schemeClr>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Mar!$F$53:$F$55</c:f>
              <c:strCache>
                <c:ptCount val="3"/>
                <c:pt idx="0">
                  <c:v>Overwhelming Force</c:v>
                </c:pt>
                <c:pt idx="1">
                  <c:v>Intercepted</c:v>
                </c:pt>
                <c:pt idx="2">
                  <c:v>N/A</c:v>
                </c:pt>
              </c:strCache>
            </c:strRef>
          </c:cat>
          <c:val>
            <c:numRef>
              <c:f>Mar!$H$53:$H$55</c:f>
              <c:numCache>
                <c:formatCode>General</c:formatCode>
                <c:ptCount val="3"/>
                <c:pt idx="0">
                  <c:v>0</c:v>
                </c:pt>
                <c:pt idx="1">
                  <c:v>0</c:v>
                </c:pt>
                <c:pt idx="2">
                  <c:v>0</c:v>
                </c:pt>
              </c:numCache>
            </c:numRef>
          </c:val>
          <c:extLst>
            <c:ext xmlns:c16="http://schemas.microsoft.com/office/drawing/2014/chart" uri="{C3380CC4-5D6E-409C-BE32-E72D297353CC}">
              <c16:uniqueId val="{00000000-C58D-43F6-ADF3-361A0A04BCDF}"/>
            </c:ext>
          </c:extLst>
        </c:ser>
        <c:dLbls>
          <c:showLegendKey val="0"/>
          <c:showVal val="0"/>
          <c:showCatName val="0"/>
          <c:showSerName val="0"/>
          <c:showPercent val="0"/>
          <c:showBubbleSize val="0"/>
        </c:dLbls>
        <c:gapWidth val="219"/>
        <c:overlap val="-27"/>
        <c:axId val="1226967759"/>
        <c:axId val="1226960559"/>
      </c:barChart>
      <c:catAx>
        <c:axId val="12269677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US"/>
          </a:p>
        </c:txPr>
        <c:crossAx val="1226960559"/>
        <c:crosses val="autoZero"/>
        <c:auto val="1"/>
        <c:lblAlgn val="ctr"/>
        <c:lblOffset val="100"/>
        <c:noMultiLvlLbl val="0"/>
      </c:catAx>
      <c:valAx>
        <c:axId val="122696055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1226967759"/>
        <c:crosses val="autoZero"/>
        <c:crossBetween val="between"/>
      </c:valAx>
      <c:spPr>
        <a:noFill/>
        <a:ln>
          <a:noFill/>
        </a:ln>
        <a:effectLst/>
      </c:spPr>
    </c:plotArea>
    <c:plotVisOnly val="1"/>
    <c:dispBlanksAs val="gap"/>
    <c:showDLblsOverMax val="0"/>
  </c:chart>
  <c:spPr>
    <a:noFill/>
    <a:ln w="6350"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Jan!$B$108</c:f>
          <c:strCache>
            <c:ptCount val="1"/>
            <c:pt idx="0">
              <c:v>Falls by Nursing Station </c:v>
            </c:pt>
          </c:strCache>
        </c:strRef>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
          <c:order val="0"/>
          <c:tx>
            <c:strRef>
              <c:f>Jan!$D$109</c:f>
              <c:strCache>
                <c:ptCount val="1"/>
                <c:pt idx="0">
                  <c:v>Total</c:v>
                </c:pt>
              </c:strCache>
            </c:strRef>
          </c:tx>
          <c:spPr>
            <a:solidFill>
              <a:schemeClr val="bg1">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Jan!$B$110:$B$120</c:f>
              <c:strCache>
                <c:ptCount val="5"/>
                <c:pt idx="0">
                  <c:v>1</c:v>
                </c:pt>
                <c:pt idx="1">
                  <c:v>2</c:v>
                </c:pt>
                <c:pt idx="2">
                  <c:v>3</c:v>
                </c:pt>
                <c:pt idx="3">
                  <c:v>4</c:v>
                </c:pt>
                <c:pt idx="4">
                  <c:v>5</c:v>
                </c:pt>
              </c:strCache>
            </c:strRef>
          </c:cat>
          <c:val>
            <c:numRef>
              <c:f>Jan!$D$110:$D$120</c:f>
              <c:numCache>
                <c:formatCode>General</c:formatCode>
                <c:ptCount val="11"/>
                <c:pt idx="0">
                  <c:v>0</c:v>
                </c:pt>
                <c:pt idx="1">
                  <c:v>0</c:v>
                </c:pt>
                <c:pt idx="2">
                  <c:v>0</c:v>
                </c:pt>
                <c:pt idx="3">
                  <c:v>0</c:v>
                </c:pt>
                <c:pt idx="4">
                  <c:v>0</c:v>
                </c:pt>
                <c:pt idx="5">
                  <c:v>#N/A</c:v>
                </c:pt>
                <c:pt idx="6">
                  <c:v>#N/A</c:v>
                </c:pt>
                <c:pt idx="7">
                  <c:v>#N/A</c:v>
                </c:pt>
                <c:pt idx="8">
                  <c:v>#N/A</c:v>
                </c:pt>
                <c:pt idx="9">
                  <c:v>#N/A</c:v>
                </c:pt>
                <c:pt idx="10">
                  <c:v>#N/A</c:v>
                </c:pt>
              </c:numCache>
            </c:numRef>
          </c:val>
          <c:extLst>
            <c:ext xmlns:c16="http://schemas.microsoft.com/office/drawing/2014/chart" uri="{C3380CC4-5D6E-409C-BE32-E72D297353CC}">
              <c16:uniqueId val="{00000004-ABF3-4785-AA8E-9D709099C7A4}"/>
            </c:ext>
          </c:extLst>
        </c:ser>
        <c:dLbls>
          <c:showLegendKey val="0"/>
          <c:showVal val="0"/>
          <c:showCatName val="0"/>
          <c:showSerName val="0"/>
          <c:showPercent val="0"/>
          <c:showBubbleSize val="0"/>
        </c:dLbls>
        <c:gapWidth val="219"/>
        <c:overlap val="-27"/>
        <c:axId val="1226967759"/>
        <c:axId val="1226960559"/>
      </c:barChart>
      <c:catAx>
        <c:axId val="12269677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US"/>
          </a:p>
        </c:txPr>
        <c:crossAx val="1226960559"/>
        <c:crosses val="autoZero"/>
        <c:auto val="1"/>
        <c:lblAlgn val="ctr"/>
        <c:lblOffset val="100"/>
        <c:noMultiLvlLbl val="0"/>
      </c:catAx>
      <c:valAx>
        <c:axId val="122696055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1226967759"/>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6350"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Jan!$B$134</c:f>
          <c:strCache>
            <c:ptCount val="1"/>
            <c:pt idx="0">
              <c:v>Falls by Shift</c:v>
            </c:pt>
          </c:strCache>
        </c:strRef>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tx>
            <c:strRef>
              <c:f>Mar!$D$135</c:f>
              <c:strCache>
                <c:ptCount val="1"/>
                <c:pt idx="0">
                  <c:v>Total</c:v>
                </c:pt>
              </c:strCache>
            </c:strRef>
          </c:tx>
          <c:spPr>
            <a:solidFill>
              <a:schemeClr val="bg1">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Mar!$B$136:$B$140</c:f>
              <c:strCache>
                <c:ptCount val="4"/>
                <c:pt idx="0">
                  <c:v>11-7</c:v>
                </c:pt>
                <c:pt idx="1">
                  <c:v>11–7</c:v>
                </c:pt>
                <c:pt idx="2">
                  <c:v>7–3</c:v>
                </c:pt>
                <c:pt idx="3">
                  <c:v>3–11</c:v>
                </c:pt>
              </c:strCache>
            </c:strRef>
          </c:cat>
          <c:val>
            <c:numRef>
              <c:f>Mar!$D$136:$D$140</c:f>
              <c:numCache>
                <c:formatCode>General</c:formatCode>
                <c:ptCount val="5"/>
                <c:pt idx="0">
                  <c:v>0</c:v>
                </c:pt>
                <c:pt idx="1">
                  <c:v>0</c:v>
                </c:pt>
                <c:pt idx="2">
                  <c:v>0</c:v>
                </c:pt>
                <c:pt idx="3">
                  <c:v>0</c:v>
                </c:pt>
                <c:pt idx="4">
                  <c:v>#N/A</c:v>
                </c:pt>
              </c:numCache>
            </c:numRef>
          </c:val>
          <c:extLst>
            <c:ext xmlns:c16="http://schemas.microsoft.com/office/drawing/2014/chart" uri="{C3380CC4-5D6E-409C-BE32-E72D297353CC}">
              <c16:uniqueId val="{00000001-AD54-45BC-A8F6-27A5E2D66EF7}"/>
            </c:ext>
          </c:extLst>
        </c:ser>
        <c:dLbls>
          <c:showLegendKey val="0"/>
          <c:showVal val="0"/>
          <c:showCatName val="0"/>
          <c:showSerName val="0"/>
          <c:showPercent val="0"/>
          <c:showBubbleSize val="0"/>
        </c:dLbls>
        <c:gapWidth val="219"/>
        <c:axId val="789078271"/>
        <c:axId val="789056671"/>
      </c:barChart>
      <c:catAx>
        <c:axId val="789078271"/>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US"/>
          </a:p>
        </c:txPr>
        <c:crossAx val="789056671"/>
        <c:crosses val="autoZero"/>
        <c:auto val="1"/>
        <c:lblAlgn val="ctr"/>
        <c:lblOffset val="100"/>
        <c:noMultiLvlLbl val="0"/>
      </c:catAx>
      <c:valAx>
        <c:axId val="789056671"/>
        <c:scaling>
          <c:orientation val="minMax"/>
        </c:scaling>
        <c:delete val="1"/>
        <c:axPos val="t"/>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789078271"/>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5"/>
    </mc:Choice>
    <mc:Fallback>
      <c:style val="5"/>
    </mc:Fallback>
  </mc:AlternateContent>
  <c:chart>
    <c:title>
      <c:tx>
        <c:strRef>
          <c:f>Apr!$B$93</c:f>
          <c:strCache>
            <c:ptCount val="1"/>
            <c:pt idx="0">
              <c:v>Falls by Location</c:v>
            </c:pt>
          </c:strCache>
        </c:strRef>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
          <c:order val="0"/>
          <c:tx>
            <c:strRef>
              <c:f>Apr!$D$94</c:f>
              <c:strCache>
                <c:ptCount val="1"/>
                <c:pt idx="0">
                  <c:v>Total</c:v>
                </c:pt>
              </c:strCache>
            </c:strRef>
          </c:tx>
          <c:spPr>
            <a:solidFill>
              <a:schemeClr val="accent3">
                <a:tint val="77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Apr!$B$95:$B$105</c:f>
              <c:strCache>
                <c:ptCount val="7"/>
                <c:pt idx="0">
                  <c:v>Activity Room</c:v>
                </c:pt>
                <c:pt idx="1">
                  <c:v>Bedroom</c:v>
                </c:pt>
                <c:pt idx="2">
                  <c:v>Bathroom</c:v>
                </c:pt>
                <c:pt idx="3">
                  <c:v>Hallway</c:v>
                </c:pt>
                <c:pt idx="4">
                  <c:v>Offsite</c:v>
                </c:pt>
                <c:pt idx="5">
                  <c:v>Shower Room</c:v>
                </c:pt>
                <c:pt idx="6">
                  <c:v>Dining Room</c:v>
                </c:pt>
              </c:strCache>
            </c:strRef>
          </c:cat>
          <c:val>
            <c:numRef>
              <c:f>Apr!$D$95:$D$105</c:f>
              <c:numCache>
                <c:formatCode>General</c:formatCode>
                <c:ptCount val="11"/>
                <c:pt idx="0">
                  <c:v>0</c:v>
                </c:pt>
                <c:pt idx="1">
                  <c:v>0</c:v>
                </c:pt>
                <c:pt idx="2">
                  <c:v>0</c:v>
                </c:pt>
                <c:pt idx="3">
                  <c:v>0</c:v>
                </c:pt>
                <c:pt idx="4">
                  <c:v>0</c:v>
                </c:pt>
                <c:pt idx="5">
                  <c:v>0</c:v>
                </c:pt>
                <c:pt idx="6">
                  <c:v>0</c:v>
                </c:pt>
                <c:pt idx="7">
                  <c:v>#N/A</c:v>
                </c:pt>
                <c:pt idx="8">
                  <c:v>#N/A</c:v>
                </c:pt>
                <c:pt idx="9">
                  <c:v>#N/A</c:v>
                </c:pt>
                <c:pt idx="10">
                  <c:v>#N/A</c:v>
                </c:pt>
              </c:numCache>
            </c:numRef>
          </c:val>
          <c:extLst>
            <c:ext xmlns:c16="http://schemas.microsoft.com/office/drawing/2014/chart" uri="{C3380CC4-5D6E-409C-BE32-E72D297353CC}">
              <c16:uniqueId val="{00000000-D3B9-407E-802C-1D7FC970EBCD}"/>
            </c:ext>
          </c:extLst>
        </c:ser>
        <c:dLbls>
          <c:showLegendKey val="0"/>
          <c:showVal val="0"/>
          <c:showCatName val="0"/>
          <c:showSerName val="0"/>
          <c:showPercent val="0"/>
          <c:showBubbleSize val="0"/>
        </c:dLbls>
        <c:gapWidth val="219"/>
        <c:overlap val="-27"/>
        <c:axId val="1569634943"/>
        <c:axId val="1590853103"/>
      </c:barChart>
      <c:catAx>
        <c:axId val="156963494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US"/>
          </a:p>
        </c:txPr>
        <c:crossAx val="1590853103"/>
        <c:crosses val="autoZero"/>
        <c:auto val="1"/>
        <c:lblAlgn val="ctr"/>
        <c:lblOffset val="100"/>
        <c:noMultiLvlLbl val="0"/>
      </c:catAx>
      <c:valAx>
        <c:axId val="1590853103"/>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69634943"/>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3175"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Apr!$B$123</c:f>
          <c:strCache>
            <c:ptCount val="1"/>
            <c:pt idx="0">
              <c:v>Falls by Day of the Week </c:v>
            </c:pt>
          </c:strCache>
        </c:strRef>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
          <c:order val="0"/>
          <c:tx>
            <c:strRef>
              <c:f>Apr!$D$124</c:f>
              <c:strCache>
                <c:ptCount val="1"/>
                <c:pt idx="0">
                  <c:v>Total</c:v>
                </c:pt>
              </c:strCache>
            </c:strRef>
          </c:tx>
          <c:spPr>
            <a:solidFill>
              <a:schemeClr val="bg1">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Apr!$B$125:$B$131</c:f>
              <c:strCache>
                <c:ptCount val="7"/>
                <c:pt idx="0">
                  <c:v>Sun</c:v>
                </c:pt>
                <c:pt idx="1">
                  <c:v>Mon</c:v>
                </c:pt>
                <c:pt idx="2">
                  <c:v>Tue</c:v>
                </c:pt>
                <c:pt idx="3">
                  <c:v>Wed</c:v>
                </c:pt>
                <c:pt idx="4">
                  <c:v>Thu</c:v>
                </c:pt>
                <c:pt idx="5">
                  <c:v>Fri</c:v>
                </c:pt>
                <c:pt idx="6">
                  <c:v>Sat</c:v>
                </c:pt>
              </c:strCache>
            </c:strRef>
          </c:cat>
          <c:val>
            <c:numRef>
              <c:f>Apr!$D$125:$D$131</c:f>
              <c:numCache>
                <c:formatCode>General</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F2A7-4195-9023-DE1DAEE2C732}"/>
            </c:ext>
          </c:extLst>
        </c:ser>
        <c:dLbls>
          <c:showLegendKey val="0"/>
          <c:showVal val="0"/>
          <c:showCatName val="0"/>
          <c:showSerName val="0"/>
          <c:showPercent val="0"/>
          <c:showBubbleSize val="0"/>
        </c:dLbls>
        <c:gapWidth val="219"/>
        <c:overlap val="-27"/>
        <c:axId val="1569634943"/>
        <c:axId val="1590853103"/>
      </c:barChart>
      <c:catAx>
        <c:axId val="156963494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US"/>
          </a:p>
        </c:txPr>
        <c:crossAx val="1590853103"/>
        <c:crosses val="autoZero"/>
        <c:auto val="1"/>
        <c:lblAlgn val="ctr"/>
        <c:lblOffset val="100"/>
        <c:noMultiLvlLbl val="0"/>
      </c:catAx>
      <c:valAx>
        <c:axId val="1590853103"/>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69634943"/>
        <c:crosses val="autoZero"/>
        <c:crossBetween val="between"/>
      </c:valAx>
      <c:spPr>
        <a:noFill/>
        <a:ln>
          <a:noFill/>
        </a:ln>
        <a:effectLst/>
      </c:spPr>
    </c:plotArea>
    <c:plotVisOnly val="1"/>
    <c:dispBlanksAs val="gap"/>
    <c:showDLblsOverMax val="0"/>
  </c:chart>
  <c:spPr>
    <a:solidFill>
      <a:schemeClr val="bg1"/>
    </a:solidFill>
    <a:ln w="3175"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Apr!$B$108</c:f>
          <c:strCache>
            <c:ptCount val="1"/>
            <c:pt idx="0">
              <c:v>Falls by Nursing Station </c:v>
            </c:pt>
          </c:strCache>
        </c:strRef>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
          <c:order val="0"/>
          <c:tx>
            <c:strRef>
              <c:f>Apr!$D$109</c:f>
              <c:strCache>
                <c:ptCount val="1"/>
                <c:pt idx="0">
                  <c:v>Total</c:v>
                </c:pt>
              </c:strCache>
            </c:strRef>
          </c:tx>
          <c:spPr>
            <a:solidFill>
              <a:schemeClr val="bg1">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Apr!$B$110:$B$120</c:f>
              <c:strCache>
                <c:ptCount val="5"/>
                <c:pt idx="0">
                  <c:v>1</c:v>
                </c:pt>
                <c:pt idx="1">
                  <c:v>2</c:v>
                </c:pt>
                <c:pt idx="2">
                  <c:v>3</c:v>
                </c:pt>
                <c:pt idx="3">
                  <c:v>4</c:v>
                </c:pt>
                <c:pt idx="4">
                  <c:v>5</c:v>
                </c:pt>
              </c:strCache>
            </c:strRef>
          </c:cat>
          <c:val>
            <c:numRef>
              <c:f>Apr!$D$110:$D$120</c:f>
              <c:numCache>
                <c:formatCode>General</c:formatCode>
                <c:ptCount val="11"/>
                <c:pt idx="0">
                  <c:v>0</c:v>
                </c:pt>
                <c:pt idx="1">
                  <c:v>0</c:v>
                </c:pt>
                <c:pt idx="2">
                  <c:v>0</c:v>
                </c:pt>
                <c:pt idx="3">
                  <c:v>0</c:v>
                </c:pt>
                <c:pt idx="4">
                  <c:v>0</c:v>
                </c:pt>
                <c:pt idx="5">
                  <c:v>#N/A</c:v>
                </c:pt>
                <c:pt idx="6">
                  <c:v>#N/A</c:v>
                </c:pt>
                <c:pt idx="7">
                  <c:v>#N/A</c:v>
                </c:pt>
                <c:pt idx="8">
                  <c:v>#N/A</c:v>
                </c:pt>
                <c:pt idx="9">
                  <c:v>#N/A</c:v>
                </c:pt>
                <c:pt idx="10">
                  <c:v>#N/A</c:v>
                </c:pt>
              </c:numCache>
            </c:numRef>
          </c:val>
          <c:extLst>
            <c:ext xmlns:c16="http://schemas.microsoft.com/office/drawing/2014/chart" uri="{C3380CC4-5D6E-409C-BE32-E72D297353CC}">
              <c16:uniqueId val="{00000000-8B51-4AC9-BC4A-39D9856B3BA2}"/>
            </c:ext>
          </c:extLst>
        </c:ser>
        <c:dLbls>
          <c:showLegendKey val="0"/>
          <c:showVal val="0"/>
          <c:showCatName val="0"/>
          <c:showSerName val="0"/>
          <c:showPercent val="0"/>
          <c:showBubbleSize val="0"/>
        </c:dLbls>
        <c:gapWidth val="219"/>
        <c:overlap val="-27"/>
        <c:axId val="1226967759"/>
        <c:axId val="1226960559"/>
      </c:barChart>
      <c:catAx>
        <c:axId val="12269677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US"/>
          </a:p>
        </c:txPr>
        <c:crossAx val="1226960559"/>
        <c:crosses val="autoZero"/>
        <c:auto val="1"/>
        <c:lblAlgn val="ctr"/>
        <c:lblOffset val="100"/>
        <c:noMultiLvlLbl val="0"/>
      </c:catAx>
      <c:valAx>
        <c:axId val="122696055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1226967759"/>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6350"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Apr!$F$58</c:f>
          <c:strCache>
            <c:ptCount val="1"/>
            <c:pt idx="0">
              <c:v>Falls by BIMS Score</c:v>
            </c:pt>
          </c:strCache>
        </c:strRef>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Apr!$H$59</c:f>
              <c:strCache>
                <c:ptCount val="1"/>
                <c:pt idx="0">
                  <c:v>Total</c:v>
                </c:pt>
              </c:strCache>
            </c:strRef>
          </c:tx>
          <c:spPr>
            <a:solidFill>
              <a:schemeClr val="bg2">
                <a:lumMod val="90000"/>
              </a:schemeClr>
            </a:solidFill>
            <a:ln>
              <a:solidFill>
                <a:schemeClr val="bg2">
                  <a:lumMod val="90000"/>
                </a:schemeClr>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Apr!$F$60:$F$62</c:f>
              <c:strCache>
                <c:ptCount val="3"/>
                <c:pt idx="0">
                  <c:v>Severe (1–7)</c:v>
                </c:pt>
                <c:pt idx="1">
                  <c:v>Moderate (8–12)</c:v>
                </c:pt>
                <c:pt idx="2">
                  <c:v>Intact (13–15)</c:v>
                </c:pt>
              </c:strCache>
            </c:strRef>
          </c:cat>
          <c:val>
            <c:numRef>
              <c:f>Apr!$H$60:$H$62</c:f>
              <c:numCache>
                <c:formatCode>General</c:formatCode>
                <c:ptCount val="3"/>
                <c:pt idx="0">
                  <c:v>0</c:v>
                </c:pt>
                <c:pt idx="1">
                  <c:v>0</c:v>
                </c:pt>
                <c:pt idx="2">
                  <c:v>0</c:v>
                </c:pt>
              </c:numCache>
            </c:numRef>
          </c:val>
          <c:extLst>
            <c:ext xmlns:c16="http://schemas.microsoft.com/office/drawing/2014/chart" uri="{C3380CC4-5D6E-409C-BE32-E72D297353CC}">
              <c16:uniqueId val="{00000000-1C0C-49F1-A2EA-4FEE96A28694}"/>
            </c:ext>
          </c:extLst>
        </c:ser>
        <c:dLbls>
          <c:showLegendKey val="0"/>
          <c:showVal val="0"/>
          <c:showCatName val="0"/>
          <c:showSerName val="0"/>
          <c:showPercent val="0"/>
          <c:showBubbleSize val="0"/>
        </c:dLbls>
        <c:gapWidth val="219"/>
        <c:overlap val="-27"/>
        <c:axId val="1226967759"/>
        <c:axId val="1226960559"/>
      </c:barChart>
      <c:catAx>
        <c:axId val="12269677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US"/>
          </a:p>
        </c:txPr>
        <c:crossAx val="1226960559"/>
        <c:crosses val="autoZero"/>
        <c:auto val="1"/>
        <c:lblAlgn val="ctr"/>
        <c:lblOffset val="100"/>
        <c:noMultiLvlLbl val="0"/>
      </c:catAx>
      <c:valAx>
        <c:axId val="122696055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1226967759"/>
        <c:crosses val="autoZero"/>
        <c:crossBetween val="between"/>
      </c:valAx>
      <c:spPr>
        <a:noFill/>
        <a:ln>
          <a:noFill/>
        </a:ln>
        <a:effectLst/>
      </c:spPr>
    </c:plotArea>
    <c:plotVisOnly val="1"/>
    <c:dispBlanksAs val="gap"/>
    <c:showDLblsOverMax val="0"/>
  </c:chart>
  <c:spPr>
    <a:noFill/>
    <a:ln w="6350"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Apr!$B$143</c:f>
          <c:strCache>
            <c:ptCount val="1"/>
            <c:pt idx="0">
              <c:v>Falls by Hour </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1"/>
          <c:order val="0"/>
          <c:tx>
            <c:strRef>
              <c:f>Apr!$D$144</c:f>
              <c:strCache>
                <c:ptCount val="1"/>
                <c:pt idx="0">
                  <c:v>Total</c:v>
                </c:pt>
              </c:strCache>
            </c:strRef>
          </c:tx>
          <c:spPr>
            <a:solidFill>
              <a:schemeClr val="bg1">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Apr!$B$145:$B$168</c:f>
              <c:strCache>
                <c:ptCount val="24"/>
                <c:pt idx="0">
                  <c:v>23:00–24:00</c:v>
                </c:pt>
                <c:pt idx="1">
                  <c:v>24:00–01:00</c:v>
                </c:pt>
                <c:pt idx="2">
                  <c:v>01:00–02:00</c:v>
                </c:pt>
                <c:pt idx="3">
                  <c:v>02:00–03:00</c:v>
                </c:pt>
                <c:pt idx="4">
                  <c:v>03:00–04:00</c:v>
                </c:pt>
                <c:pt idx="5">
                  <c:v>04:00–05:00</c:v>
                </c:pt>
                <c:pt idx="6">
                  <c:v>05:00–06:00</c:v>
                </c:pt>
                <c:pt idx="7">
                  <c:v>06:00–07:00</c:v>
                </c:pt>
                <c:pt idx="8">
                  <c:v>07:00–08:00</c:v>
                </c:pt>
                <c:pt idx="9">
                  <c:v>08:00–09:00</c:v>
                </c:pt>
                <c:pt idx="10">
                  <c:v>09:00–10:00</c:v>
                </c:pt>
                <c:pt idx="11">
                  <c:v>10:00–11:00</c:v>
                </c:pt>
                <c:pt idx="12">
                  <c:v>11:00–12:00</c:v>
                </c:pt>
                <c:pt idx="13">
                  <c:v>12:00–13:00</c:v>
                </c:pt>
                <c:pt idx="14">
                  <c:v>13:00–14:00</c:v>
                </c:pt>
                <c:pt idx="15">
                  <c:v>14:00–15:00</c:v>
                </c:pt>
                <c:pt idx="16">
                  <c:v>15:00–16:00</c:v>
                </c:pt>
                <c:pt idx="17">
                  <c:v>16:00–17:00</c:v>
                </c:pt>
                <c:pt idx="18">
                  <c:v>17:00–18:00</c:v>
                </c:pt>
                <c:pt idx="19">
                  <c:v>18:00–19:00</c:v>
                </c:pt>
                <c:pt idx="20">
                  <c:v>19:00–20:00</c:v>
                </c:pt>
                <c:pt idx="21">
                  <c:v>20:00–21:00</c:v>
                </c:pt>
                <c:pt idx="22">
                  <c:v>21:00–22:00</c:v>
                </c:pt>
                <c:pt idx="23">
                  <c:v>22:00–23:00</c:v>
                </c:pt>
              </c:strCache>
            </c:strRef>
          </c:cat>
          <c:val>
            <c:numRef>
              <c:f>Apr!$D$145:$D$168</c:f>
              <c:numCache>
                <c:formatCode>General</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6="http://schemas.microsoft.com/office/drawing/2014/chart" uri="{C3380CC4-5D6E-409C-BE32-E72D297353CC}">
              <c16:uniqueId val="{00000000-9D2A-41F6-9459-98C8C8247F84}"/>
            </c:ext>
          </c:extLst>
        </c:ser>
        <c:dLbls>
          <c:showLegendKey val="0"/>
          <c:showVal val="0"/>
          <c:showCatName val="0"/>
          <c:showSerName val="0"/>
          <c:showPercent val="0"/>
          <c:showBubbleSize val="0"/>
        </c:dLbls>
        <c:gapWidth val="182"/>
        <c:axId val="1658854639"/>
        <c:axId val="1658861839"/>
      </c:barChart>
      <c:catAx>
        <c:axId val="16588546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1658861839"/>
        <c:crosses val="autoZero"/>
        <c:auto val="1"/>
        <c:lblAlgn val="ctr"/>
        <c:lblOffset val="100"/>
        <c:noMultiLvlLbl val="0"/>
      </c:catAx>
      <c:valAx>
        <c:axId val="1658861839"/>
        <c:scaling>
          <c:orientation val="minMax"/>
        </c:scaling>
        <c:delete val="1"/>
        <c:axPos val="t"/>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658854639"/>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orientation="landscape"/>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Apr!$B$65</c:f>
          <c:strCache>
            <c:ptCount val="1"/>
            <c:pt idx="0">
              <c:v>Falls by Activity</c:v>
            </c:pt>
          </c:strCache>
        </c:strRef>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tx>
            <c:strRef>
              <c:f>Apr!$G$66</c:f>
              <c:strCache>
                <c:ptCount val="1"/>
                <c:pt idx="0">
                  <c:v>Total</c:v>
                </c:pt>
              </c:strCache>
            </c:strRef>
          </c:tx>
          <c:spPr>
            <a:solidFill>
              <a:schemeClr val="bg1">
                <a:lumMod val="75000"/>
              </a:schemeClr>
            </a:solidFill>
            <a:ln>
              <a:solidFill>
                <a:schemeClr val="bg1">
                  <a:lumMod val="85000"/>
                </a:schemeClr>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Apr!$B$67:$B$90</c:f>
              <c:strCache>
                <c:ptCount val="11"/>
                <c:pt idx="0">
                  <c:v>Ambulating with assistive device (walker, cane, wheelchair)</c:v>
                </c:pt>
                <c:pt idx="1">
                  <c:v>Ambulating with staff assistance</c:v>
                </c:pt>
                <c:pt idx="2">
                  <c:v>Ambulating without assistance or assistive device</c:v>
                </c:pt>
                <c:pt idx="3">
                  <c:v>Changing position (e.g., in bed, chair)</c:v>
                </c:pt>
                <c:pt idx="4">
                  <c:v>Dressing or undressing</c:v>
                </c:pt>
                <c:pt idx="5">
                  <c:v>Other activity</c:v>
                </c:pt>
                <c:pt idx="6">
                  <c:v>Reaching for an item</c:v>
                </c:pt>
                <c:pt idx="7">
                  <c:v>Showering or bathing</c:v>
                </c:pt>
                <c:pt idx="8">
                  <c:v>Toileting</c:v>
                </c:pt>
                <c:pt idx="9">
                  <c:v>Transferring to or from bed, chair, wheelchair, etc.</c:v>
                </c:pt>
                <c:pt idx="10">
                  <c:v>Unknown</c:v>
                </c:pt>
              </c:strCache>
            </c:strRef>
          </c:cat>
          <c:val>
            <c:numRef>
              <c:f>Apr!$G$67:$G$90</c:f>
              <c:numCache>
                <c:formatCode>General</c:formatCode>
                <c:ptCount val="24"/>
                <c:pt idx="0">
                  <c:v>0</c:v>
                </c:pt>
                <c:pt idx="1">
                  <c:v>0</c:v>
                </c:pt>
                <c:pt idx="2">
                  <c:v>0</c:v>
                </c:pt>
                <c:pt idx="3">
                  <c:v>0</c:v>
                </c:pt>
                <c:pt idx="4">
                  <c:v>0</c:v>
                </c:pt>
                <c:pt idx="5">
                  <c:v>0</c:v>
                </c:pt>
                <c:pt idx="6">
                  <c:v>0</c:v>
                </c:pt>
                <c:pt idx="7">
                  <c:v>0</c:v>
                </c:pt>
                <c:pt idx="8">
                  <c:v>0</c:v>
                </c:pt>
                <c:pt idx="9">
                  <c:v>0</c:v>
                </c:pt>
                <c:pt idx="10">
                  <c:v>0</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val>
          <c:extLst>
            <c:ext xmlns:c16="http://schemas.microsoft.com/office/drawing/2014/chart" uri="{C3380CC4-5D6E-409C-BE32-E72D297353CC}">
              <c16:uniqueId val="{00000000-A898-4A6F-977A-5D4C115539BB}"/>
            </c:ext>
          </c:extLst>
        </c:ser>
        <c:dLbls>
          <c:showLegendKey val="0"/>
          <c:showVal val="0"/>
          <c:showCatName val="0"/>
          <c:showSerName val="0"/>
          <c:showPercent val="0"/>
          <c:showBubbleSize val="0"/>
        </c:dLbls>
        <c:gapWidth val="182"/>
        <c:axId val="1658854639"/>
        <c:axId val="1658861839"/>
      </c:barChart>
      <c:catAx>
        <c:axId val="16588546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1658861839"/>
        <c:crosses val="autoZero"/>
        <c:auto val="1"/>
        <c:lblAlgn val="ctr"/>
        <c:lblOffset val="100"/>
        <c:noMultiLvlLbl val="0"/>
      </c:catAx>
      <c:valAx>
        <c:axId val="1658861839"/>
        <c:scaling>
          <c:orientation val="minMax"/>
        </c:scaling>
        <c:delete val="1"/>
        <c:axPos val="t"/>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658854639"/>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orientation="landscape"/>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5"/>
    </mc:Choice>
    <mc:Fallback>
      <c:style val="5"/>
    </mc:Fallback>
  </mc:AlternateContent>
  <c:chart>
    <c:title>
      <c:tx>
        <c:strRef>
          <c:f>Apr!$B$51</c:f>
          <c:strCache>
            <c:ptCount val="1"/>
            <c:pt idx="0">
              <c:v>Witnessed Falls</c:v>
            </c:pt>
          </c:strCache>
        </c:strRef>
      </c:tx>
      <c:layout>
        <c:manualLayout>
          <c:xMode val="edge"/>
          <c:yMode val="edge"/>
          <c:x val="0.28456383934819923"/>
          <c:y val="4.8263836268180225E-2"/>
        </c:manualLayout>
      </c:layout>
      <c:overlay val="0"/>
      <c:spPr>
        <a:noFill/>
        <a:ln>
          <a:noFill/>
        </a:ln>
        <a:effectLst/>
      </c:spPr>
      <c:txPr>
        <a:bodyPr rot="0" spcFirstLastPara="1" vertOverflow="ellipsis" vert="horz" wrap="square" anchor="ctr" anchorCtr="1"/>
        <a:lstStyle/>
        <a:p>
          <a:pPr>
            <a:defRPr sz="1100" b="1" i="0" u="none" strike="noStrike" kern="1200" spc="0" baseline="0">
              <a:solidFill>
                <a:sysClr val="windowText" lastClr="000000"/>
              </a:solidFill>
              <a:latin typeface="+mn-lt"/>
              <a:ea typeface="+mn-ea"/>
              <a:cs typeface="+mn-cs"/>
            </a:defRPr>
          </a:pPr>
          <a:endParaRPr lang="en-US"/>
        </a:p>
      </c:txPr>
    </c:title>
    <c:autoTitleDeleted val="0"/>
    <c:plotArea>
      <c:layout/>
      <c:pieChart>
        <c:varyColors val="1"/>
        <c:ser>
          <c:idx val="2"/>
          <c:order val="0"/>
          <c:tx>
            <c:strRef>
              <c:f>Apr!$D$52</c:f>
              <c:strCache>
                <c:ptCount val="1"/>
                <c:pt idx="0">
                  <c:v>Total</c:v>
                </c:pt>
              </c:strCache>
            </c:strRef>
          </c:tx>
          <c:spPr>
            <a:solidFill>
              <a:srgbClr val="F7F7F7"/>
            </a:solidFill>
            <a:ln w="19050">
              <a:solidFill>
                <a:schemeClr val="bg2">
                  <a:lumMod val="90000"/>
                </a:schemeClr>
              </a:solidFill>
            </a:ln>
          </c:spPr>
          <c:dPt>
            <c:idx val="0"/>
            <c:bubble3D val="0"/>
            <c:spPr>
              <a:solidFill>
                <a:srgbClr val="F7F7F7"/>
              </a:solidFill>
              <a:ln w="19050">
                <a:solidFill>
                  <a:schemeClr val="bg2">
                    <a:lumMod val="90000"/>
                  </a:schemeClr>
                </a:solidFill>
              </a:ln>
              <a:effectLst/>
            </c:spPr>
            <c:extLst>
              <c:ext xmlns:c16="http://schemas.microsoft.com/office/drawing/2014/chart" uri="{C3380CC4-5D6E-409C-BE32-E72D297353CC}">
                <c16:uniqueId val="{00000001-0C7D-4ED6-84AC-BDDB4E0EEB69}"/>
              </c:ext>
            </c:extLst>
          </c:dPt>
          <c:dPt>
            <c:idx val="1"/>
            <c:bubble3D val="0"/>
            <c:spPr>
              <a:solidFill>
                <a:schemeClr val="bg2"/>
              </a:solidFill>
              <a:ln w="19050">
                <a:solidFill>
                  <a:schemeClr val="bg2">
                    <a:lumMod val="90000"/>
                  </a:schemeClr>
                </a:solidFill>
              </a:ln>
              <a:effectLst/>
            </c:spPr>
            <c:extLst>
              <c:ext xmlns:c16="http://schemas.microsoft.com/office/drawing/2014/chart" uri="{C3380CC4-5D6E-409C-BE32-E72D297353CC}">
                <c16:uniqueId val="{00000003-0C7D-4ED6-84AC-BDDB4E0EEB69}"/>
              </c:ext>
            </c:extLst>
          </c:dPt>
          <c:dLbls>
            <c:dLbl>
              <c:idx val="0"/>
              <c:layout>
                <c:manualLayout>
                  <c:x val="6.2922200858950839E-2"/>
                  <c:y val="-5.7940247469122956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C7D-4ED6-84AC-BDDB4E0EEB69}"/>
                </c:ext>
              </c:extLst>
            </c:dLbl>
            <c:dLbl>
              <c:idx val="1"/>
              <c:layout>
                <c:manualLayout>
                  <c:x val="-4.8011385115936479E-2"/>
                  <c:y val="2.6697554736401265E-2"/>
                </c:manualLayout>
              </c:layout>
              <c:spPr>
                <a:noFill/>
                <a:ln>
                  <a:noFill/>
                </a:ln>
                <a:effectLst/>
              </c:spPr>
              <c:txPr>
                <a:bodyPr rot="0" spcFirstLastPara="1" vertOverflow="ellipsis" vert="horz" wrap="square" lIns="38100" tIns="19050" rIns="38100" bIns="19050" anchor="ctr" anchorCtr="1">
                  <a:noAutofit/>
                </a:bodyPr>
                <a:lstStyle/>
                <a:p>
                  <a:pPr>
                    <a:defRPr sz="9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0"/>
              <c:showBubbleSize val="0"/>
              <c:extLst>
                <c:ext xmlns:c15="http://schemas.microsoft.com/office/drawing/2012/chart" uri="{CE6537A1-D6FC-4f65-9D91-7224C49458BB}">
                  <c15:layout>
                    <c:manualLayout>
                      <c:w val="0.24931745400710711"/>
                      <c:h val="0.11967240535812428"/>
                    </c:manualLayout>
                  </c15:layout>
                </c:ext>
                <c:ext xmlns:c16="http://schemas.microsoft.com/office/drawing/2014/chart" uri="{C3380CC4-5D6E-409C-BE32-E72D297353CC}">
                  <c16:uniqueId val="{00000003-0C7D-4ED6-84AC-BDDB4E0EEB6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Apr!$B$53:$B$54</c:f>
              <c:strCache>
                <c:ptCount val="2"/>
                <c:pt idx="0">
                  <c:v>Yes</c:v>
                </c:pt>
                <c:pt idx="1">
                  <c:v>No</c:v>
                </c:pt>
              </c:strCache>
            </c:strRef>
          </c:cat>
          <c:val>
            <c:numRef>
              <c:f>Apr!$D$53:$D$54</c:f>
              <c:numCache>
                <c:formatCode>General</c:formatCode>
                <c:ptCount val="2"/>
                <c:pt idx="0">
                  <c:v>0</c:v>
                </c:pt>
                <c:pt idx="1">
                  <c:v>0</c:v>
                </c:pt>
              </c:numCache>
            </c:numRef>
          </c:val>
          <c:extLst>
            <c:ext xmlns:c16="http://schemas.microsoft.com/office/drawing/2014/chart" uri="{C3380CC4-5D6E-409C-BE32-E72D297353CC}">
              <c16:uniqueId val="{00000004-0C7D-4ED6-84AC-BDDB4E0EEB69}"/>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solidFill>
      <a:schemeClr val="bg1"/>
    </a:solidFill>
    <a:ln w="3175"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Apr!$B$171</c:f>
          <c:strCache>
            <c:ptCount val="1"/>
            <c:pt idx="0">
              <c:v>Falls by Contributing Factors</c:v>
            </c:pt>
          </c:strCache>
        </c:strRef>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4"/>
          <c:order val="0"/>
          <c:tx>
            <c:strRef>
              <c:f>Apr!$G$172</c:f>
              <c:strCache>
                <c:ptCount val="1"/>
                <c:pt idx="0">
                  <c:v>Total</c:v>
                </c:pt>
              </c:strCache>
            </c:strRef>
          </c:tx>
          <c:spPr>
            <a:solidFill>
              <a:schemeClr val="bg2">
                <a:lumMod val="9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Apr!$B$173:$B$196</c:f>
              <c:strCache>
                <c:ptCount val="11"/>
                <c:pt idx="0">
                  <c:v>Assisted/caregiver transfer</c:v>
                </c:pt>
                <c:pt idx="1">
                  <c:v>Bowel and bladder (B&amp;B) needs</c:v>
                </c:pt>
                <c:pt idx="2">
                  <c:v>Behavioral or situational</c:v>
                </c:pt>
                <c:pt idx="3">
                  <c:v>Change of condition</c:v>
                </c:pt>
                <c:pt idx="4">
                  <c:v>Environmental factors</c:v>
                </c:pt>
                <c:pt idx="5">
                  <c:v>Equipment malfunction</c:v>
                </c:pt>
                <c:pt idx="6">
                  <c:v>Equipment or assistive device</c:v>
                </c:pt>
                <c:pt idx="7">
                  <c:v>Medication related</c:v>
                </c:pt>
                <c:pt idx="8">
                  <c:v>Process(s) not followed</c:v>
                </c:pt>
                <c:pt idx="9">
                  <c:v>Resident health conditions</c:v>
                </c:pt>
                <c:pt idx="10">
                  <c:v>Staff</c:v>
                </c:pt>
              </c:strCache>
            </c:strRef>
          </c:cat>
          <c:val>
            <c:numRef>
              <c:f>Apr!$G$173:$G$196</c:f>
              <c:numCache>
                <c:formatCode>General</c:formatCode>
                <c:ptCount val="24"/>
                <c:pt idx="0">
                  <c:v>0</c:v>
                </c:pt>
                <c:pt idx="1">
                  <c:v>0</c:v>
                </c:pt>
                <c:pt idx="2">
                  <c:v>0</c:v>
                </c:pt>
                <c:pt idx="3">
                  <c:v>0</c:v>
                </c:pt>
                <c:pt idx="4">
                  <c:v>0</c:v>
                </c:pt>
                <c:pt idx="5">
                  <c:v>0</c:v>
                </c:pt>
                <c:pt idx="6">
                  <c:v>0</c:v>
                </c:pt>
                <c:pt idx="7">
                  <c:v>0</c:v>
                </c:pt>
                <c:pt idx="8">
                  <c:v>0</c:v>
                </c:pt>
                <c:pt idx="9">
                  <c:v>0</c:v>
                </c:pt>
                <c:pt idx="10">
                  <c:v>0</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val>
          <c:extLst>
            <c:ext xmlns:c16="http://schemas.microsoft.com/office/drawing/2014/chart" uri="{C3380CC4-5D6E-409C-BE32-E72D297353CC}">
              <c16:uniqueId val="{00000000-804C-44EA-A97C-83B83FA27CFE}"/>
            </c:ext>
          </c:extLst>
        </c:ser>
        <c:dLbls>
          <c:showLegendKey val="0"/>
          <c:showVal val="0"/>
          <c:showCatName val="0"/>
          <c:showSerName val="0"/>
          <c:showPercent val="0"/>
          <c:showBubbleSize val="0"/>
        </c:dLbls>
        <c:gapWidth val="182"/>
        <c:axId val="1658854639"/>
        <c:axId val="1658861839"/>
      </c:barChart>
      <c:catAx>
        <c:axId val="16588546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bg2">
                    <a:lumMod val="50000"/>
                  </a:schemeClr>
                </a:solidFill>
                <a:latin typeface="+mn-lt"/>
                <a:ea typeface="+mn-ea"/>
                <a:cs typeface="+mn-cs"/>
              </a:defRPr>
            </a:pPr>
            <a:endParaRPr lang="en-US"/>
          </a:p>
        </c:txPr>
        <c:crossAx val="1658861839"/>
        <c:crosses val="autoZero"/>
        <c:auto val="1"/>
        <c:lblAlgn val="ctr"/>
        <c:lblOffset val="100"/>
        <c:noMultiLvlLbl val="0"/>
      </c:catAx>
      <c:valAx>
        <c:axId val="1658861839"/>
        <c:scaling>
          <c:orientation val="minMax"/>
        </c:scaling>
        <c:delete val="1"/>
        <c:axPos val="t"/>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658854639"/>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orientation="landscape"/>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Apr!$F$51</c:f>
          <c:strCache>
            <c:ptCount val="1"/>
            <c:pt idx="0">
              <c:v>Fall Circumstances</c:v>
            </c:pt>
          </c:strCache>
        </c:strRef>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Apr!$H$52</c:f>
              <c:strCache>
                <c:ptCount val="1"/>
                <c:pt idx="0">
                  <c:v>Total</c:v>
                </c:pt>
              </c:strCache>
            </c:strRef>
          </c:tx>
          <c:spPr>
            <a:solidFill>
              <a:schemeClr val="bg2">
                <a:lumMod val="90000"/>
              </a:schemeClr>
            </a:solidFill>
            <a:ln>
              <a:solidFill>
                <a:schemeClr val="bg2">
                  <a:lumMod val="90000"/>
                </a:schemeClr>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Apr!$F$53:$F$55</c:f>
              <c:strCache>
                <c:ptCount val="3"/>
                <c:pt idx="0">
                  <c:v>Overwhelming Force</c:v>
                </c:pt>
                <c:pt idx="1">
                  <c:v>Intercepted</c:v>
                </c:pt>
                <c:pt idx="2">
                  <c:v>N/A</c:v>
                </c:pt>
              </c:strCache>
            </c:strRef>
          </c:cat>
          <c:val>
            <c:numRef>
              <c:f>Apr!$H$53:$H$55</c:f>
              <c:numCache>
                <c:formatCode>General</c:formatCode>
                <c:ptCount val="3"/>
                <c:pt idx="0">
                  <c:v>0</c:v>
                </c:pt>
                <c:pt idx="1">
                  <c:v>0</c:v>
                </c:pt>
                <c:pt idx="2">
                  <c:v>0</c:v>
                </c:pt>
              </c:numCache>
            </c:numRef>
          </c:val>
          <c:extLst>
            <c:ext xmlns:c16="http://schemas.microsoft.com/office/drawing/2014/chart" uri="{C3380CC4-5D6E-409C-BE32-E72D297353CC}">
              <c16:uniqueId val="{00000000-F183-47F6-9DA2-03F5C3F4F184}"/>
            </c:ext>
          </c:extLst>
        </c:ser>
        <c:dLbls>
          <c:showLegendKey val="0"/>
          <c:showVal val="0"/>
          <c:showCatName val="0"/>
          <c:showSerName val="0"/>
          <c:showPercent val="0"/>
          <c:showBubbleSize val="0"/>
        </c:dLbls>
        <c:gapWidth val="219"/>
        <c:overlap val="-27"/>
        <c:axId val="1226967759"/>
        <c:axId val="1226960559"/>
      </c:barChart>
      <c:catAx>
        <c:axId val="12269677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US"/>
          </a:p>
        </c:txPr>
        <c:crossAx val="1226960559"/>
        <c:crosses val="autoZero"/>
        <c:auto val="1"/>
        <c:lblAlgn val="ctr"/>
        <c:lblOffset val="100"/>
        <c:noMultiLvlLbl val="0"/>
      </c:catAx>
      <c:valAx>
        <c:axId val="122696055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1226967759"/>
        <c:crosses val="autoZero"/>
        <c:crossBetween val="between"/>
      </c:valAx>
      <c:spPr>
        <a:noFill/>
        <a:ln>
          <a:noFill/>
        </a:ln>
        <a:effectLst/>
      </c:spPr>
    </c:plotArea>
    <c:plotVisOnly val="1"/>
    <c:dispBlanksAs val="gap"/>
    <c:showDLblsOverMax val="0"/>
  </c:chart>
  <c:spPr>
    <a:noFill/>
    <a:ln w="6350"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Jan!$F$58</c:f>
          <c:strCache>
            <c:ptCount val="1"/>
            <c:pt idx="0">
              <c:v>Falls by BIMS Score</c:v>
            </c:pt>
          </c:strCache>
        </c:strRef>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Jan!$H$59</c:f>
              <c:strCache>
                <c:ptCount val="1"/>
                <c:pt idx="0">
                  <c:v>Total</c:v>
                </c:pt>
              </c:strCache>
            </c:strRef>
          </c:tx>
          <c:spPr>
            <a:solidFill>
              <a:schemeClr val="bg2">
                <a:lumMod val="90000"/>
              </a:schemeClr>
            </a:solidFill>
            <a:ln>
              <a:solidFill>
                <a:schemeClr val="bg2">
                  <a:lumMod val="90000"/>
                </a:schemeClr>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Jan!$F$60:$F$62</c:f>
              <c:strCache>
                <c:ptCount val="3"/>
                <c:pt idx="0">
                  <c:v>Severe (1–7)</c:v>
                </c:pt>
                <c:pt idx="1">
                  <c:v>Moderate (8–12)</c:v>
                </c:pt>
                <c:pt idx="2">
                  <c:v>Intact (13–15)</c:v>
                </c:pt>
              </c:strCache>
            </c:strRef>
          </c:cat>
          <c:val>
            <c:numRef>
              <c:f>Jan!$H$60:$H$62</c:f>
              <c:numCache>
                <c:formatCode>General</c:formatCode>
                <c:ptCount val="3"/>
                <c:pt idx="0">
                  <c:v>0</c:v>
                </c:pt>
                <c:pt idx="1">
                  <c:v>0</c:v>
                </c:pt>
                <c:pt idx="2">
                  <c:v>0</c:v>
                </c:pt>
              </c:numCache>
            </c:numRef>
          </c:val>
          <c:extLst>
            <c:ext xmlns:c16="http://schemas.microsoft.com/office/drawing/2014/chart" uri="{C3380CC4-5D6E-409C-BE32-E72D297353CC}">
              <c16:uniqueId val="{00000000-09C2-4BAB-935B-6F6823B8D4AE}"/>
            </c:ext>
          </c:extLst>
        </c:ser>
        <c:dLbls>
          <c:showLegendKey val="0"/>
          <c:showVal val="0"/>
          <c:showCatName val="0"/>
          <c:showSerName val="0"/>
          <c:showPercent val="0"/>
          <c:showBubbleSize val="0"/>
        </c:dLbls>
        <c:gapWidth val="219"/>
        <c:overlap val="-27"/>
        <c:axId val="1226967759"/>
        <c:axId val="1226960559"/>
      </c:barChart>
      <c:catAx>
        <c:axId val="12269677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US"/>
          </a:p>
        </c:txPr>
        <c:crossAx val="1226960559"/>
        <c:crosses val="autoZero"/>
        <c:auto val="1"/>
        <c:lblAlgn val="ctr"/>
        <c:lblOffset val="100"/>
        <c:noMultiLvlLbl val="0"/>
      </c:catAx>
      <c:valAx>
        <c:axId val="122696055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1226967759"/>
        <c:crosses val="autoZero"/>
        <c:crossBetween val="between"/>
      </c:valAx>
      <c:spPr>
        <a:noFill/>
        <a:ln>
          <a:noFill/>
        </a:ln>
        <a:effectLst/>
      </c:spPr>
    </c:plotArea>
    <c:plotVisOnly val="1"/>
    <c:dispBlanksAs val="gap"/>
    <c:showDLblsOverMax val="0"/>
  </c:chart>
  <c:spPr>
    <a:noFill/>
    <a:ln w="6350"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Jan!$B$134</c:f>
          <c:strCache>
            <c:ptCount val="1"/>
            <c:pt idx="0">
              <c:v>Falls by Shift</c:v>
            </c:pt>
          </c:strCache>
        </c:strRef>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tx>
            <c:strRef>
              <c:f>Apr!$D$135</c:f>
              <c:strCache>
                <c:ptCount val="1"/>
                <c:pt idx="0">
                  <c:v>Total</c:v>
                </c:pt>
              </c:strCache>
            </c:strRef>
          </c:tx>
          <c:spPr>
            <a:solidFill>
              <a:schemeClr val="bg1">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Apr!$B$136:$B$140</c:f>
              <c:strCache>
                <c:ptCount val="4"/>
                <c:pt idx="0">
                  <c:v>11-7</c:v>
                </c:pt>
                <c:pt idx="1">
                  <c:v>11–7</c:v>
                </c:pt>
                <c:pt idx="2">
                  <c:v>7–3</c:v>
                </c:pt>
                <c:pt idx="3">
                  <c:v>3–11</c:v>
                </c:pt>
              </c:strCache>
            </c:strRef>
          </c:cat>
          <c:val>
            <c:numRef>
              <c:f>Apr!$D$136:$D$140</c:f>
              <c:numCache>
                <c:formatCode>General</c:formatCode>
                <c:ptCount val="5"/>
                <c:pt idx="0">
                  <c:v>0</c:v>
                </c:pt>
                <c:pt idx="1">
                  <c:v>0</c:v>
                </c:pt>
                <c:pt idx="2">
                  <c:v>0</c:v>
                </c:pt>
                <c:pt idx="3">
                  <c:v>0</c:v>
                </c:pt>
                <c:pt idx="4">
                  <c:v>#N/A</c:v>
                </c:pt>
              </c:numCache>
            </c:numRef>
          </c:val>
          <c:extLst>
            <c:ext xmlns:c16="http://schemas.microsoft.com/office/drawing/2014/chart" uri="{C3380CC4-5D6E-409C-BE32-E72D297353CC}">
              <c16:uniqueId val="{00000001-8904-4F54-94DC-6F2B0B70F226}"/>
            </c:ext>
          </c:extLst>
        </c:ser>
        <c:dLbls>
          <c:showLegendKey val="0"/>
          <c:showVal val="0"/>
          <c:showCatName val="0"/>
          <c:showSerName val="0"/>
          <c:showPercent val="0"/>
          <c:showBubbleSize val="0"/>
        </c:dLbls>
        <c:gapWidth val="219"/>
        <c:axId val="789078271"/>
        <c:axId val="789056671"/>
      </c:barChart>
      <c:catAx>
        <c:axId val="789078271"/>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US"/>
          </a:p>
        </c:txPr>
        <c:crossAx val="789056671"/>
        <c:crosses val="autoZero"/>
        <c:auto val="1"/>
        <c:lblAlgn val="ctr"/>
        <c:lblOffset val="100"/>
        <c:noMultiLvlLbl val="0"/>
      </c:catAx>
      <c:valAx>
        <c:axId val="789056671"/>
        <c:scaling>
          <c:orientation val="minMax"/>
        </c:scaling>
        <c:delete val="1"/>
        <c:axPos val="t"/>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789078271"/>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5"/>
    </mc:Choice>
    <mc:Fallback>
      <c:style val="5"/>
    </mc:Fallback>
  </mc:AlternateContent>
  <c:chart>
    <c:title>
      <c:tx>
        <c:strRef>
          <c:f>May!$B$93</c:f>
          <c:strCache>
            <c:ptCount val="1"/>
            <c:pt idx="0">
              <c:v>Falls by Location</c:v>
            </c:pt>
          </c:strCache>
        </c:strRef>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
          <c:order val="0"/>
          <c:tx>
            <c:strRef>
              <c:f>May!$D$94</c:f>
              <c:strCache>
                <c:ptCount val="1"/>
                <c:pt idx="0">
                  <c:v>Total</c:v>
                </c:pt>
              </c:strCache>
            </c:strRef>
          </c:tx>
          <c:spPr>
            <a:solidFill>
              <a:schemeClr val="accent3">
                <a:tint val="77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May!$B$95:$B$105</c:f>
              <c:strCache>
                <c:ptCount val="7"/>
                <c:pt idx="0">
                  <c:v>Activity Room</c:v>
                </c:pt>
                <c:pt idx="1">
                  <c:v>Bedroom</c:v>
                </c:pt>
                <c:pt idx="2">
                  <c:v>Bathroom</c:v>
                </c:pt>
                <c:pt idx="3">
                  <c:v>Hallway</c:v>
                </c:pt>
                <c:pt idx="4">
                  <c:v>Offsite</c:v>
                </c:pt>
                <c:pt idx="5">
                  <c:v>Shower Room</c:v>
                </c:pt>
                <c:pt idx="6">
                  <c:v>Dining Room</c:v>
                </c:pt>
              </c:strCache>
            </c:strRef>
          </c:cat>
          <c:val>
            <c:numRef>
              <c:f>May!$D$95:$D$105</c:f>
              <c:numCache>
                <c:formatCode>General</c:formatCode>
                <c:ptCount val="11"/>
                <c:pt idx="0">
                  <c:v>0</c:v>
                </c:pt>
                <c:pt idx="1">
                  <c:v>0</c:v>
                </c:pt>
                <c:pt idx="2">
                  <c:v>0</c:v>
                </c:pt>
                <c:pt idx="3">
                  <c:v>0</c:v>
                </c:pt>
                <c:pt idx="4">
                  <c:v>0</c:v>
                </c:pt>
                <c:pt idx="5">
                  <c:v>0</c:v>
                </c:pt>
                <c:pt idx="6">
                  <c:v>0</c:v>
                </c:pt>
                <c:pt idx="7">
                  <c:v>#N/A</c:v>
                </c:pt>
                <c:pt idx="8">
                  <c:v>#N/A</c:v>
                </c:pt>
                <c:pt idx="9">
                  <c:v>#N/A</c:v>
                </c:pt>
                <c:pt idx="10">
                  <c:v>#N/A</c:v>
                </c:pt>
              </c:numCache>
            </c:numRef>
          </c:val>
          <c:extLst>
            <c:ext xmlns:c16="http://schemas.microsoft.com/office/drawing/2014/chart" uri="{C3380CC4-5D6E-409C-BE32-E72D297353CC}">
              <c16:uniqueId val="{00000000-C1F2-4BD6-8B7D-402AEA2DA936}"/>
            </c:ext>
          </c:extLst>
        </c:ser>
        <c:dLbls>
          <c:showLegendKey val="0"/>
          <c:showVal val="0"/>
          <c:showCatName val="0"/>
          <c:showSerName val="0"/>
          <c:showPercent val="0"/>
          <c:showBubbleSize val="0"/>
        </c:dLbls>
        <c:gapWidth val="219"/>
        <c:overlap val="-27"/>
        <c:axId val="1569634943"/>
        <c:axId val="1590853103"/>
      </c:barChart>
      <c:catAx>
        <c:axId val="156963494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US"/>
          </a:p>
        </c:txPr>
        <c:crossAx val="1590853103"/>
        <c:crosses val="autoZero"/>
        <c:auto val="1"/>
        <c:lblAlgn val="ctr"/>
        <c:lblOffset val="100"/>
        <c:noMultiLvlLbl val="0"/>
      </c:catAx>
      <c:valAx>
        <c:axId val="1590853103"/>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69634943"/>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3175"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May!$B$123</c:f>
          <c:strCache>
            <c:ptCount val="1"/>
            <c:pt idx="0">
              <c:v>Falls by Day of the Week </c:v>
            </c:pt>
          </c:strCache>
        </c:strRef>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
          <c:order val="0"/>
          <c:tx>
            <c:strRef>
              <c:f>May!$D$124</c:f>
              <c:strCache>
                <c:ptCount val="1"/>
                <c:pt idx="0">
                  <c:v>Total</c:v>
                </c:pt>
              </c:strCache>
            </c:strRef>
          </c:tx>
          <c:spPr>
            <a:solidFill>
              <a:schemeClr val="bg1">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May!$B$125:$B$131</c:f>
              <c:strCache>
                <c:ptCount val="7"/>
                <c:pt idx="0">
                  <c:v>Sun</c:v>
                </c:pt>
                <c:pt idx="1">
                  <c:v>Mon</c:v>
                </c:pt>
                <c:pt idx="2">
                  <c:v>Tue</c:v>
                </c:pt>
                <c:pt idx="3">
                  <c:v>Wed</c:v>
                </c:pt>
                <c:pt idx="4">
                  <c:v>Thu</c:v>
                </c:pt>
                <c:pt idx="5">
                  <c:v>Fri</c:v>
                </c:pt>
                <c:pt idx="6">
                  <c:v>Sat</c:v>
                </c:pt>
              </c:strCache>
            </c:strRef>
          </c:cat>
          <c:val>
            <c:numRef>
              <c:f>May!$D$125:$D$131</c:f>
              <c:numCache>
                <c:formatCode>General</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644E-4924-81FE-6898B6920A5C}"/>
            </c:ext>
          </c:extLst>
        </c:ser>
        <c:dLbls>
          <c:showLegendKey val="0"/>
          <c:showVal val="0"/>
          <c:showCatName val="0"/>
          <c:showSerName val="0"/>
          <c:showPercent val="0"/>
          <c:showBubbleSize val="0"/>
        </c:dLbls>
        <c:gapWidth val="219"/>
        <c:overlap val="-27"/>
        <c:axId val="1569634943"/>
        <c:axId val="1590853103"/>
      </c:barChart>
      <c:catAx>
        <c:axId val="156963494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US"/>
          </a:p>
        </c:txPr>
        <c:crossAx val="1590853103"/>
        <c:crosses val="autoZero"/>
        <c:auto val="1"/>
        <c:lblAlgn val="ctr"/>
        <c:lblOffset val="100"/>
        <c:noMultiLvlLbl val="0"/>
      </c:catAx>
      <c:valAx>
        <c:axId val="1590853103"/>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69634943"/>
        <c:crosses val="autoZero"/>
        <c:crossBetween val="between"/>
      </c:valAx>
      <c:spPr>
        <a:noFill/>
        <a:ln>
          <a:noFill/>
        </a:ln>
        <a:effectLst/>
      </c:spPr>
    </c:plotArea>
    <c:plotVisOnly val="1"/>
    <c:dispBlanksAs val="gap"/>
    <c:showDLblsOverMax val="0"/>
  </c:chart>
  <c:spPr>
    <a:solidFill>
      <a:schemeClr val="bg1"/>
    </a:solidFill>
    <a:ln w="3175"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May!$B$108</c:f>
          <c:strCache>
            <c:ptCount val="1"/>
            <c:pt idx="0">
              <c:v>Falls by Nursing Station </c:v>
            </c:pt>
          </c:strCache>
        </c:strRef>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
          <c:order val="0"/>
          <c:tx>
            <c:strRef>
              <c:f>May!$D$109</c:f>
              <c:strCache>
                <c:ptCount val="1"/>
                <c:pt idx="0">
                  <c:v>Total</c:v>
                </c:pt>
              </c:strCache>
            </c:strRef>
          </c:tx>
          <c:spPr>
            <a:solidFill>
              <a:schemeClr val="bg1">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May!$B$110:$B$120</c:f>
              <c:strCache>
                <c:ptCount val="5"/>
                <c:pt idx="0">
                  <c:v>1</c:v>
                </c:pt>
                <c:pt idx="1">
                  <c:v>2</c:v>
                </c:pt>
                <c:pt idx="2">
                  <c:v>3</c:v>
                </c:pt>
                <c:pt idx="3">
                  <c:v>4</c:v>
                </c:pt>
                <c:pt idx="4">
                  <c:v>5</c:v>
                </c:pt>
              </c:strCache>
            </c:strRef>
          </c:cat>
          <c:val>
            <c:numRef>
              <c:f>May!$D$110:$D$120</c:f>
              <c:numCache>
                <c:formatCode>General</c:formatCode>
                <c:ptCount val="11"/>
                <c:pt idx="0">
                  <c:v>0</c:v>
                </c:pt>
                <c:pt idx="1">
                  <c:v>0</c:v>
                </c:pt>
                <c:pt idx="2">
                  <c:v>0</c:v>
                </c:pt>
                <c:pt idx="3">
                  <c:v>0</c:v>
                </c:pt>
                <c:pt idx="4">
                  <c:v>0</c:v>
                </c:pt>
                <c:pt idx="5">
                  <c:v>#N/A</c:v>
                </c:pt>
                <c:pt idx="6">
                  <c:v>#N/A</c:v>
                </c:pt>
                <c:pt idx="7">
                  <c:v>#N/A</c:v>
                </c:pt>
                <c:pt idx="8">
                  <c:v>#N/A</c:v>
                </c:pt>
                <c:pt idx="9">
                  <c:v>#N/A</c:v>
                </c:pt>
                <c:pt idx="10">
                  <c:v>#N/A</c:v>
                </c:pt>
              </c:numCache>
            </c:numRef>
          </c:val>
          <c:extLst>
            <c:ext xmlns:c16="http://schemas.microsoft.com/office/drawing/2014/chart" uri="{C3380CC4-5D6E-409C-BE32-E72D297353CC}">
              <c16:uniqueId val="{00000000-D1A6-4ABD-82AA-9B0908424082}"/>
            </c:ext>
          </c:extLst>
        </c:ser>
        <c:dLbls>
          <c:showLegendKey val="0"/>
          <c:showVal val="0"/>
          <c:showCatName val="0"/>
          <c:showSerName val="0"/>
          <c:showPercent val="0"/>
          <c:showBubbleSize val="0"/>
        </c:dLbls>
        <c:gapWidth val="219"/>
        <c:overlap val="-27"/>
        <c:axId val="1226967759"/>
        <c:axId val="1226960559"/>
      </c:barChart>
      <c:catAx>
        <c:axId val="12269677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US"/>
          </a:p>
        </c:txPr>
        <c:crossAx val="1226960559"/>
        <c:crosses val="autoZero"/>
        <c:auto val="1"/>
        <c:lblAlgn val="ctr"/>
        <c:lblOffset val="100"/>
        <c:noMultiLvlLbl val="0"/>
      </c:catAx>
      <c:valAx>
        <c:axId val="122696055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1226967759"/>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6350"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May!$F$58</c:f>
          <c:strCache>
            <c:ptCount val="1"/>
            <c:pt idx="0">
              <c:v>Falls by BIMS Score</c:v>
            </c:pt>
          </c:strCache>
        </c:strRef>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May!$H$59</c:f>
              <c:strCache>
                <c:ptCount val="1"/>
                <c:pt idx="0">
                  <c:v>Total</c:v>
                </c:pt>
              </c:strCache>
            </c:strRef>
          </c:tx>
          <c:spPr>
            <a:solidFill>
              <a:schemeClr val="bg2">
                <a:lumMod val="90000"/>
              </a:schemeClr>
            </a:solidFill>
            <a:ln>
              <a:solidFill>
                <a:schemeClr val="bg2">
                  <a:lumMod val="90000"/>
                </a:schemeClr>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May!$F$60:$F$62</c:f>
              <c:strCache>
                <c:ptCount val="3"/>
                <c:pt idx="0">
                  <c:v>Severe (1–7)</c:v>
                </c:pt>
                <c:pt idx="1">
                  <c:v>Moderate (8–12)</c:v>
                </c:pt>
                <c:pt idx="2">
                  <c:v>Intact (13–15)</c:v>
                </c:pt>
              </c:strCache>
            </c:strRef>
          </c:cat>
          <c:val>
            <c:numRef>
              <c:f>May!$H$60:$H$62</c:f>
              <c:numCache>
                <c:formatCode>General</c:formatCode>
                <c:ptCount val="3"/>
                <c:pt idx="0">
                  <c:v>0</c:v>
                </c:pt>
                <c:pt idx="1">
                  <c:v>0</c:v>
                </c:pt>
                <c:pt idx="2">
                  <c:v>0</c:v>
                </c:pt>
              </c:numCache>
            </c:numRef>
          </c:val>
          <c:extLst>
            <c:ext xmlns:c16="http://schemas.microsoft.com/office/drawing/2014/chart" uri="{C3380CC4-5D6E-409C-BE32-E72D297353CC}">
              <c16:uniqueId val="{00000000-7754-4846-92A2-173CF5CF7F26}"/>
            </c:ext>
          </c:extLst>
        </c:ser>
        <c:dLbls>
          <c:showLegendKey val="0"/>
          <c:showVal val="0"/>
          <c:showCatName val="0"/>
          <c:showSerName val="0"/>
          <c:showPercent val="0"/>
          <c:showBubbleSize val="0"/>
        </c:dLbls>
        <c:gapWidth val="219"/>
        <c:overlap val="-27"/>
        <c:axId val="1226967759"/>
        <c:axId val="1226960559"/>
      </c:barChart>
      <c:catAx>
        <c:axId val="12269677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US"/>
          </a:p>
        </c:txPr>
        <c:crossAx val="1226960559"/>
        <c:crosses val="autoZero"/>
        <c:auto val="1"/>
        <c:lblAlgn val="ctr"/>
        <c:lblOffset val="100"/>
        <c:noMultiLvlLbl val="0"/>
      </c:catAx>
      <c:valAx>
        <c:axId val="122696055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1226967759"/>
        <c:crosses val="autoZero"/>
        <c:crossBetween val="between"/>
      </c:valAx>
      <c:spPr>
        <a:noFill/>
        <a:ln>
          <a:noFill/>
        </a:ln>
        <a:effectLst/>
      </c:spPr>
    </c:plotArea>
    <c:plotVisOnly val="1"/>
    <c:dispBlanksAs val="gap"/>
    <c:showDLblsOverMax val="0"/>
  </c:chart>
  <c:spPr>
    <a:noFill/>
    <a:ln w="6350"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May!$B$143</c:f>
          <c:strCache>
            <c:ptCount val="1"/>
            <c:pt idx="0">
              <c:v>Falls by Hour </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1"/>
          <c:order val="0"/>
          <c:tx>
            <c:strRef>
              <c:f>May!$D$144</c:f>
              <c:strCache>
                <c:ptCount val="1"/>
                <c:pt idx="0">
                  <c:v>Total</c:v>
                </c:pt>
              </c:strCache>
            </c:strRef>
          </c:tx>
          <c:spPr>
            <a:solidFill>
              <a:schemeClr val="bg1">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May!$B$145:$B$168</c:f>
              <c:strCache>
                <c:ptCount val="24"/>
                <c:pt idx="0">
                  <c:v>23:00–24:00</c:v>
                </c:pt>
                <c:pt idx="1">
                  <c:v>24:00–01:00</c:v>
                </c:pt>
                <c:pt idx="2">
                  <c:v>01:00–02:00</c:v>
                </c:pt>
                <c:pt idx="3">
                  <c:v>02:00–03:00</c:v>
                </c:pt>
                <c:pt idx="4">
                  <c:v>03:00–04:00</c:v>
                </c:pt>
                <c:pt idx="5">
                  <c:v>04:00–05:00</c:v>
                </c:pt>
                <c:pt idx="6">
                  <c:v>05:00–06:00</c:v>
                </c:pt>
                <c:pt idx="7">
                  <c:v>06:00–07:00</c:v>
                </c:pt>
                <c:pt idx="8">
                  <c:v>07:00–08:00</c:v>
                </c:pt>
                <c:pt idx="9">
                  <c:v>08:00–09:00</c:v>
                </c:pt>
                <c:pt idx="10">
                  <c:v>09:00–10:00</c:v>
                </c:pt>
                <c:pt idx="11">
                  <c:v>10:00–11:00</c:v>
                </c:pt>
                <c:pt idx="12">
                  <c:v>11:00–12:00</c:v>
                </c:pt>
                <c:pt idx="13">
                  <c:v>12:00–13:00</c:v>
                </c:pt>
                <c:pt idx="14">
                  <c:v>13:00–14:00</c:v>
                </c:pt>
                <c:pt idx="15">
                  <c:v>14:00–15:00</c:v>
                </c:pt>
                <c:pt idx="16">
                  <c:v>15:00–16:00</c:v>
                </c:pt>
                <c:pt idx="17">
                  <c:v>16:00–17:00</c:v>
                </c:pt>
                <c:pt idx="18">
                  <c:v>17:00–18:00</c:v>
                </c:pt>
                <c:pt idx="19">
                  <c:v>18:00–19:00</c:v>
                </c:pt>
                <c:pt idx="20">
                  <c:v>19:00–20:00</c:v>
                </c:pt>
                <c:pt idx="21">
                  <c:v>20:00–21:00</c:v>
                </c:pt>
                <c:pt idx="22">
                  <c:v>21:00–22:00</c:v>
                </c:pt>
                <c:pt idx="23">
                  <c:v>22:00–23:00</c:v>
                </c:pt>
              </c:strCache>
            </c:strRef>
          </c:cat>
          <c:val>
            <c:numRef>
              <c:f>May!$D$145:$D$168</c:f>
              <c:numCache>
                <c:formatCode>General</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6="http://schemas.microsoft.com/office/drawing/2014/chart" uri="{C3380CC4-5D6E-409C-BE32-E72D297353CC}">
              <c16:uniqueId val="{00000000-08E1-497B-BD94-5B0115191288}"/>
            </c:ext>
          </c:extLst>
        </c:ser>
        <c:dLbls>
          <c:showLegendKey val="0"/>
          <c:showVal val="0"/>
          <c:showCatName val="0"/>
          <c:showSerName val="0"/>
          <c:showPercent val="0"/>
          <c:showBubbleSize val="0"/>
        </c:dLbls>
        <c:gapWidth val="182"/>
        <c:axId val="1658854639"/>
        <c:axId val="1658861839"/>
      </c:barChart>
      <c:catAx>
        <c:axId val="16588546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1658861839"/>
        <c:crosses val="autoZero"/>
        <c:auto val="1"/>
        <c:lblAlgn val="ctr"/>
        <c:lblOffset val="100"/>
        <c:noMultiLvlLbl val="0"/>
      </c:catAx>
      <c:valAx>
        <c:axId val="1658861839"/>
        <c:scaling>
          <c:orientation val="minMax"/>
        </c:scaling>
        <c:delete val="1"/>
        <c:axPos val="t"/>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658854639"/>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orientation="landscape"/>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May!$B$65</c:f>
          <c:strCache>
            <c:ptCount val="1"/>
            <c:pt idx="0">
              <c:v>Falls by Activity</c:v>
            </c:pt>
          </c:strCache>
        </c:strRef>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tx>
            <c:strRef>
              <c:f>May!$G$66</c:f>
              <c:strCache>
                <c:ptCount val="1"/>
                <c:pt idx="0">
                  <c:v>Total</c:v>
                </c:pt>
              </c:strCache>
            </c:strRef>
          </c:tx>
          <c:spPr>
            <a:solidFill>
              <a:schemeClr val="bg1">
                <a:lumMod val="75000"/>
              </a:schemeClr>
            </a:solidFill>
            <a:ln>
              <a:solidFill>
                <a:schemeClr val="bg1">
                  <a:lumMod val="85000"/>
                </a:schemeClr>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May!$B$67:$B$90</c:f>
              <c:strCache>
                <c:ptCount val="11"/>
                <c:pt idx="0">
                  <c:v>Ambulating with assistive device (walker, cane, wheelchair)</c:v>
                </c:pt>
                <c:pt idx="1">
                  <c:v>Ambulating with staff assistance</c:v>
                </c:pt>
                <c:pt idx="2">
                  <c:v>Ambulating without assistance or assistive device</c:v>
                </c:pt>
                <c:pt idx="3">
                  <c:v>Changing position (e.g., in bed, chair)</c:v>
                </c:pt>
                <c:pt idx="4">
                  <c:v>Dressing or undressing</c:v>
                </c:pt>
                <c:pt idx="5">
                  <c:v>Other activity</c:v>
                </c:pt>
                <c:pt idx="6">
                  <c:v>Reaching for an item</c:v>
                </c:pt>
                <c:pt idx="7">
                  <c:v>Showering or bathing</c:v>
                </c:pt>
                <c:pt idx="8">
                  <c:v>Toileting</c:v>
                </c:pt>
                <c:pt idx="9">
                  <c:v>Transferring to or from bed, chair, wheelchair, etc.</c:v>
                </c:pt>
                <c:pt idx="10">
                  <c:v>Unknown</c:v>
                </c:pt>
              </c:strCache>
            </c:strRef>
          </c:cat>
          <c:val>
            <c:numRef>
              <c:f>May!$G$67:$G$90</c:f>
              <c:numCache>
                <c:formatCode>General</c:formatCode>
                <c:ptCount val="24"/>
                <c:pt idx="0">
                  <c:v>0</c:v>
                </c:pt>
                <c:pt idx="1">
                  <c:v>0</c:v>
                </c:pt>
                <c:pt idx="2">
                  <c:v>0</c:v>
                </c:pt>
                <c:pt idx="3">
                  <c:v>0</c:v>
                </c:pt>
                <c:pt idx="4">
                  <c:v>0</c:v>
                </c:pt>
                <c:pt idx="5">
                  <c:v>0</c:v>
                </c:pt>
                <c:pt idx="6">
                  <c:v>0</c:v>
                </c:pt>
                <c:pt idx="7">
                  <c:v>0</c:v>
                </c:pt>
                <c:pt idx="8">
                  <c:v>0</c:v>
                </c:pt>
                <c:pt idx="9">
                  <c:v>0</c:v>
                </c:pt>
                <c:pt idx="10">
                  <c:v>0</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val>
          <c:extLst>
            <c:ext xmlns:c16="http://schemas.microsoft.com/office/drawing/2014/chart" uri="{C3380CC4-5D6E-409C-BE32-E72D297353CC}">
              <c16:uniqueId val="{00000000-7637-4832-A7B3-7BF80EF81CC9}"/>
            </c:ext>
          </c:extLst>
        </c:ser>
        <c:dLbls>
          <c:showLegendKey val="0"/>
          <c:showVal val="0"/>
          <c:showCatName val="0"/>
          <c:showSerName val="0"/>
          <c:showPercent val="0"/>
          <c:showBubbleSize val="0"/>
        </c:dLbls>
        <c:gapWidth val="182"/>
        <c:axId val="1658854639"/>
        <c:axId val="1658861839"/>
      </c:barChart>
      <c:catAx>
        <c:axId val="16588546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1658861839"/>
        <c:crosses val="autoZero"/>
        <c:auto val="1"/>
        <c:lblAlgn val="ctr"/>
        <c:lblOffset val="100"/>
        <c:noMultiLvlLbl val="0"/>
      </c:catAx>
      <c:valAx>
        <c:axId val="1658861839"/>
        <c:scaling>
          <c:orientation val="minMax"/>
        </c:scaling>
        <c:delete val="1"/>
        <c:axPos val="t"/>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658854639"/>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orientation="landscape"/>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5"/>
    </mc:Choice>
    <mc:Fallback>
      <c:style val="5"/>
    </mc:Fallback>
  </mc:AlternateContent>
  <c:chart>
    <c:title>
      <c:tx>
        <c:strRef>
          <c:f>May!$B$51</c:f>
          <c:strCache>
            <c:ptCount val="1"/>
            <c:pt idx="0">
              <c:v>Witnessed Falls</c:v>
            </c:pt>
          </c:strCache>
        </c:strRef>
      </c:tx>
      <c:layout>
        <c:manualLayout>
          <c:xMode val="edge"/>
          <c:yMode val="edge"/>
          <c:x val="0.28456383934819923"/>
          <c:y val="4.8263836268180225E-2"/>
        </c:manualLayout>
      </c:layout>
      <c:overlay val="0"/>
      <c:spPr>
        <a:noFill/>
        <a:ln>
          <a:noFill/>
        </a:ln>
        <a:effectLst/>
      </c:spPr>
      <c:txPr>
        <a:bodyPr rot="0" spcFirstLastPara="1" vertOverflow="ellipsis" vert="horz" wrap="square" anchor="ctr" anchorCtr="1"/>
        <a:lstStyle/>
        <a:p>
          <a:pPr>
            <a:defRPr sz="1100" b="1" i="0" u="none" strike="noStrike" kern="1200" spc="0" baseline="0">
              <a:solidFill>
                <a:sysClr val="windowText" lastClr="000000"/>
              </a:solidFill>
              <a:latin typeface="+mn-lt"/>
              <a:ea typeface="+mn-ea"/>
              <a:cs typeface="+mn-cs"/>
            </a:defRPr>
          </a:pPr>
          <a:endParaRPr lang="en-US"/>
        </a:p>
      </c:txPr>
    </c:title>
    <c:autoTitleDeleted val="0"/>
    <c:plotArea>
      <c:layout/>
      <c:pieChart>
        <c:varyColors val="1"/>
        <c:ser>
          <c:idx val="2"/>
          <c:order val="0"/>
          <c:tx>
            <c:strRef>
              <c:f>May!$D$52</c:f>
              <c:strCache>
                <c:ptCount val="1"/>
                <c:pt idx="0">
                  <c:v>Total</c:v>
                </c:pt>
              </c:strCache>
            </c:strRef>
          </c:tx>
          <c:spPr>
            <a:solidFill>
              <a:srgbClr val="F7F7F7"/>
            </a:solidFill>
            <a:ln w="19050">
              <a:solidFill>
                <a:schemeClr val="bg2">
                  <a:lumMod val="90000"/>
                </a:schemeClr>
              </a:solidFill>
            </a:ln>
          </c:spPr>
          <c:dPt>
            <c:idx val="0"/>
            <c:bubble3D val="0"/>
            <c:spPr>
              <a:solidFill>
                <a:srgbClr val="F7F7F7"/>
              </a:solidFill>
              <a:ln w="19050">
                <a:solidFill>
                  <a:schemeClr val="bg2">
                    <a:lumMod val="90000"/>
                  </a:schemeClr>
                </a:solidFill>
              </a:ln>
              <a:effectLst/>
            </c:spPr>
            <c:extLst>
              <c:ext xmlns:c16="http://schemas.microsoft.com/office/drawing/2014/chart" uri="{C3380CC4-5D6E-409C-BE32-E72D297353CC}">
                <c16:uniqueId val="{00000001-5A82-4FAC-8FEC-08ADDC99D7E7}"/>
              </c:ext>
            </c:extLst>
          </c:dPt>
          <c:dPt>
            <c:idx val="1"/>
            <c:bubble3D val="0"/>
            <c:spPr>
              <a:solidFill>
                <a:schemeClr val="bg2"/>
              </a:solidFill>
              <a:ln w="19050">
                <a:solidFill>
                  <a:schemeClr val="bg2">
                    <a:lumMod val="90000"/>
                  </a:schemeClr>
                </a:solidFill>
              </a:ln>
              <a:effectLst/>
            </c:spPr>
            <c:extLst>
              <c:ext xmlns:c16="http://schemas.microsoft.com/office/drawing/2014/chart" uri="{C3380CC4-5D6E-409C-BE32-E72D297353CC}">
                <c16:uniqueId val="{00000003-5A82-4FAC-8FEC-08ADDC99D7E7}"/>
              </c:ext>
            </c:extLst>
          </c:dPt>
          <c:dLbls>
            <c:dLbl>
              <c:idx val="0"/>
              <c:layout>
                <c:manualLayout>
                  <c:x val="6.2922200858950839E-2"/>
                  <c:y val="-5.7940247469122956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A82-4FAC-8FEC-08ADDC99D7E7}"/>
                </c:ext>
              </c:extLst>
            </c:dLbl>
            <c:dLbl>
              <c:idx val="1"/>
              <c:layout>
                <c:manualLayout>
                  <c:x val="-4.8011385115936479E-2"/>
                  <c:y val="2.6697554736401265E-2"/>
                </c:manualLayout>
              </c:layout>
              <c:spPr>
                <a:noFill/>
                <a:ln>
                  <a:noFill/>
                </a:ln>
                <a:effectLst/>
              </c:spPr>
              <c:txPr>
                <a:bodyPr rot="0" spcFirstLastPara="1" vertOverflow="ellipsis" vert="horz" wrap="square" lIns="38100" tIns="19050" rIns="38100" bIns="19050" anchor="ctr" anchorCtr="1">
                  <a:noAutofit/>
                </a:bodyPr>
                <a:lstStyle/>
                <a:p>
                  <a:pPr>
                    <a:defRPr sz="9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0"/>
              <c:showBubbleSize val="0"/>
              <c:extLst>
                <c:ext xmlns:c15="http://schemas.microsoft.com/office/drawing/2012/chart" uri="{CE6537A1-D6FC-4f65-9D91-7224C49458BB}">
                  <c15:layout>
                    <c:manualLayout>
                      <c:w val="0.24931745400710711"/>
                      <c:h val="0.11967240535812428"/>
                    </c:manualLayout>
                  </c15:layout>
                </c:ext>
                <c:ext xmlns:c16="http://schemas.microsoft.com/office/drawing/2014/chart" uri="{C3380CC4-5D6E-409C-BE32-E72D297353CC}">
                  <c16:uniqueId val="{00000003-5A82-4FAC-8FEC-08ADDC99D7E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May!$B$53:$B$54</c:f>
              <c:strCache>
                <c:ptCount val="2"/>
                <c:pt idx="0">
                  <c:v>Yes</c:v>
                </c:pt>
                <c:pt idx="1">
                  <c:v>No</c:v>
                </c:pt>
              </c:strCache>
            </c:strRef>
          </c:cat>
          <c:val>
            <c:numRef>
              <c:f>May!$D$53:$D$54</c:f>
              <c:numCache>
                <c:formatCode>General</c:formatCode>
                <c:ptCount val="2"/>
                <c:pt idx="0">
                  <c:v>0</c:v>
                </c:pt>
                <c:pt idx="1">
                  <c:v>0</c:v>
                </c:pt>
              </c:numCache>
            </c:numRef>
          </c:val>
          <c:extLst>
            <c:ext xmlns:c16="http://schemas.microsoft.com/office/drawing/2014/chart" uri="{C3380CC4-5D6E-409C-BE32-E72D297353CC}">
              <c16:uniqueId val="{00000004-5A82-4FAC-8FEC-08ADDC99D7E7}"/>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solidFill>
      <a:schemeClr val="bg1"/>
    </a:solidFill>
    <a:ln w="3175"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May!$B$171</c:f>
          <c:strCache>
            <c:ptCount val="1"/>
            <c:pt idx="0">
              <c:v>Falls by Contributing Factors</c:v>
            </c:pt>
          </c:strCache>
        </c:strRef>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4"/>
          <c:order val="0"/>
          <c:tx>
            <c:strRef>
              <c:f>May!$G$172</c:f>
              <c:strCache>
                <c:ptCount val="1"/>
                <c:pt idx="0">
                  <c:v>Total</c:v>
                </c:pt>
              </c:strCache>
            </c:strRef>
          </c:tx>
          <c:spPr>
            <a:solidFill>
              <a:schemeClr val="bg2">
                <a:lumMod val="9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May!$B$173:$B$196</c:f>
              <c:strCache>
                <c:ptCount val="11"/>
                <c:pt idx="0">
                  <c:v>Assisted/caregiver transfer</c:v>
                </c:pt>
                <c:pt idx="1">
                  <c:v>Bowel and bladder (B&amp;B) needs</c:v>
                </c:pt>
                <c:pt idx="2">
                  <c:v>Behavioral or situational</c:v>
                </c:pt>
                <c:pt idx="3">
                  <c:v>Change of condition</c:v>
                </c:pt>
                <c:pt idx="4">
                  <c:v>Environmental factors</c:v>
                </c:pt>
                <c:pt idx="5">
                  <c:v>Equipment malfunction</c:v>
                </c:pt>
                <c:pt idx="6">
                  <c:v>Equipment or assistive device</c:v>
                </c:pt>
                <c:pt idx="7">
                  <c:v>Medication related</c:v>
                </c:pt>
                <c:pt idx="8">
                  <c:v>Process(s) not followed</c:v>
                </c:pt>
                <c:pt idx="9">
                  <c:v>Resident health conditions</c:v>
                </c:pt>
                <c:pt idx="10">
                  <c:v>Staff</c:v>
                </c:pt>
              </c:strCache>
            </c:strRef>
          </c:cat>
          <c:val>
            <c:numRef>
              <c:f>May!$G$173:$G$196</c:f>
              <c:numCache>
                <c:formatCode>General</c:formatCode>
                <c:ptCount val="24"/>
                <c:pt idx="0">
                  <c:v>0</c:v>
                </c:pt>
                <c:pt idx="1">
                  <c:v>0</c:v>
                </c:pt>
                <c:pt idx="2">
                  <c:v>0</c:v>
                </c:pt>
                <c:pt idx="3">
                  <c:v>0</c:v>
                </c:pt>
                <c:pt idx="4">
                  <c:v>0</c:v>
                </c:pt>
                <c:pt idx="5">
                  <c:v>0</c:v>
                </c:pt>
                <c:pt idx="6">
                  <c:v>0</c:v>
                </c:pt>
                <c:pt idx="7">
                  <c:v>0</c:v>
                </c:pt>
                <c:pt idx="8">
                  <c:v>0</c:v>
                </c:pt>
                <c:pt idx="9">
                  <c:v>0</c:v>
                </c:pt>
                <c:pt idx="10">
                  <c:v>0</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val>
          <c:extLst>
            <c:ext xmlns:c16="http://schemas.microsoft.com/office/drawing/2014/chart" uri="{C3380CC4-5D6E-409C-BE32-E72D297353CC}">
              <c16:uniqueId val="{00000000-9B12-4307-9ECF-FD0EA5635944}"/>
            </c:ext>
          </c:extLst>
        </c:ser>
        <c:dLbls>
          <c:showLegendKey val="0"/>
          <c:showVal val="0"/>
          <c:showCatName val="0"/>
          <c:showSerName val="0"/>
          <c:showPercent val="0"/>
          <c:showBubbleSize val="0"/>
        </c:dLbls>
        <c:gapWidth val="182"/>
        <c:axId val="1658854639"/>
        <c:axId val="1658861839"/>
      </c:barChart>
      <c:catAx>
        <c:axId val="16588546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bg2">
                    <a:lumMod val="50000"/>
                  </a:schemeClr>
                </a:solidFill>
                <a:latin typeface="+mn-lt"/>
                <a:ea typeface="+mn-ea"/>
                <a:cs typeface="+mn-cs"/>
              </a:defRPr>
            </a:pPr>
            <a:endParaRPr lang="en-US"/>
          </a:p>
        </c:txPr>
        <c:crossAx val="1658861839"/>
        <c:crosses val="autoZero"/>
        <c:auto val="1"/>
        <c:lblAlgn val="ctr"/>
        <c:lblOffset val="100"/>
        <c:noMultiLvlLbl val="0"/>
      </c:catAx>
      <c:valAx>
        <c:axId val="1658861839"/>
        <c:scaling>
          <c:orientation val="minMax"/>
        </c:scaling>
        <c:delete val="1"/>
        <c:axPos val="t"/>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658854639"/>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orientation="landscape"/>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May!$F$51</c:f>
          <c:strCache>
            <c:ptCount val="1"/>
            <c:pt idx="0">
              <c:v>Fall Circumstances</c:v>
            </c:pt>
          </c:strCache>
        </c:strRef>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May!$H$52</c:f>
              <c:strCache>
                <c:ptCount val="1"/>
                <c:pt idx="0">
                  <c:v>Total</c:v>
                </c:pt>
              </c:strCache>
            </c:strRef>
          </c:tx>
          <c:spPr>
            <a:solidFill>
              <a:schemeClr val="bg2">
                <a:lumMod val="90000"/>
              </a:schemeClr>
            </a:solidFill>
            <a:ln>
              <a:solidFill>
                <a:schemeClr val="bg2">
                  <a:lumMod val="90000"/>
                </a:schemeClr>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May!$F$53:$F$55</c:f>
              <c:strCache>
                <c:ptCount val="3"/>
                <c:pt idx="0">
                  <c:v>Overwhelming Force</c:v>
                </c:pt>
                <c:pt idx="1">
                  <c:v>Intercepted</c:v>
                </c:pt>
                <c:pt idx="2">
                  <c:v>N/A</c:v>
                </c:pt>
              </c:strCache>
            </c:strRef>
          </c:cat>
          <c:val>
            <c:numRef>
              <c:f>May!$H$53:$H$55</c:f>
              <c:numCache>
                <c:formatCode>General</c:formatCode>
                <c:ptCount val="3"/>
                <c:pt idx="0">
                  <c:v>0</c:v>
                </c:pt>
                <c:pt idx="1">
                  <c:v>0</c:v>
                </c:pt>
                <c:pt idx="2">
                  <c:v>0</c:v>
                </c:pt>
              </c:numCache>
            </c:numRef>
          </c:val>
          <c:extLst>
            <c:ext xmlns:c16="http://schemas.microsoft.com/office/drawing/2014/chart" uri="{C3380CC4-5D6E-409C-BE32-E72D297353CC}">
              <c16:uniqueId val="{00000000-0ADE-4C11-80C4-CC69DBCBA611}"/>
            </c:ext>
          </c:extLst>
        </c:ser>
        <c:dLbls>
          <c:showLegendKey val="0"/>
          <c:showVal val="0"/>
          <c:showCatName val="0"/>
          <c:showSerName val="0"/>
          <c:showPercent val="0"/>
          <c:showBubbleSize val="0"/>
        </c:dLbls>
        <c:gapWidth val="219"/>
        <c:overlap val="-27"/>
        <c:axId val="1226967759"/>
        <c:axId val="1226960559"/>
      </c:barChart>
      <c:catAx>
        <c:axId val="12269677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US"/>
          </a:p>
        </c:txPr>
        <c:crossAx val="1226960559"/>
        <c:crosses val="autoZero"/>
        <c:auto val="1"/>
        <c:lblAlgn val="ctr"/>
        <c:lblOffset val="100"/>
        <c:noMultiLvlLbl val="0"/>
      </c:catAx>
      <c:valAx>
        <c:axId val="122696055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1226967759"/>
        <c:crosses val="autoZero"/>
        <c:crossBetween val="between"/>
      </c:valAx>
      <c:spPr>
        <a:noFill/>
        <a:ln>
          <a:noFill/>
        </a:ln>
        <a:effectLst/>
      </c:spPr>
    </c:plotArea>
    <c:plotVisOnly val="1"/>
    <c:dispBlanksAs val="gap"/>
    <c:showDLblsOverMax val="0"/>
  </c:chart>
  <c:spPr>
    <a:noFill/>
    <a:ln w="6350"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Jan!$B$134</c:f>
          <c:strCache>
            <c:ptCount val="1"/>
            <c:pt idx="0">
              <c:v>Falls by Shift</c:v>
            </c:pt>
          </c:strCache>
        </c:strRef>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1"/>
          <c:order val="0"/>
          <c:tx>
            <c:strRef>
              <c:f>Jan!$D$135</c:f>
              <c:strCache>
                <c:ptCount val="1"/>
                <c:pt idx="0">
                  <c:v>Total</c:v>
                </c:pt>
              </c:strCache>
            </c:strRef>
          </c:tx>
          <c:spPr>
            <a:solidFill>
              <a:schemeClr val="bg1">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Jan!$B$136:$B$140</c:f>
              <c:strCache>
                <c:ptCount val="4"/>
                <c:pt idx="0">
                  <c:v>11-7</c:v>
                </c:pt>
                <c:pt idx="1">
                  <c:v>11–7</c:v>
                </c:pt>
                <c:pt idx="2">
                  <c:v>7–3</c:v>
                </c:pt>
                <c:pt idx="3">
                  <c:v>3–11</c:v>
                </c:pt>
              </c:strCache>
            </c:strRef>
          </c:cat>
          <c:val>
            <c:numRef>
              <c:f>Jan!$D$136:$D$140</c:f>
              <c:numCache>
                <c:formatCode>General</c:formatCode>
                <c:ptCount val="5"/>
                <c:pt idx="0">
                  <c:v>0</c:v>
                </c:pt>
                <c:pt idx="1">
                  <c:v>0</c:v>
                </c:pt>
                <c:pt idx="2">
                  <c:v>0</c:v>
                </c:pt>
                <c:pt idx="3">
                  <c:v>0</c:v>
                </c:pt>
                <c:pt idx="4">
                  <c:v>#N/A</c:v>
                </c:pt>
              </c:numCache>
            </c:numRef>
          </c:val>
          <c:extLst>
            <c:ext xmlns:c16="http://schemas.microsoft.com/office/drawing/2014/chart" uri="{C3380CC4-5D6E-409C-BE32-E72D297353CC}">
              <c16:uniqueId val="{00000002-0112-4051-B1AA-EA15695F0D0B}"/>
            </c:ext>
          </c:extLst>
        </c:ser>
        <c:dLbls>
          <c:showLegendKey val="0"/>
          <c:showVal val="0"/>
          <c:showCatName val="0"/>
          <c:showSerName val="0"/>
          <c:showPercent val="0"/>
          <c:showBubbleSize val="0"/>
        </c:dLbls>
        <c:gapWidth val="219"/>
        <c:axId val="789078271"/>
        <c:axId val="789056671"/>
      </c:barChart>
      <c:catAx>
        <c:axId val="789078271"/>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US"/>
          </a:p>
        </c:txPr>
        <c:crossAx val="789056671"/>
        <c:crosses val="autoZero"/>
        <c:auto val="1"/>
        <c:lblAlgn val="ctr"/>
        <c:lblOffset val="100"/>
        <c:noMultiLvlLbl val="0"/>
      </c:catAx>
      <c:valAx>
        <c:axId val="789056671"/>
        <c:scaling>
          <c:orientation val="minMax"/>
        </c:scaling>
        <c:delete val="1"/>
        <c:axPos val="t"/>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789078271"/>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Jan!$B$134</c:f>
          <c:strCache>
            <c:ptCount val="1"/>
            <c:pt idx="0">
              <c:v>Falls by Shift</c:v>
            </c:pt>
          </c:strCache>
        </c:strRef>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tx>
            <c:strRef>
              <c:f>May!$D$135</c:f>
              <c:strCache>
                <c:ptCount val="1"/>
                <c:pt idx="0">
                  <c:v>Total</c:v>
                </c:pt>
              </c:strCache>
            </c:strRef>
          </c:tx>
          <c:spPr>
            <a:solidFill>
              <a:schemeClr val="bg1">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May!$B$136:$B$140</c:f>
              <c:strCache>
                <c:ptCount val="4"/>
                <c:pt idx="0">
                  <c:v>11-7</c:v>
                </c:pt>
                <c:pt idx="1">
                  <c:v>11–7</c:v>
                </c:pt>
                <c:pt idx="2">
                  <c:v>7–3</c:v>
                </c:pt>
                <c:pt idx="3">
                  <c:v>3–11</c:v>
                </c:pt>
              </c:strCache>
            </c:strRef>
          </c:cat>
          <c:val>
            <c:numRef>
              <c:f>May!$D$136:$D$140</c:f>
              <c:numCache>
                <c:formatCode>General</c:formatCode>
                <c:ptCount val="5"/>
                <c:pt idx="0">
                  <c:v>0</c:v>
                </c:pt>
                <c:pt idx="1">
                  <c:v>0</c:v>
                </c:pt>
                <c:pt idx="2">
                  <c:v>0</c:v>
                </c:pt>
                <c:pt idx="3">
                  <c:v>0</c:v>
                </c:pt>
                <c:pt idx="4">
                  <c:v>#N/A</c:v>
                </c:pt>
              </c:numCache>
            </c:numRef>
          </c:val>
          <c:extLst>
            <c:ext xmlns:c16="http://schemas.microsoft.com/office/drawing/2014/chart" uri="{C3380CC4-5D6E-409C-BE32-E72D297353CC}">
              <c16:uniqueId val="{00000001-1627-489E-A7E1-00BA7D6CBB65}"/>
            </c:ext>
          </c:extLst>
        </c:ser>
        <c:dLbls>
          <c:showLegendKey val="0"/>
          <c:showVal val="0"/>
          <c:showCatName val="0"/>
          <c:showSerName val="0"/>
          <c:showPercent val="0"/>
          <c:showBubbleSize val="0"/>
        </c:dLbls>
        <c:gapWidth val="219"/>
        <c:axId val="789078271"/>
        <c:axId val="789056671"/>
      </c:barChart>
      <c:catAx>
        <c:axId val="789078271"/>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US"/>
          </a:p>
        </c:txPr>
        <c:crossAx val="789056671"/>
        <c:crosses val="autoZero"/>
        <c:auto val="1"/>
        <c:lblAlgn val="ctr"/>
        <c:lblOffset val="100"/>
        <c:noMultiLvlLbl val="0"/>
      </c:catAx>
      <c:valAx>
        <c:axId val="789056671"/>
        <c:scaling>
          <c:orientation val="minMax"/>
        </c:scaling>
        <c:delete val="1"/>
        <c:axPos val="t"/>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789078271"/>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5"/>
    </mc:Choice>
    <mc:Fallback>
      <c:style val="5"/>
    </mc:Fallback>
  </mc:AlternateContent>
  <c:chart>
    <c:title>
      <c:tx>
        <c:strRef>
          <c:f>June!$B$93</c:f>
          <c:strCache>
            <c:ptCount val="1"/>
            <c:pt idx="0">
              <c:v>Falls by Location</c:v>
            </c:pt>
          </c:strCache>
        </c:strRef>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
          <c:order val="0"/>
          <c:tx>
            <c:strRef>
              <c:f>June!$D$94</c:f>
              <c:strCache>
                <c:ptCount val="1"/>
                <c:pt idx="0">
                  <c:v>Total</c:v>
                </c:pt>
              </c:strCache>
            </c:strRef>
          </c:tx>
          <c:spPr>
            <a:solidFill>
              <a:schemeClr val="accent3">
                <a:tint val="77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June!$B$95:$B$105</c:f>
              <c:strCache>
                <c:ptCount val="7"/>
                <c:pt idx="0">
                  <c:v>Activity Room</c:v>
                </c:pt>
                <c:pt idx="1">
                  <c:v>Bedroom</c:v>
                </c:pt>
                <c:pt idx="2">
                  <c:v>Bathroom</c:v>
                </c:pt>
                <c:pt idx="3">
                  <c:v>Hallway</c:v>
                </c:pt>
                <c:pt idx="4">
                  <c:v>Offsite</c:v>
                </c:pt>
                <c:pt idx="5">
                  <c:v>Shower Room</c:v>
                </c:pt>
                <c:pt idx="6">
                  <c:v>Dining Room</c:v>
                </c:pt>
              </c:strCache>
            </c:strRef>
          </c:cat>
          <c:val>
            <c:numRef>
              <c:f>June!$D$95:$D$105</c:f>
              <c:numCache>
                <c:formatCode>General</c:formatCode>
                <c:ptCount val="11"/>
                <c:pt idx="0">
                  <c:v>0</c:v>
                </c:pt>
                <c:pt idx="1">
                  <c:v>0</c:v>
                </c:pt>
                <c:pt idx="2">
                  <c:v>0</c:v>
                </c:pt>
                <c:pt idx="3">
                  <c:v>0</c:v>
                </c:pt>
                <c:pt idx="4">
                  <c:v>0</c:v>
                </c:pt>
                <c:pt idx="5">
                  <c:v>0</c:v>
                </c:pt>
                <c:pt idx="6">
                  <c:v>0</c:v>
                </c:pt>
                <c:pt idx="7">
                  <c:v>#N/A</c:v>
                </c:pt>
                <c:pt idx="8">
                  <c:v>#N/A</c:v>
                </c:pt>
                <c:pt idx="9">
                  <c:v>#N/A</c:v>
                </c:pt>
                <c:pt idx="10">
                  <c:v>#N/A</c:v>
                </c:pt>
              </c:numCache>
            </c:numRef>
          </c:val>
          <c:extLst>
            <c:ext xmlns:c16="http://schemas.microsoft.com/office/drawing/2014/chart" uri="{C3380CC4-5D6E-409C-BE32-E72D297353CC}">
              <c16:uniqueId val="{00000000-EF26-4689-8203-3B692B7AB0E6}"/>
            </c:ext>
          </c:extLst>
        </c:ser>
        <c:dLbls>
          <c:showLegendKey val="0"/>
          <c:showVal val="0"/>
          <c:showCatName val="0"/>
          <c:showSerName val="0"/>
          <c:showPercent val="0"/>
          <c:showBubbleSize val="0"/>
        </c:dLbls>
        <c:gapWidth val="219"/>
        <c:overlap val="-27"/>
        <c:axId val="1569634943"/>
        <c:axId val="1590853103"/>
      </c:barChart>
      <c:catAx>
        <c:axId val="156963494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US"/>
          </a:p>
        </c:txPr>
        <c:crossAx val="1590853103"/>
        <c:crosses val="autoZero"/>
        <c:auto val="1"/>
        <c:lblAlgn val="ctr"/>
        <c:lblOffset val="100"/>
        <c:noMultiLvlLbl val="0"/>
      </c:catAx>
      <c:valAx>
        <c:axId val="1590853103"/>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69634943"/>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3175"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June!$B$123</c:f>
          <c:strCache>
            <c:ptCount val="1"/>
            <c:pt idx="0">
              <c:v>Falls by Day of the Week </c:v>
            </c:pt>
          </c:strCache>
        </c:strRef>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
          <c:order val="0"/>
          <c:tx>
            <c:strRef>
              <c:f>June!$D$124</c:f>
              <c:strCache>
                <c:ptCount val="1"/>
                <c:pt idx="0">
                  <c:v>Total</c:v>
                </c:pt>
              </c:strCache>
            </c:strRef>
          </c:tx>
          <c:spPr>
            <a:solidFill>
              <a:schemeClr val="bg1">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June!$B$125:$B$131</c:f>
              <c:strCache>
                <c:ptCount val="7"/>
                <c:pt idx="0">
                  <c:v>Sun</c:v>
                </c:pt>
                <c:pt idx="1">
                  <c:v>Mon</c:v>
                </c:pt>
                <c:pt idx="2">
                  <c:v>Tue</c:v>
                </c:pt>
                <c:pt idx="3">
                  <c:v>Wed</c:v>
                </c:pt>
                <c:pt idx="4">
                  <c:v>Thu</c:v>
                </c:pt>
                <c:pt idx="5">
                  <c:v>Fri</c:v>
                </c:pt>
                <c:pt idx="6">
                  <c:v>Sat</c:v>
                </c:pt>
              </c:strCache>
            </c:strRef>
          </c:cat>
          <c:val>
            <c:numRef>
              <c:f>June!$D$125:$D$131</c:f>
              <c:numCache>
                <c:formatCode>General</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444E-4277-A533-471C1E011E06}"/>
            </c:ext>
          </c:extLst>
        </c:ser>
        <c:dLbls>
          <c:showLegendKey val="0"/>
          <c:showVal val="0"/>
          <c:showCatName val="0"/>
          <c:showSerName val="0"/>
          <c:showPercent val="0"/>
          <c:showBubbleSize val="0"/>
        </c:dLbls>
        <c:gapWidth val="219"/>
        <c:overlap val="-27"/>
        <c:axId val="1569634943"/>
        <c:axId val="1590853103"/>
      </c:barChart>
      <c:catAx>
        <c:axId val="156963494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US"/>
          </a:p>
        </c:txPr>
        <c:crossAx val="1590853103"/>
        <c:crosses val="autoZero"/>
        <c:auto val="1"/>
        <c:lblAlgn val="ctr"/>
        <c:lblOffset val="100"/>
        <c:noMultiLvlLbl val="0"/>
      </c:catAx>
      <c:valAx>
        <c:axId val="1590853103"/>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69634943"/>
        <c:crosses val="autoZero"/>
        <c:crossBetween val="between"/>
      </c:valAx>
      <c:spPr>
        <a:noFill/>
        <a:ln>
          <a:noFill/>
        </a:ln>
        <a:effectLst/>
      </c:spPr>
    </c:plotArea>
    <c:plotVisOnly val="1"/>
    <c:dispBlanksAs val="gap"/>
    <c:showDLblsOverMax val="0"/>
  </c:chart>
  <c:spPr>
    <a:solidFill>
      <a:schemeClr val="bg1"/>
    </a:solidFill>
    <a:ln w="3175"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June!$B$108</c:f>
          <c:strCache>
            <c:ptCount val="1"/>
            <c:pt idx="0">
              <c:v>Falls by Nursing Station </c:v>
            </c:pt>
          </c:strCache>
        </c:strRef>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
          <c:order val="0"/>
          <c:tx>
            <c:strRef>
              <c:f>June!$D$109</c:f>
              <c:strCache>
                <c:ptCount val="1"/>
                <c:pt idx="0">
                  <c:v>Total</c:v>
                </c:pt>
              </c:strCache>
            </c:strRef>
          </c:tx>
          <c:spPr>
            <a:solidFill>
              <a:schemeClr val="bg1">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June!$B$110:$B$120</c:f>
              <c:strCache>
                <c:ptCount val="5"/>
                <c:pt idx="0">
                  <c:v>1</c:v>
                </c:pt>
                <c:pt idx="1">
                  <c:v>2</c:v>
                </c:pt>
                <c:pt idx="2">
                  <c:v>3</c:v>
                </c:pt>
                <c:pt idx="3">
                  <c:v>4</c:v>
                </c:pt>
                <c:pt idx="4">
                  <c:v>5</c:v>
                </c:pt>
              </c:strCache>
            </c:strRef>
          </c:cat>
          <c:val>
            <c:numRef>
              <c:f>June!$D$110:$D$120</c:f>
              <c:numCache>
                <c:formatCode>General</c:formatCode>
                <c:ptCount val="11"/>
                <c:pt idx="0">
                  <c:v>0</c:v>
                </c:pt>
                <c:pt idx="1">
                  <c:v>0</c:v>
                </c:pt>
                <c:pt idx="2">
                  <c:v>0</c:v>
                </c:pt>
                <c:pt idx="3">
                  <c:v>0</c:v>
                </c:pt>
                <c:pt idx="4">
                  <c:v>0</c:v>
                </c:pt>
                <c:pt idx="5">
                  <c:v>#N/A</c:v>
                </c:pt>
                <c:pt idx="6">
                  <c:v>#N/A</c:v>
                </c:pt>
                <c:pt idx="7">
                  <c:v>#N/A</c:v>
                </c:pt>
                <c:pt idx="8">
                  <c:v>#N/A</c:v>
                </c:pt>
                <c:pt idx="9">
                  <c:v>#N/A</c:v>
                </c:pt>
                <c:pt idx="10">
                  <c:v>#N/A</c:v>
                </c:pt>
              </c:numCache>
            </c:numRef>
          </c:val>
          <c:extLst>
            <c:ext xmlns:c16="http://schemas.microsoft.com/office/drawing/2014/chart" uri="{C3380CC4-5D6E-409C-BE32-E72D297353CC}">
              <c16:uniqueId val="{00000000-AAF4-481C-BFF8-924BDE559C47}"/>
            </c:ext>
          </c:extLst>
        </c:ser>
        <c:dLbls>
          <c:showLegendKey val="0"/>
          <c:showVal val="0"/>
          <c:showCatName val="0"/>
          <c:showSerName val="0"/>
          <c:showPercent val="0"/>
          <c:showBubbleSize val="0"/>
        </c:dLbls>
        <c:gapWidth val="219"/>
        <c:overlap val="-27"/>
        <c:axId val="1226967759"/>
        <c:axId val="1226960559"/>
      </c:barChart>
      <c:catAx>
        <c:axId val="12269677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US"/>
          </a:p>
        </c:txPr>
        <c:crossAx val="1226960559"/>
        <c:crosses val="autoZero"/>
        <c:auto val="1"/>
        <c:lblAlgn val="ctr"/>
        <c:lblOffset val="100"/>
        <c:noMultiLvlLbl val="0"/>
      </c:catAx>
      <c:valAx>
        <c:axId val="122696055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1226967759"/>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6350"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June!$F$58</c:f>
          <c:strCache>
            <c:ptCount val="1"/>
            <c:pt idx="0">
              <c:v>Falls by BIMS Score</c:v>
            </c:pt>
          </c:strCache>
        </c:strRef>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June!$H$59</c:f>
              <c:strCache>
                <c:ptCount val="1"/>
                <c:pt idx="0">
                  <c:v>Total</c:v>
                </c:pt>
              </c:strCache>
            </c:strRef>
          </c:tx>
          <c:spPr>
            <a:solidFill>
              <a:schemeClr val="bg2">
                <a:lumMod val="90000"/>
              </a:schemeClr>
            </a:solidFill>
            <a:ln>
              <a:solidFill>
                <a:schemeClr val="bg2">
                  <a:lumMod val="90000"/>
                </a:schemeClr>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June!$F$60:$F$62</c:f>
              <c:strCache>
                <c:ptCount val="3"/>
                <c:pt idx="0">
                  <c:v>Severe (1–7)</c:v>
                </c:pt>
                <c:pt idx="1">
                  <c:v>Moderate (8–12)</c:v>
                </c:pt>
                <c:pt idx="2">
                  <c:v>Intact (13–15)</c:v>
                </c:pt>
              </c:strCache>
            </c:strRef>
          </c:cat>
          <c:val>
            <c:numRef>
              <c:f>June!$H$60:$H$62</c:f>
              <c:numCache>
                <c:formatCode>General</c:formatCode>
                <c:ptCount val="3"/>
                <c:pt idx="0">
                  <c:v>0</c:v>
                </c:pt>
                <c:pt idx="1">
                  <c:v>0</c:v>
                </c:pt>
                <c:pt idx="2">
                  <c:v>0</c:v>
                </c:pt>
              </c:numCache>
            </c:numRef>
          </c:val>
          <c:extLst>
            <c:ext xmlns:c16="http://schemas.microsoft.com/office/drawing/2014/chart" uri="{C3380CC4-5D6E-409C-BE32-E72D297353CC}">
              <c16:uniqueId val="{00000000-40D6-44C3-900E-19B1A9D57C3F}"/>
            </c:ext>
          </c:extLst>
        </c:ser>
        <c:dLbls>
          <c:showLegendKey val="0"/>
          <c:showVal val="0"/>
          <c:showCatName val="0"/>
          <c:showSerName val="0"/>
          <c:showPercent val="0"/>
          <c:showBubbleSize val="0"/>
        </c:dLbls>
        <c:gapWidth val="219"/>
        <c:overlap val="-27"/>
        <c:axId val="1226967759"/>
        <c:axId val="1226960559"/>
      </c:barChart>
      <c:catAx>
        <c:axId val="12269677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US"/>
          </a:p>
        </c:txPr>
        <c:crossAx val="1226960559"/>
        <c:crosses val="autoZero"/>
        <c:auto val="1"/>
        <c:lblAlgn val="ctr"/>
        <c:lblOffset val="100"/>
        <c:noMultiLvlLbl val="0"/>
      </c:catAx>
      <c:valAx>
        <c:axId val="122696055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1226967759"/>
        <c:crosses val="autoZero"/>
        <c:crossBetween val="between"/>
      </c:valAx>
      <c:spPr>
        <a:noFill/>
        <a:ln>
          <a:noFill/>
        </a:ln>
        <a:effectLst/>
      </c:spPr>
    </c:plotArea>
    <c:plotVisOnly val="1"/>
    <c:dispBlanksAs val="gap"/>
    <c:showDLblsOverMax val="0"/>
  </c:chart>
  <c:spPr>
    <a:noFill/>
    <a:ln w="6350"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June!$B$143</c:f>
          <c:strCache>
            <c:ptCount val="1"/>
            <c:pt idx="0">
              <c:v>Falls by Hour </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1"/>
          <c:order val="0"/>
          <c:tx>
            <c:strRef>
              <c:f>June!$D$144</c:f>
              <c:strCache>
                <c:ptCount val="1"/>
                <c:pt idx="0">
                  <c:v>Total</c:v>
                </c:pt>
              </c:strCache>
            </c:strRef>
          </c:tx>
          <c:spPr>
            <a:solidFill>
              <a:schemeClr val="bg1">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June!$B$145:$B$168</c:f>
              <c:strCache>
                <c:ptCount val="24"/>
                <c:pt idx="0">
                  <c:v>23:00–24:00</c:v>
                </c:pt>
                <c:pt idx="1">
                  <c:v>24:00–01:00</c:v>
                </c:pt>
                <c:pt idx="2">
                  <c:v>01:00–02:00</c:v>
                </c:pt>
                <c:pt idx="3">
                  <c:v>02:00–03:00</c:v>
                </c:pt>
                <c:pt idx="4">
                  <c:v>03:00–04:00</c:v>
                </c:pt>
                <c:pt idx="5">
                  <c:v>04:00–05:00</c:v>
                </c:pt>
                <c:pt idx="6">
                  <c:v>05:00–06:00</c:v>
                </c:pt>
                <c:pt idx="7">
                  <c:v>06:00–07:00</c:v>
                </c:pt>
                <c:pt idx="8">
                  <c:v>07:00–08:00</c:v>
                </c:pt>
                <c:pt idx="9">
                  <c:v>08:00–09:00</c:v>
                </c:pt>
                <c:pt idx="10">
                  <c:v>09:00–10:00</c:v>
                </c:pt>
                <c:pt idx="11">
                  <c:v>10:00–11:00</c:v>
                </c:pt>
                <c:pt idx="12">
                  <c:v>11:00–12:00</c:v>
                </c:pt>
                <c:pt idx="13">
                  <c:v>12:00–13:00</c:v>
                </c:pt>
                <c:pt idx="14">
                  <c:v>13:00–14:00</c:v>
                </c:pt>
                <c:pt idx="15">
                  <c:v>14:00–15:00</c:v>
                </c:pt>
                <c:pt idx="16">
                  <c:v>15:00–16:00</c:v>
                </c:pt>
                <c:pt idx="17">
                  <c:v>16:00–17:00</c:v>
                </c:pt>
                <c:pt idx="18">
                  <c:v>17:00–18:00</c:v>
                </c:pt>
                <c:pt idx="19">
                  <c:v>18:00–19:00</c:v>
                </c:pt>
                <c:pt idx="20">
                  <c:v>19:00–20:00</c:v>
                </c:pt>
                <c:pt idx="21">
                  <c:v>20:00–21:00</c:v>
                </c:pt>
                <c:pt idx="22">
                  <c:v>21:00–22:00</c:v>
                </c:pt>
                <c:pt idx="23">
                  <c:v>22:00–23:00</c:v>
                </c:pt>
              </c:strCache>
            </c:strRef>
          </c:cat>
          <c:val>
            <c:numRef>
              <c:f>June!$D$145:$D$168</c:f>
              <c:numCache>
                <c:formatCode>General</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6="http://schemas.microsoft.com/office/drawing/2014/chart" uri="{C3380CC4-5D6E-409C-BE32-E72D297353CC}">
              <c16:uniqueId val="{00000000-9DB8-448F-BD4E-0DB6B6F0AEE2}"/>
            </c:ext>
          </c:extLst>
        </c:ser>
        <c:dLbls>
          <c:showLegendKey val="0"/>
          <c:showVal val="0"/>
          <c:showCatName val="0"/>
          <c:showSerName val="0"/>
          <c:showPercent val="0"/>
          <c:showBubbleSize val="0"/>
        </c:dLbls>
        <c:gapWidth val="182"/>
        <c:axId val="1658854639"/>
        <c:axId val="1658861839"/>
      </c:barChart>
      <c:catAx>
        <c:axId val="16588546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1658861839"/>
        <c:crosses val="autoZero"/>
        <c:auto val="1"/>
        <c:lblAlgn val="ctr"/>
        <c:lblOffset val="100"/>
        <c:noMultiLvlLbl val="0"/>
      </c:catAx>
      <c:valAx>
        <c:axId val="1658861839"/>
        <c:scaling>
          <c:orientation val="minMax"/>
        </c:scaling>
        <c:delete val="1"/>
        <c:axPos val="t"/>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658854639"/>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orientation="landscape"/>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June!$B$65</c:f>
          <c:strCache>
            <c:ptCount val="1"/>
            <c:pt idx="0">
              <c:v>Falls by Activity</c:v>
            </c:pt>
          </c:strCache>
        </c:strRef>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tx>
            <c:strRef>
              <c:f>June!$G$66</c:f>
              <c:strCache>
                <c:ptCount val="1"/>
                <c:pt idx="0">
                  <c:v>Total</c:v>
                </c:pt>
              </c:strCache>
            </c:strRef>
          </c:tx>
          <c:spPr>
            <a:solidFill>
              <a:schemeClr val="bg1">
                <a:lumMod val="75000"/>
              </a:schemeClr>
            </a:solidFill>
            <a:ln>
              <a:solidFill>
                <a:schemeClr val="bg1">
                  <a:lumMod val="85000"/>
                </a:schemeClr>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June!$B$67:$B$90</c:f>
              <c:strCache>
                <c:ptCount val="11"/>
                <c:pt idx="0">
                  <c:v>Ambulating with assistive device (walker, cane, wheelchair)</c:v>
                </c:pt>
                <c:pt idx="1">
                  <c:v>Ambulating with staff assistance</c:v>
                </c:pt>
                <c:pt idx="2">
                  <c:v>Ambulating without assistance or assistive device</c:v>
                </c:pt>
                <c:pt idx="3">
                  <c:v>Changing position (e.g., in bed, chair)</c:v>
                </c:pt>
                <c:pt idx="4">
                  <c:v>Dressing or undressing</c:v>
                </c:pt>
                <c:pt idx="5">
                  <c:v>Other activity</c:v>
                </c:pt>
                <c:pt idx="6">
                  <c:v>Reaching for an item</c:v>
                </c:pt>
                <c:pt idx="7">
                  <c:v>Showering or bathing</c:v>
                </c:pt>
                <c:pt idx="8">
                  <c:v>Toileting</c:v>
                </c:pt>
                <c:pt idx="9">
                  <c:v>Transferring to or from bed, chair, wheelchair, etc.</c:v>
                </c:pt>
                <c:pt idx="10">
                  <c:v>Unknown</c:v>
                </c:pt>
              </c:strCache>
            </c:strRef>
          </c:cat>
          <c:val>
            <c:numRef>
              <c:f>June!$G$67:$G$90</c:f>
              <c:numCache>
                <c:formatCode>General</c:formatCode>
                <c:ptCount val="24"/>
                <c:pt idx="0">
                  <c:v>0</c:v>
                </c:pt>
                <c:pt idx="1">
                  <c:v>0</c:v>
                </c:pt>
                <c:pt idx="2">
                  <c:v>0</c:v>
                </c:pt>
                <c:pt idx="3">
                  <c:v>0</c:v>
                </c:pt>
                <c:pt idx="4">
                  <c:v>0</c:v>
                </c:pt>
                <c:pt idx="5">
                  <c:v>0</c:v>
                </c:pt>
                <c:pt idx="6">
                  <c:v>0</c:v>
                </c:pt>
                <c:pt idx="7">
                  <c:v>0</c:v>
                </c:pt>
                <c:pt idx="8">
                  <c:v>0</c:v>
                </c:pt>
                <c:pt idx="9">
                  <c:v>0</c:v>
                </c:pt>
                <c:pt idx="10">
                  <c:v>0</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val>
          <c:extLst>
            <c:ext xmlns:c16="http://schemas.microsoft.com/office/drawing/2014/chart" uri="{C3380CC4-5D6E-409C-BE32-E72D297353CC}">
              <c16:uniqueId val="{00000000-D205-49B8-9AB2-1633D8ECA548}"/>
            </c:ext>
          </c:extLst>
        </c:ser>
        <c:dLbls>
          <c:showLegendKey val="0"/>
          <c:showVal val="0"/>
          <c:showCatName val="0"/>
          <c:showSerName val="0"/>
          <c:showPercent val="0"/>
          <c:showBubbleSize val="0"/>
        </c:dLbls>
        <c:gapWidth val="182"/>
        <c:axId val="1658854639"/>
        <c:axId val="1658861839"/>
      </c:barChart>
      <c:catAx>
        <c:axId val="16588546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1658861839"/>
        <c:crosses val="autoZero"/>
        <c:auto val="1"/>
        <c:lblAlgn val="ctr"/>
        <c:lblOffset val="100"/>
        <c:noMultiLvlLbl val="0"/>
      </c:catAx>
      <c:valAx>
        <c:axId val="1658861839"/>
        <c:scaling>
          <c:orientation val="minMax"/>
        </c:scaling>
        <c:delete val="1"/>
        <c:axPos val="t"/>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658854639"/>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orientation="landscape"/>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5"/>
    </mc:Choice>
    <mc:Fallback>
      <c:style val="5"/>
    </mc:Fallback>
  </mc:AlternateContent>
  <c:chart>
    <c:title>
      <c:tx>
        <c:strRef>
          <c:f>June!$B$51</c:f>
          <c:strCache>
            <c:ptCount val="1"/>
            <c:pt idx="0">
              <c:v>Witnessed Falls</c:v>
            </c:pt>
          </c:strCache>
        </c:strRef>
      </c:tx>
      <c:layout>
        <c:manualLayout>
          <c:xMode val="edge"/>
          <c:yMode val="edge"/>
          <c:x val="0.28456383934819923"/>
          <c:y val="4.8263836268180225E-2"/>
        </c:manualLayout>
      </c:layout>
      <c:overlay val="0"/>
      <c:spPr>
        <a:noFill/>
        <a:ln>
          <a:noFill/>
        </a:ln>
        <a:effectLst/>
      </c:spPr>
      <c:txPr>
        <a:bodyPr rot="0" spcFirstLastPara="1" vertOverflow="ellipsis" vert="horz" wrap="square" anchor="ctr" anchorCtr="1"/>
        <a:lstStyle/>
        <a:p>
          <a:pPr>
            <a:defRPr sz="1100" b="1" i="0" u="none" strike="noStrike" kern="1200" spc="0" baseline="0">
              <a:solidFill>
                <a:sysClr val="windowText" lastClr="000000"/>
              </a:solidFill>
              <a:latin typeface="+mn-lt"/>
              <a:ea typeface="+mn-ea"/>
              <a:cs typeface="+mn-cs"/>
            </a:defRPr>
          </a:pPr>
          <a:endParaRPr lang="en-US"/>
        </a:p>
      </c:txPr>
    </c:title>
    <c:autoTitleDeleted val="0"/>
    <c:plotArea>
      <c:layout/>
      <c:pieChart>
        <c:varyColors val="1"/>
        <c:ser>
          <c:idx val="2"/>
          <c:order val="0"/>
          <c:tx>
            <c:strRef>
              <c:f>June!$D$52</c:f>
              <c:strCache>
                <c:ptCount val="1"/>
                <c:pt idx="0">
                  <c:v>Total</c:v>
                </c:pt>
              </c:strCache>
            </c:strRef>
          </c:tx>
          <c:spPr>
            <a:solidFill>
              <a:srgbClr val="F7F7F7"/>
            </a:solidFill>
            <a:ln w="19050">
              <a:solidFill>
                <a:schemeClr val="bg2">
                  <a:lumMod val="90000"/>
                </a:schemeClr>
              </a:solidFill>
            </a:ln>
          </c:spPr>
          <c:dPt>
            <c:idx val="0"/>
            <c:bubble3D val="0"/>
            <c:spPr>
              <a:solidFill>
                <a:srgbClr val="F7F7F7"/>
              </a:solidFill>
              <a:ln w="19050">
                <a:solidFill>
                  <a:schemeClr val="bg2">
                    <a:lumMod val="90000"/>
                  </a:schemeClr>
                </a:solidFill>
              </a:ln>
              <a:effectLst/>
            </c:spPr>
            <c:extLst>
              <c:ext xmlns:c16="http://schemas.microsoft.com/office/drawing/2014/chart" uri="{C3380CC4-5D6E-409C-BE32-E72D297353CC}">
                <c16:uniqueId val="{00000001-BFC6-430C-A11E-067A3578808F}"/>
              </c:ext>
            </c:extLst>
          </c:dPt>
          <c:dPt>
            <c:idx val="1"/>
            <c:bubble3D val="0"/>
            <c:spPr>
              <a:solidFill>
                <a:schemeClr val="bg2"/>
              </a:solidFill>
              <a:ln w="19050">
                <a:solidFill>
                  <a:schemeClr val="bg2">
                    <a:lumMod val="90000"/>
                  </a:schemeClr>
                </a:solidFill>
              </a:ln>
              <a:effectLst/>
            </c:spPr>
            <c:extLst>
              <c:ext xmlns:c16="http://schemas.microsoft.com/office/drawing/2014/chart" uri="{C3380CC4-5D6E-409C-BE32-E72D297353CC}">
                <c16:uniqueId val="{00000003-BFC6-430C-A11E-067A3578808F}"/>
              </c:ext>
            </c:extLst>
          </c:dPt>
          <c:dLbls>
            <c:dLbl>
              <c:idx val="0"/>
              <c:layout>
                <c:manualLayout>
                  <c:x val="6.2922200858950839E-2"/>
                  <c:y val="-5.7940247469122956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FC6-430C-A11E-067A3578808F}"/>
                </c:ext>
              </c:extLst>
            </c:dLbl>
            <c:dLbl>
              <c:idx val="1"/>
              <c:layout>
                <c:manualLayout>
                  <c:x val="-4.8011385115936479E-2"/>
                  <c:y val="2.6697554736401265E-2"/>
                </c:manualLayout>
              </c:layout>
              <c:spPr>
                <a:noFill/>
                <a:ln>
                  <a:noFill/>
                </a:ln>
                <a:effectLst/>
              </c:spPr>
              <c:txPr>
                <a:bodyPr rot="0" spcFirstLastPara="1" vertOverflow="ellipsis" vert="horz" wrap="square" lIns="38100" tIns="19050" rIns="38100" bIns="19050" anchor="ctr" anchorCtr="1">
                  <a:noAutofit/>
                </a:bodyPr>
                <a:lstStyle/>
                <a:p>
                  <a:pPr>
                    <a:defRPr sz="9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0"/>
              <c:showBubbleSize val="0"/>
              <c:extLst>
                <c:ext xmlns:c15="http://schemas.microsoft.com/office/drawing/2012/chart" uri="{CE6537A1-D6FC-4f65-9D91-7224C49458BB}">
                  <c15:layout>
                    <c:manualLayout>
                      <c:w val="0.24931745400710711"/>
                      <c:h val="0.11967240535812428"/>
                    </c:manualLayout>
                  </c15:layout>
                </c:ext>
                <c:ext xmlns:c16="http://schemas.microsoft.com/office/drawing/2014/chart" uri="{C3380CC4-5D6E-409C-BE32-E72D297353CC}">
                  <c16:uniqueId val="{00000003-BFC6-430C-A11E-067A3578808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June!$B$53:$B$54</c:f>
              <c:strCache>
                <c:ptCount val="2"/>
                <c:pt idx="0">
                  <c:v>Yes</c:v>
                </c:pt>
                <c:pt idx="1">
                  <c:v>No</c:v>
                </c:pt>
              </c:strCache>
            </c:strRef>
          </c:cat>
          <c:val>
            <c:numRef>
              <c:f>June!$D$53:$D$54</c:f>
              <c:numCache>
                <c:formatCode>General</c:formatCode>
                <c:ptCount val="2"/>
                <c:pt idx="0">
                  <c:v>0</c:v>
                </c:pt>
                <c:pt idx="1">
                  <c:v>0</c:v>
                </c:pt>
              </c:numCache>
            </c:numRef>
          </c:val>
          <c:extLst>
            <c:ext xmlns:c16="http://schemas.microsoft.com/office/drawing/2014/chart" uri="{C3380CC4-5D6E-409C-BE32-E72D297353CC}">
              <c16:uniqueId val="{00000004-BFC6-430C-A11E-067A3578808F}"/>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solidFill>
      <a:schemeClr val="bg1"/>
    </a:solidFill>
    <a:ln w="3175"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June!$B$171</c:f>
          <c:strCache>
            <c:ptCount val="1"/>
            <c:pt idx="0">
              <c:v>Falls by Contributing Factors</c:v>
            </c:pt>
          </c:strCache>
        </c:strRef>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4"/>
          <c:order val="0"/>
          <c:tx>
            <c:strRef>
              <c:f>June!$G$172</c:f>
              <c:strCache>
                <c:ptCount val="1"/>
                <c:pt idx="0">
                  <c:v>Total</c:v>
                </c:pt>
              </c:strCache>
            </c:strRef>
          </c:tx>
          <c:spPr>
            <a:solidFill>
              <a:schemeClr val="bg2">
                <a:lumMod val="9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June!$B$173:$B$196</c:f>
              <c:strCache>
                <c:ptCount val="11"/>
                <c:pt idx="0">
                  <c:v>Assisted/caregiver transfer</c:v>
                </c:pt>
                <c:pt idx="1">
                  <c:v>Bowel and bladder (B&amp;B) needs</c:v>
                </c:pt>
                <c:pt idx="2">
                  <c:v>Behavioral or situational</c:v>
                </c:pt>
                <c:pt idx="3">
                  <c:v>Change of condition</c:v>
                </c:pt>
                <c:pt idx="4">
                  <c:v>Environmental factors</c:v>
                </c:pt>
                <c:pt idx="5">
                  <c:v>Equipment malfunction</c:v>
                </c:pt>
                <c:pt idx="6">
                  <c:v>Equipment or assistive device</c:v>
                </c:pt>
                <c:pt idx="7">
                  <c:v>Medication related</c:v>
                </c:pt>
                <c:pt idx="8">
                  <c:v>Process(s) not followed</c:v>
                </c:pt>
                <c:pt idx="9">
                  <c:v>Resident health conditions</c:v>
                </c:pt>
                <c:pt idx="10">
                  <c:v>Staff</c:v>
                </c:pt>
              </c:strCache>
            </c:strRef>
          </c:cat>
          <c:val>
            <c:numRef>
              <c:f>June!$G$173:$G$196</c:f>
              <c:numCache>
                <c:formatCode>General</c:formatCode>
                <c:ptCount val="24"/>
                <c:pt idx="0">
                  <c:v>0</c:v>
                </c:pt>
                <c:pt idx="1">
                  <c:v>0</c:v>
                </c:pt>
                <c:pt idx="2">
                  <c:v>0</c:v>
                </c:pt>
                <c:pt idx="3">
                  <c:v>0</c:v>
                </c:pt>
                <c:pt idx="4">
                  <c:v>0</c:v>
                </c:pt>
                <c:pt idx="5">
                  <c:v>0</c:v>
                </c:pt>
                <c:pt idx="6">
                  <c:v>0</c:v>
                </c:pt>
                <c:pt idx="7">
                  <c:v>0</c:v>
                </c:pt>
                <c:pt idx="8">
                  <c:v>0</c:v>
                </c:pt>
                <c:pt idx="9">
                  <c:v>0</c:v>
                </c:pt>
                <c:pt idx="10">
                  <c:v>0</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val>
          <c:extLst>
            <c:ext xmlns:c16="http://schemas.microsoft.com/office/drawing/2014/chart" uri="{C3380CC4-5D6E-409C-BE32-E72D297353CC}">
              <c16:uniqueId val="{00000000-8E42-4FDD-90E9-6B6517F82C83}"/>
            </c:ext>
          </c:extLst>
        </c:ser>
        <c:dLbls>
          <c:showLegendKey val="0"/>
          <c:showVal val="0"/>
          <c:showCatName val="0"/>
          <c:showSerName val="0"/>
          <c:showPercent val="0"/>
          <c:showBubbleSize val="0"/>
        </c:dLbls>
        <c:gapWidth val="182"/>
        <c:axId val="1658854639"/>
        <c:axId val="1658861839"/>
      </c:barChart>
      <c:catAx>
        <c:axId val="16588546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bg2">
                    <a:lumMod val="50000"/>
                  </a:schemeClr>
                </a:solidFill>
                <a:latin typeface="+mn-lt"/>
                <a:ea typeface="+mn-ea"/>
                <a:cs typeface="+mn-cs"/>
              </a:defRPr>
            </a:pPr>
            <a:endParaRPr lang="en-US"/>
          </a:p>
        </c:txPr>
        <c:crossAx val="1658861839"/>
        <c:crosses val="autoZero"/>
        <c:auto val="1"/>
        <c:lblAlgn val="ctr"/>
        <c:lblOffset val="100"/>
        <c:noMultiLvlLbl val="0"/>
      </c:catAx>
      <c:valAx>
        <c:axId val="1658861839"/>
        <c:scaling>
          <c:orientation val="minMax"/>
        </c:scaling>
        <c:delete val="1"/>
        <c:axPos val="t"/>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658854639"/>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orientation="landscape"/>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June!$F$51</c:f>
          <c:strCache>
            <c:ptCount val="1"/>
            <c:pt idx="0">
              <c:v>Fall Circumstances</c:v>
            </c:pt>
          </c:strCache>
        </c:strRef>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June!$H$52</c:f>
              <c:strCache>
                <c:ptCount val="1"/>
                <c:pt idx="0">
                  <c:v>Total</c:v>
                </c:pt>
              </c:strCache>
            </c:strRef>
          </c:tx>
          <c:spPr>
            <a:solidFill>
              <a:schemeClr val="bg2">
                <a:lumMod val="90000"/>
              </a:schemeClr>
            </a:solidFill>
            <a:ln>
              <a:solidFill>
                <a:schemeClr val="bg2">
                  <a:lumMod val="90000"/>
                </a:schemeClr>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June!$F$53:$F$55</c:f>
              <c:strCache>
                <c:ptCount val="3"/>
                <c:pt idx="0">
                  <c:v>Overwhelming Force</c:v>
                </c:pt>
                <c:pt idx="1">
                  <c:v>Intercepted</c:v>
                </c:pt>
                <c:pt idx="2">
                  <c:v>N/A</c:v>
                </c:pt>
              </c:strCache>
            </c:strRef>
          </c:cat>
          <c:val>
            <c:numRef>
              <c:f>June!$H$53:$H$55</c:f>
              <c:numCache>
                <c:formatCode>General</c:formatCode>
                <c:ptCount val="3"/>
                <c:pt idx="0">
                  <c:v>0</c:v>
                </c:pt>
                <c:pt idx="1">
                  <c:v>0</c:v>
                </c:pt>
                <c:pt idx="2">
                  <c:v>0</c:v>
                </c:pt>
              </c:numCache>
            </c:numRef>
          </c:val>
          <c:extLst>
            <c:ext xmlns:c16="http://schemas.microsoft.com/office/drawing/2014/chart" uri="{C3380CC4-5D6E-409C-BE32-E72D297353CC}">
              <c16:uniqueId val="{00000000-9BEE-4ECE-A23E-84E864BB3F19}"/>
            </c:ext>
          </c:extLst>
        </c:ser>
        <c:dLbls>
          <c:showLegendKey val="0"/>
          <c:showVal val="0"/>
          <c:showCatName val="0"/>
          <c:showSerName val="0"/>
          <c:showPercent val="0"/>
          <c:showBubbleSize val="0"/>
        </c:dLbls>
        <c:gapWidth val="219"/>
        <c:overlap val="-27"/>
        <c:axId val="1226967759"/>
        <c:axId val="1226960559"/>
      </c:barChart>
      <c:catAx>
        <c:axId val="12269677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US"/>
          </a:p>
        </c:txPr>
        <c:crossAx val="1226960559"/>
        <c:crosses val="autoZero"/>
        <c:auto val="1"/>
        <c:lblAlgn val="ctr"/>
        <c:lblOffset val="100"/>
        <c:noMultiLvlLbl val="0"/>
      </c:catAx>
      <c:valAx>
        <c:axId val="122696055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1226967759"/>
        <c:crosses val="autoZero"/>
        <c:crossBetween val="between"/>
      </c:valAx>
      <c:spPr>
        <a:noFill/>
        <a:ln>
          <a:noFill/>
        </a:ln>
        <a:effectLst/>
      </c:spPr>
    </c:plotArea>
    <c:plotVisOnly val="1"/>
    <c:dispBlanksAs val="gap"/>
    <c:showDLblsOverMax val="0"/>
  </c:chart>
  <c:spPr>
    <a:noFill/>
    <a:ln w="6350"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Jan!$B$143</c:f>
          <c:strCache>
            <c:ptCount val="1"/>
            <c:pt idx="0">
              <c:v>Falls by Hour </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1"/>
          <c:order val="0"/>
          <c:tx>
            <c:strRef>
              <c:f>Jan!$D$144</c:f>
              <c:strCache>
                <c:ptCount val="1"/>
                <c:pt idx="0">
                  <c:v>Total</c:v>
                </c:pt>
              </c:strCache>
            </c:strRef>
          </c:tx>
          <c:spPr>
            <a:solidFill>
              <a:schemeClr val="bg1">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Jan!$B$145:$B$168</c:f>
              <c:strCache>
                <c:ptCount val="24"/>
                <c:pt idx="0">
                  <c:v>23:00–24:00</c:v>
                </c:pt>
                <c:pt idx="1">
                  <c:v>24:00–01:00</c:v>
                </c:pt>
                <c:pt idx="2">
                  <c:v>01:00–02:00</c:v>
                </c:pt>
                <c:pt idx="3">
                  <c:v>02:00–03:00</c:v>
                </c:pt>
                <c:pt idx="4">
                  <c:v>03:00–04:00</c:v>
                </c:pt>
                <c:pt idx="5">
                  <c:v>04:00–05:00</c:v>
                </c:pt>
                <c:pt idx="6">
                  <c:v>05:00–06:00</c:v>
                </c:pt>
                <c:pt idx="7">
                  <c:v>06:00–07:00</c:v>
                </c:pt>
                <c:pt idx="8">
                  <c:v>07:00–08:00</c:v>
                </c:pt>
                <c:pt idx="9">
                  <c:v>08:00–09:00</c:v>
                </c:pt>
                <c:pt idx="10">
                  <c:v>09:00–10:00</c:v>
                </c:pt>
                <c:pt idx="11">
                  <c:v>10:00–11:00</c:v>
                </c:pt>
                <c:pt idx="12">
                  <c:v>11:00–12:00</c:v>
                </c:pt>
                <c:pt idx="13">
                  <c:v>12:00–13:00</c:v>
                </c:pt>
                <c:pt idx="14">
                  <c:v>13:00–14:00</c:v>
                </c:pt>
                <c:pt idx="15">
                  <c:v>14:00–15:00</c:v>
                </c:pt>
                <c:pt idx="16">
                  <c:v>15:00–16:00</c:v>
                </c:pt>
                <c:pt idx="17">
                  <c:v>16:00–17:00</c:v>
                </c:pt>
                <c:pt idx="18">
                  <c:v>17:00–18:00</c:v>
                </c:pt>
                <c:pt idx="19">
                  <c:v>18:00–19:00</c:v>
                </c:pt>
                <c:pt idx="20">
                  <c:v>19:00–20:00</c:v>
                </c:pt>
                <c:pt idx="21">
                  <c:v>20:00–21:00</c:v>
                </c:pt>
                <c:pt idx="22">
                  <c:v>21:00–22:00</c:v>
                </c:pt>
                <c:pt idx="23">
                  <c:v>22:00–23:00</c:v>
                </c:pt>
              </c:strCache>
            </c:strRef>
          </c:cat>
          <c:val>
            <c:numRef>
              <c:f>Jan!$D$145:$D$168</c:f>
              <c:numCache>
                <c:formatCode>General</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6="http://schemas.microsoft.com/office/drawing/2014/chart" uri="{C3380CC4-5D6E-409C-BE32-E72D297353CC}">
              <c16:uniqueId val="{00000002-1891-4C8B-9078-B49F8DC2F10A}"/>
            </c:ext>
          </c:extLst>
        </c:ser>
        <c:dLbls>
          <c:showLegendKey val="0"/>
          <c:showVal val="0"/>
          <c:showCatName val="0"/>
          <c:showSerName val="0"/>
          <c:showPercent val="0"/>
          <c:showBubbleSize val="0"/>
        </c:dLbls>
        <c:gapWidth val="182"/>
        <c:axId val="1658854639"/>
        <c:axId val="1658861839"/>
      </c:barChart>
      <c:catAx>
        <c:axId val="16588546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1658861839"/>
        <c:crosses val="autoZero"/>
        <c:auto val="1"/>
        <c:lblAlgn val="ctr"/>
        <c:lblOffset val="100"/>
        <c:noMultiLvlLbl val="0"/>
      </c:catAx>
      <c:valAx>
        <c:axId val="1658861839"/>
        <c:scaling>
          <c:orientation val="minMax"/>
        </c:scaling>
        <c:delete val="1"/>
        <c:axPos val="t"/>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658854639"/>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orientation="landscape"/>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Jan!$B$134</c:f>
          <c:strCache>
            <c:ptCount val="1"/>
            <c:pt idx="0">
              <c:v>Falls by Shift</c:v>
            </c:pt>
          </c:strCache>
        </c:strRef>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tx>
            <c:strRef>
              <c:f>June!$D$135</c:f>
              <c:strCache>
                <c:ptCount val="1"/>
                <c:pt idx="0">
                  <c:v>Total</c:v>
                </c:pt>
              </c:strCache>
            </c:strRef>
          </c:tx>
          <c:spPr>
            <a:solidFill>
              <a:schemeClr val="bg1">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June!$B$136:$B$140</c:f>
              <c:strCache>
                <c:ptCount val="4"/>
                <c:pt idx="0">
                  <c:v>11-7</c:v>
                </c:pt>
                <c:pt idx="1">
                  <c:v>11–7</c:v>
                </c:pt>
                <c:pt idx="2">
                  <c:v>7–3</c:v>
                </c:pt>
                <c:pt idx="3">
                  <c:v>3–11</c:v>
                </c:pt>
              </c:strCache>
            </c:strRef>
          </c:cat>
          <c:val>
            <c:numRef>
              <c:f>June!$D$136:$D$140</c:f>
              <c:numCache>
                <c:formatCode>General</c:formatCode>
                <c:ptCount val="5"/>
                <c:pt idx="0">
                  <c:v>0</c:v>
                </c:pt>
                <c:pt idx="1">
                  <c:v>0</c:v>
                </c:pt>
                <c:pt idx="2">
                  <c:v>0</c:v>
                </c:pt>
                <c:pt idx="3">
                  <c:v>0</c:v>
                </c:pt>
                <c:pt idx="4">
                  <c:v>#N/A</c:v>
                </c:pt>
              </c:numCache>
            </c:numRef>
          </c:val>
          <c:extLst>
            <c:ext xmlns:c16="http://schemas.microsoft.com/office/drawing/2014/chart" uri="{C3380CC4-5D6E-409C-BE32-E72D297353CC}">
              <c16:uniqueId val="{00000001-45F9-41A9-B6BE-176DDF4FA992}"/>
            </c:ext>
          </c:extLst>
        </c:ser>
        <c:dLbls>
          <c:showLegendKey val="0"/>
          <c:showVal val="0"/>
          <c:showCatName val="0"/>
          <c:showSerName val="0"/>
          <c:showPercent val="0"/>
          <c:showBubbleSize val="0"/>
        </c:dLbls>
        <c:gapWidth val="219"/>
        <c:axId val="789078271"/>
        <c:axId val="789056671"/>
      </c:barChart>
      <c:catAx>
        <c:axId val="789078271"/>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US"/>
          </a:p>
        </c:txPr>
        <c:crossAx val="789056671"/>
        <c:crosses val="autoZero"/>
        <c:auto val="1"/>
        <c:lblAlgn val="ctr"/>
        <c:lblOffset val="100"/>
        <c:noMultiLvlLbl val="0"/>
      </c:catAx>
      <c:valAx>
        <c:axId val="789056671"/>
        <c:scaling>
          <c:orientation val="minMax"/>
        </c:scaling>
        <c:delete val="1"/>
        <c:axPos val="t"/>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789078271"/>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5"/>
    </mc:Choice>
    <mc:Fallback>
      <c:style val="5"/>
    </mc:Fallback>
  </mc:AlternateContent>
  <c:chart>
    <c:title>
      <c:tx>
        <c:strRef>
          <c:f>July!$B$93</c:f>
          <c:strCache>
            <c:ptCount val="1"/>
            <c:pt idx="0">
              <c:v>Falls by Location</c:v>
            </c:pt>
          </c:strCache>
        </c:strRef>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
          <c:order val="0"/>
          <c:tx>
            <c:strRef>
              <c:f>July!$D$94</c:f>
              <c:strCache>
                <c:ptCount val="1"/>
                <c:pt idx="0">
                  <c:v>Total</c:v>
                </c:pt>
              </c:strCache>
            </c:strRef>
          </c:tx>
          <c:spPr>
            <a:solidFill>
              <a:schemeClr val="accent3">
                <a:tint val="77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July!$B$95:$B$105</c:f>
              <c:strCache>
                <c:ptCount val="7"/>
                <c:pt idx="0">
                  <c:v>Activity Room</c:v>
                </c:pt>
                <c:pt idx="1">
                  <c:v>Bedroom</c:v>
                </c:pt>
                <c:pt idx="2">
                  <c:v>Bathroom</c:v>
                </c:pt>
                <c:pt idx="3">
                  <c:v>Hallway</c:v>
                </c:pt>
                <c:pt idx="4">
                  <c:v>Offsite</c:v>
                </c:pt>
                <c:pt idx="5">
                  <c:v>Shower Room</c:v>
                </c:pt>
                <c:pt idx="6">
                  <c:v>Dining Room</c:v>
                </c:pt>
              </c:strCache>
            </c:strRef>
          </c:cat>
          <c:val>
            <c:numRef>
              <c:f>July!$D$95:$D$105</c:f>
              <c:numCache>
                <c:formatCode>General</c:formatCode>
                <c:ptCount val="11"/>
                <c:pt idx="0">
                  <c:v>0</c:v>
                </c:pt>
                <c:pt idx="1">
                  <c:v>0</c:v>
                </c:pt>
                <c:pt idx="2">
                  <c:v>0</c:v>
                </c:pt>
                <c:pt idx="3">
                  <c:v>0</c:v>
                </c:pt>
                <c:pt idx="4">
                  <c:v>0</c:v>
                </c:pt>
                <c:pt idx="5">
                  <c:v>0</c:v>
                </c:pt>
                <c:pt idx="6">
                  <c:v>0</c:v>
                </c:pt>
                <c:pt idx="7">
                  <c:v>#N/A</c:v>
                </c:pt>
                <c:pt idx="8">
                  <c:v>#N/A</c:v>
                </c:pt>
                <c:pt idx="9">
                  <c:v>#N/A</c:v>
                </c:pt>
                <c:pt idx="10">
                  <c:v>#N/A</c:v>
                </c:pt>
              </c:numCache>
            </c:numRef>
          </c:val>
          <c:extLst>
            <c:ext xmlns:c16="http://schemas.microsoft.com/office/drawing/2014/chart" uri="{C3380CC4-5D6E-409C-BE32-E72D297353CC}">
              <c16:uniqueId val="{00000000-13B1-4704-A19D-30F6F54B21DB}"/>
            </c:ext>
          </c:extLst>
        </c:ser>
        <c:dLbls>
          <c:showLegendKey val="0"/>
          <c:showVal val="0"/>
          <c:showCatName val="0"/>
          <c:showSerName val="0"/>
          <c:showPercent val="0"/>
          <c:showBubbleSize val="0"/>
        </c:dLbls>
        <c:gapWidth val="219"/>
        <c:overlap val="-27"/>
        <c:axId val="1569634943"/>
        <c:axId val="1590853103"/>
      </c:barChart>
      <c:catAx>
        <c:axId val="156963494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US"/>
          </a:p>
        </c:txPr>
        <c:crossAx val="1590853103"/>
        <c:crosses val="autoZero"/>
        <c:auto val="1"/>
        <c:lblAlgn val="ctr"/>
        <c:lblOffset val="100"/>
        <c:noMultiLvlLbl val="0"/>
      </c:catAx>
      <c:valAx>
        <c:axId val="1590853103"/>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69634943"/>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3175"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July!$B$123</c:f>
          <c:strCache>
            <c:ptCount val="1"/>
            <c:pt idx="0">
              <c:v>Falls by Day of the Week </c:v>
            </c:pt>
          </c:strCache>
        </c:strRef>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
          <c:order val="0"/>
          <c:tx>
            <c:strRef>
              <c:f>July!$D$124</c:f>
              <c:strCache>
                <c:ptCount val="1"/>
                <c:pt idx="0">
                  <c:v>Total</c:v>
                </c:pt>
              </c:strCache>
            </c:strRef>
          </c:tx>
          <c:spPr>
            <a:solidFill>
              <a:schemeClr val="bg1">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July!$B$125:$B$131</c:f>
              <c:strCache>
                <c:ptCount val="7"/>
                <c:pt idx="0">
                  <c:v>Sun</c:v>
                </c:pt>
                <c:pt idx="1">
                  <c:v>Mon</c:v>
                </c:pt>
                <c:pt idx="2">
                  <c:v>Tue</c:v>
                </c:pt>
                <c:pt idx="3">
                  <c:v>Wed</c:v>
                </c:pt>
                <c:pt idx="4">
                  <c:v>Thu</c:v>
                </c:pt>
                <c:pt idx="5">
                  <c:v>Fri</c:v>
                </c:pt>
                <c:pt idx="6">
                  <c:v>Sat</c:v>
                </c:pt>
              </c:strCache>
            </c:strRef>
          </c:cat>
          <c:val>
            <c:numRef>
              <c:f>July!$D$125:$D$131</c:f>
              <c:numCache>
                <c:formatCode>General</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88CB-4BDC-A1A2-BFBEC3F5BEC4}"/>
            </c:ext>
          </c:extLst>
        </c:ser>
        <c:dLbls>
          <c:showLegendKey val="0"/>
          <c:showVal val="0"/>
          <c:showCatName val="0"/>
          <c:showSerName val="0"/>
          <c:showPercent val="0"/>
          <c:showBubbleSize val="0"/>
        </c:dLbls>
        <c:gapWidth val="219"/>
        <c:overlap val="-27"/>
        <c:axId val="1569634943"/>
        <c:axId val="1590853103"/>
      </c:barChart>
      <c:catAx>
        <c:axId val="156963494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US"/>
          </a:p>
        </c:txPr>
        <c:crossAx val="1590853103"/>
        <c:crosses val="autoZero"/>
        <c:auto val="1"/>
        <c:lblAlgn val="ctr"/>
        <c:lblOffset val="100"/>
        <c:noMultiLvlLbl val="0"/>
      </c:catAx>
      <c:valAx>
        <c:axId val="1590853103"/>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69634943"/>
        <c:crosses val="autoZero"/>
        <c:crossBetween val="between"/>
      </c:valAx>
      <c:spPr>
        <a:noFill/>
        <a:ln>
          <a:noFill/>
        </a:ln>
        <a:effectLst/>
      </c:spPr>
    </c:plotArea>
    <c:plotVisOnly val="1"/>
    <c:dispBlanksAs val="gap"/>
    <c:showDLblsOverMax val="0"/>
  </c:chart>
  <c:spPr>
    <a:solidFill>
      <a:schemeClr val="bg1"/>
    </a:solidFill>
    <a:ln w="3175"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July!$B$108</c:f>
          <c:strCache>
            <c:ptCount val="1"/>
            <c:pt idx="0">
              <c:v>Falls by Nursing Station </c:v>
            </c:pt>
          </c:strCache>
        </c:strRef>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
          <c:order val="0"/>
          <c:tx>
            <c:strRef>
              <c:f>July!$D$109</c:f>
              <c:strCache>
                <c:ptCount val="1"/>
                <c:pt idx="0">
                  <c:v>Total</c:v>
                </c:pt>
              </c:strCache>
            </c:strRef>
          </c:tx>
          <c:spPr>
            <a:solidFill>
              <a:schemeClr val="bg1">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July!$B$110:$B$120</c:f>
              <c:strCache>
                <c:ptCount val="5"/>
                <c:pt idx="0">
                  <c:v>1</c:v>
                </c:pt>
                <c:pt idx="1">
                  <c:v>2</c:v>
                </c:pt>
                <c:pt idx="2">
                  <c:v>3</c:v>
                </c:pt>
                <c:pt idx="3">
                  <c:v>4</c:v>
                </c:pt>
                <c:pt idx="4">
                  <c:v>5</c:v>
                </c:pt>
              </c:strCache>
            </c:strRef>
          </c:cat>
          <c:val>
            <c:numRef>
              <c:f>July!$D$110:$D$120</c:f>
              <c:numCache>
                <c:formatCode>General</c:formatCode>
                <c:ptCount val="11"/>
                <c:pt idx="0">
                  <c:v>0</c:v>
                </c:pt>
                <c:pt idx="1">
                  <c:v>0</c:v>
                </c:pt>
                <c:pt idx="2">
                  <c:v>0</c:v>
                </c:pt>
                <c:pt idx="3">
                  <c:v>0</c:v>
                </c:pt>
                <c:pt idx="4">
                  <c:v>0</c:v>
                </c:pt>
                <c:pt idx="5">
                  <c:v>#N/A</c:v>
                </c:pt>
                <c:pt idx="6">
                  <c:v>#N/A</c:v>
                </c:pt>
                <c:pt idx="7">
                  <c:v>#N/A</c:v>
                </c:pt>
                <c:pt idx="8">
                  <c:v>#N/A</c:v>
                </c:pt>
                <c:pt idx="9">
                  <c:v>#N/A</c:v>
                </c:pt>
                <c:pt idx="10">
                  <c:v>#N/A</c:v>
                </c:pt>
              </c:numCache>
            </c:numRef>
          </c:val>
          <c:extLst>
            <c:ext xmlns:c16="http://schemas.microsoft.com/office/drawing/2014/chart" uri="{C3380CC4-5D6E-409C-BE32-E72D297353CC}">
              <c16:uniqueId val="{00000000-65F8-430C-A38E-A841C8CF7A3F}"/>
            </c:ext>
          </c:extLst>
        </c:ser>
        <c:dLbls>
          <c:showLegendKey val="0"/>
          <c:showVal val="0"/>
          <c:showCatName val="0"/>
          <c:showSerName val="0"/>
          <c:showPercent val="0"/>
          <c:showBubbleSize val="0"/>
        </c:dLbls>
        <c:gapWidth val="219"/>
        <c:overlap val="-27"/>
        <c:axId val="1226967759"/>
        <c:axId val="1226960559"/>
      </c:barChart>
      <c:catAx>
        <c:axId val="12269677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US"/>
          </a:p>
        </c:txPr>
        <c:crossAx val="1226960559"/>
        <c:crosses val="autoZero"/>
        <c:auto val="1"/>
        <c:lblAlgn val="ctr"/>
        <c:lblOffset val="100"/>
        <c:noMultiLvlLbl val="0"/>
      </c:catAx>
      <c:valAx>
        <c:axId val="122696055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1226967759"/>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6350"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July!$F$58</c:f>
          <c:strCache>
            <c:ptCount val="1"/>
            <c:pt idx="0">
              <c:v>Falls by BIMS Score</c:v>
            </c:pt>
          </c:strCache>
        </c:strRef>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July!$H$59</c:f>
              <c:strCache>
                <c:ptCount val="1"/>
                <c:pt idx="0">
                  <c:v>Total</c:v>
                </c:pt>
              </c:strCache>
            </c:strRef>
          </c:tx>
          <c:spPr>
            <a:solidFill>
              <a:schemeClr val="bg2">
                <a:lumMod val="90000"/>
              </a:schemeClr>
            </a:solidFill>
            <a:ln>
              <a:solidFill>
                <a:schemeClr val="bg2">
                  <a:lumMod val="90000"/>
                </a:schemeClr>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July!$F$60:$F$62</c:f>
              <c:strCache>
                <c:ptCount val="3"/>
                <c:pt idx="0">
                  <c:v>Severe (1–7)</c:v>
                </c:pt>
                <c:pt idx="1">
                  <c:v>Moderate (8–12)</c:v>
                </c:pt>
                <c:pt idx="2">
                  <c:v>Intact (13–15)</c:v>
                </c:pt>
              </c:strCache>
            </c:strRef>
          </c:cat>
          <c:val>
            <c:numRef>
              <c:f>July!$H$60:$H$62</c:f>
              <c:numCache>
                <c:formatCode>General</c:formatCode>
                <c:ptCount val="3"/>
                <c:pt idx="0">
                  <c:v>0</c:v>
                </c:pt>
                <c:pt idx="1">
                  <c:v>0</c:v>
                </c:pt>
                <c:pt idx="2">
                  <c:v>0</c:v>
                </c:pt>
              </c:numCache>
            </c:numRef>
          </c:val>
          <c:extLst>
            <c:ext xmlns:c16="http://schemas.microsoft.com/office/drawing/2014/chart" uri="{C3380CC4-5D6E-409C-BE32-E72D297353CC}">
              <c16:uniqueId val="{00000000-69F5-4D56-AA31-314B1ACFA979}"/>
            </c:ext>
          </c:extLst>
        </c:ser>
        <c:dLbls>
          <c:showLegendKey val="0"/>
          <c:showVal val="0"/>
          <c:showCatName val="0"/>
          <c:showSerName val="0"/>
          <c:showPercent val="0"/>
          <c:showBubbleSize val="0"/>
        </c:dLbls>
        <c:gapWidth val="219"/>
        <c:overlap val="-27"/>
        <c:axId val="1226967759"/>
        <c:axId val="1226960559"/>
      </c:barChart>
      <c:catAx>
        <c:axId val="12269677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US"/>
          </a:p>
        </c:txPr>
        <c:crossAx val="1226960559"/>
        <c:crosses val="autoZero"/>
        <c:auto val="1"/>
        <c:lblAlgn val="ctr"/>
        <c:lblOffset val="100"/>
        <c:noMultiLvlLbl val="0"/>
      </c:catAx>
      <c:valAx>
        <c:axId val="122696055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1226967759"/>
        <c:crosses val="autoZero"/>
        <c:crossBetween val="between"/>
      </c:valAx>
      <c:spPr>
        <a:noFill/>
        <a:ln>
          <a:noFill/>
        </a:ln>
        <a:effectLst/>
      </c:spPr>
    </c:plotArea>
    <c:plotVisOnly val="1"/>
    <c:dispBlanksAs val="gap"/>
    <c:showDLblsOverMax val="0"/>
  </c:chart>
  <c:spPr>
    <a:noFill/>
    <a:ln w="6350"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July!$B$143</c:f>
          <c:strCache>
            <c:ptCount val="1"/>
            <c:pt idx="0">
              <c:v>Falls by Hour </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1"/>
          <c:order val="0"/>
          <c:tx>
            <c:strRef>
              <c:f>July!$D$144</c:f>
              <c:strCache>
                <c:ptCount val="1"/>
                <c:pt idx="0">
                  <c:v>Total</c:v>
                </c:pt>
              </c:strCache>
            </c:strRef>
          </c:tx>
          <c:spPr>
            <a:solidFill>
              <a:schemeClr val="bg1">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July!$B$145:$B$168</c:f>
              <c:strCache>
                <c:ptCount val="24"/>
                <c:pt idx="0">
                  <c:v>23:00–24:00</c:v>
                </c:pt>
                <c:pt idx="1">
                  <c:v>24:00–01:00</c:v>
                </c:pt>
                <c:pt idx="2">
                  <c:v>01:00–02:00</c:v>
                </c:pt>
                <c:pt idx="3">
                  <c:v>02:00–03:00</c:v>
                </c:pt>
                <c:pt idx="4">
                  <c:v>03:00–04:00</c:v>
                </c:pt>
                <c:pt idx="5">
                  <c:v>04:00–05:00</c:v>
                </c:pt>
                <c:pt idx="6">
                  <c:v>05:00–06:00</c:v>
                </c:pt>
                <c:pt idx="7">
                  <c:v>06:00–07:00</c:v>
                </c:pt>
                <c:pt idx="8">
                  <c:v>07:00–08:00</c:v>
                </c:pt>
                <c:pt idx="9">
                  <c:v>08:00–09:00</c:v>
                </c:pt>
                <c:pt idx="10">
                  <c:v>09:00–10:00</c:v>
                </c:pt>
                <c:pt idx="11">
                  <c:v>10:00–11:00</c:v>
                </c:pt>
                <c:pt idx="12">
                  <c:v>11:00–12:00</c:v>
                </c:pt>
                <c:pt idx="13">
                  <c:v>12:00–13:00</c:v>
                </c:pt>
                <c:pt idx="14">
                  <c:v>13:00–14:00</c:v>
                </c:pt>
                <c:pt idx="15">
                  <c:v>14:00–15:00</c:v>
                </c:pt>
                <c:pt idx="16">
                  <c:v>15:00–16:00</c:v>
                </c:pt>
                <c:pt idx="17">
                  <c:v>16:00–17:00</c:v>
                </c:pt>
                <c:pt idx="18">
                  <c:v>17:00–18:00</c:v>
                </c:pt>
                <c:pt idx="19">
                  <c:v>18:00–19:00</c:v>
                </c:pt>
                <c:pt idx="20">
                  <c:v>19:00–20:00</c:v>
                </c:pt>
                <c:pt idx="21">
                  <c:v>20:00–21:00</c:v>
                </c:pt>
                <c:pt idx="22">
                  <c:v>21:00–22:00</c:v>
                </c:pt>
                <c:pt idx="23">
                  <c:v>22:00–23:00</c:v>
                </c:pt>
              </c:strCache>
            </c:strRef>
          </c:cat>
          <c:val>
            <c:numRef>
              <c:f>July!$D$145:$D$168</c:f>
              <c:numCache>
                <c:formatCode>General</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6="http://schemas.microsoft.com/office/drawing/2014/chart" uri="{C3380CC4-5D6E-409C-BE32-E72D297353CC}">
              <c16:uniqueId val="{00000000-2946-4C4C-B319-A52D14898D29}"/>
            </c:ext>
          </c:extLst>
        </c:ser>
        <c:dLbls>
          <c:showLegendKey val="0"/>
          <c:showVal val="0"/>
          <c:showCatName val="0"/>
          <c:showSerName val="0"/>
          <c:showPercent val="0"/>
          <c:showBubbleSize val="0"/>
        </c:dLbls>
        <c:gapWidth val="182"/>
        <c:axId val="1658854639"/>
        <c:axId val="1658861839"/>
      </c:barChart>
      <c:catAx>
        <c:axId val="16588546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1658861839"/>
        <c:crosses val="autoZero"/>
        <c:auto val="1"/>
        <c:lblAlgn val="ctr"/>
        <c:lblOffset val="100"/>
        <c:noMultiLvlLbl val="0"/>
      </c:catAx>
      <c:valAx>
        <c:axId val="1658861839"/>
        <c:scaling>
          <c:orientation val="minMax"/>
        </c:scaling>
        <c:delete val="1"/>
        <c:axPos val="t"/>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658854639"/>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orientation="landscape"/>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July!$B$65</c:f>
          <c:strCache>
            <c:ptCount val="1"/>
            <c:pt idx="0">
              <c:v>Falls by Activity</c:v>
            </c:pt>
          </c:strCache>
        </c:strRef>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tx>
            <c:strRef>
              <c:f>July!$G$66</c:f>
              <c:strCache>
                <c:ptCount val="1"/>
                <c:pt idx="0">
                  <c:v>Total</c:v>
                </c:pt>
              </c:strCache>
            </c:strRef>
          </c:tx>
          <c:spPr>
            <a:solidFill>
              <a:schemeClr val="bg1">
                <a:lumMod val="75000"/>
              </a:schemeClr>
            </a:solidFill>
            <a:ln>
              <a:solidFill>
                <a:schemeClr val="bg1">
                  <a:lumMod val="85000"/>
                </a:schemeClr>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July!$B$67:$B$90</c:f>
              <c:strCache>
                <c:ptCount val="11"/>
                <c:pt idx="0">
                  <c:v>Ambulating with assistive device (walker, cane, wheelchair)</c:v>
                </c:pt>
                <c:pt idx="1">
                  <c:v>Ambulating with staff assistance</c:v>
                </c:pt>
                <c:pt idx="2">
                  <c:v>Ambulating without assistance or assistive device</c:v>
                </c:pt>
                <c:pt idx="3">
                  <c:v>Changing position (e.g., in bed, chair)</c:v>
                </c:pt>
                <c:pt idx="4">
                  <c:v>Dressing or undressing</c:v>
                </c:pt>
                <c:pt idx="5">
                  <c:v>Other activity</c:v>
                </c:pt>
                <c:pt idx="6">
                  <c:v>Reaching for an item</c:v>
                </c:pt>
                <c:pt idx="7">
                  <c:v>Showering or bathing</c:v>
                </c:pt>
                <c:pt idx="8">
                  <c:v>Toileting</c:v>
                </c:pt>
                <c:pt idx="9">
                  <c:v>Transferring to or from bed, chair, wheelchair, etc.</c:v>
                </c:pt>
                <c:pt idx="10">
                  <c:v>Unknown</c:v>
                </c:pt>
              </c:strCache>
            </c:strRef>
          </c:cat>
          <c:val>
            <c:numRef>
              <c:f>July!$G$67:$G$90</c:f>
              <c:numCache>
                <c:formatCode>General</c:formatCode>
                <c:ptCount val="24"/>
                <c:pt idx="0">
                  <c:v>0</c:v>
                </c:pt>
                <c:pt idx="1">
                  <c:v>0</c:v>
                </c:pt>
                <c:pt idx="2">
                  <c:v>0</c:v>
                </c:pt>
                <c:pt idx="3">
                  <c:v>0</c:v>
                </c:pt>
                <c:pt idx="4">
                  <c:v>0</c:v>
                </c:pt>
                <c:pt idx="5">
                  <c:v>0</c:v>
                </c:pt>
                <c:pt idx="6">
                  <c:v>0</c:v>
                </c:pt>
                <c:pt idx="7">
                  <c:v>0</c:v>
                </c:pt>
                <c:pt idx="8">
                  <c:v>0</c:v>
                </c:pt>
                <c:pt idx="9">
                  <c:v>0</c:v>
                </c:pt>
                <c:pt idx="10">
                  <c:v>0</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val>
          <c:extLst>
            <c:ext xmlns:c16="http://schemas.microsoft.com/office/drawing/2014/chart" uri="{C3380CC4-5D6E-409C-BE32-E72D297353CC}">
              <c16:uniqueId val="{00000000-7E79-4C52-9966-A15FBAE653D5}"/>
            </c:ext>
          </c:extLst>
        </c:ser>
        <c:dLbls>
          <c:showLegendKey val="0"/>
          <c:showVal val="0"/>
          <c:showCatName val="0"/>
          <c:showSerName val="0"/>
          <c:showPercent val="0"/>
          <c:showBubbleSize val="0"/>
        </c:dLbls>
        <c:gapWidth val="182"/>
        <c:axId val="1658854639"/>
        <c:axId val="1658861839"/>
      </c:barChart>
      <c:catAx>
        <c:axId val="16588546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1658861839"/>
        <c:crosses val="autoZero"/>
        <c:auto val="1"/>
        <c:lblAlgn val="ctr"/>
        <c:lblOffset val="100"/>
        <c:noMultiLvlLbl val="0"/>
      </c:catAx>
      <c:valAx>
        <c:axId val="1658861839"/>
        <c:scaling>
          <c:orientation val="minMax"/>
        </c:scaling>
        <c:delete val="1"/>
        <c:axPos val="t"/>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658854639"/>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orientation="landscape"/>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5"/>
    </mc:Choice>
    <mc:Fallback>
      <c:style val="5"/>
    </mc:Fallback>
  </mc:AlternateContent>
  <c:chart>
    <c:title>
      <c:tx>
        <c:strRef>
          <c:f>July!$B$51</c:f>
          <c:strCache>
            <c:ptCount val="1"/>
            <c:pt idx="0">
              <c:v>Witnessed Falls</c:v>
            </c:pt>
          </c:strCache>
        </c:strRef>
      </c:tx>
      <c:layout>
        <c:manualLayout>
          <c:xMode val="edge"/>
          <c:yMode val="edge"/>
          <c:x val="0.28456383934819923"/>
          <c:y val="4.8263836268180225E-2"/>
        </c:manualLayout>
      </c:layout>
      <c:overlay val="0"/>
      <c:spPr>
        <a:noFill/>
        <a:ln>
          <a:noFill/>
        </a:ln>
        <a:effectLst/>
      </c:spPr>
      <c:txPr>
        <a:bodyPr rot="0" spcFirstLastPara="1" vertOverflow="ellipsis" vert="horz" wrap="square" anchor="ctr" anchorCtr="1"/>
        <a:lstStyle/>
        <a:p>
          <a:pPr>
            <a:defRPr sz="1100" b="1" i="0" u="none" strike="noStrike" kern="1200" spc="0" baseline="0">
              <a:solidFill>
                <a:sysClr val="windowText" lastClr="000000"/>
              </a:solidFill>
              <a:latin typeface="+mn-lt"/>
              <a:ea typeface="+mn-ea"/>
              <a:cs typeface="+mn-cs"/>
            </a:defRPr>
          </a:pPr>
          <a:endParaRPr lang="en-US"/>
        </a:p>
      </c:txPr>
    </c:title>
    <c:autoTitleDeleted val="0"/>
    <c:plotArea>
      <c:layout/>
      <c:pieChart>
        <c:varyColors val="1"/>
        <c:ser>
          <c:idx val="2"/>
          <c:order val="0"/>
          <c:tx>
            <c:strRef>
              <c:f>July!$D$52</c:f>
              <c:strCache>
                <c:ptCount val="1"/>
                <c:pt idx="0">
                  <c:v>Total</c:v>
                </c:pt>
              </c:strCache>
            </c:strRef>
          </c:tx>
          <c:spPr>
            <a:solidFill>
              <a:srgbClr val="F7F7F7"/>
            </a:solidFill>
            <a:ln w="19050">
              <a:solidFill>
                <a:schemeClr val="bg2">
                  <a:lumMod val="90000"/>
                </a:schemeClr>
              </a:solidFill>
            </a:ln>
          </c:spPr>
          <c:dPt>
            <c:idx val="0"/>
            <c:bubble3D val="0"/>
            <c:spPr>
              <a:solidFill>
                <a:srgbClr val="F7F7F7"/>
              </a:solidFill>
              <a:ln w="19050">
                <a:solidFill>
                  <a:schemeClr val="bg2">
                    <a:lumMod val="90000"/>
                  </a:schemeClr>
                </a:solidFill>
              </a:ln>
              <a:effectLst/>
            </c:spPr>
            <c:extLst>
              <c:ext xmlns:c16="http://schemas.microsoft.com/office/drawing/2014/chart" uri="{C3380CC4-5D6E-409C-BE32-E72D297353CC}">
                <c16:uniqueId val="{00000001-E99C-4D8E-A2AF-DB6CF7A7597B}"/>
              </c:ext>
            </c:extLst>
          </c:dPt>
          <c:dPt>
            <c:idx val="1"/>
            <c:bubble3D val="0"/>
            <c:spPr>
              <a:solidFill>
                <a:schemeClr val="bg2"/>
              </a:solidFill>
              <a:ln w="19050">
                <a:solidFill>
                  <a:schemeClr val="bg2">
                    <a:lumMod val="90000"/>
                  </a:schemeClr>
                </a:solidFill>
              </a:ln>
              <a:effectLst/>
            </c:spPr>
            <c:extLst>
              <c:ext xmlns:c16="http://schemas.microsoft.com/office/drawing/2014/chart" uri="{C3380CC4-5D6E-409C-BE32-E72D297353CC}">
                <c16:uniqueId val="{00000003-E99C-4D8E-A2AF-DB6CF7A7597B}"/>
              </c:ext>
            </c:extLst>
          </c:dPt>
          <c:dLbls>
            <c:dLbl>
              <c:idx val="0"/>
              <c:layout>
                <c:manualLayout>
                  <c:x val="6.2922200858950839E-2"/>
                  <c:y val="-5.7940247469122956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99C-4D8E-A2AF-DB6CF7A7597B}"/>
                </c:ext>
              </c:extLst>
            </c:dLbl>
            <c:dLbl>
              <c:idx val="1"/>
              <c:layout>
                <c:manualLayout>
                  <c:x val="-4.8011385115936479E-2"/>
                  <c:y val="2.6697554736401265E-2"/>
                </c:manualLayout>
              </c:layout>
              <c:spPr>
                <a:noFill/>
                <a:ln>
                  <a:noFill/>
                </a:ln>
                <a:effectLst/>
              </c:spPr>
              <c:txPr>
                <a:bodyPr rot="0" spcFirstLastPara="1" vertOverflow="ellipsis" vert="horz" wrap="square" lIns="38100" tIns="19050" rIns="38100" bIns="19050" anchor="ctr" anchorCtr="1">
                  <a:noAutofit/>
                </a:bodyPr>
                <a:lstStyle/>
                <a:p>
                  <a:pPr>
                    <a:defRPr sz="9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0"/>
              <c:showBubbleSize val="0"/>
              <c:extLst>
                <c:ext xmlns:c15="http://schemas.microsoft.com/office/drawing/2012/chart" uri="{CE6537A1-D6FC-4f65-9D91-7224C49458BB}">
                  <c15:layout>
                    <c:manualLayout>
                      <c:w val="0.24931745400710711"/>
                      <c:h val="0.11967240535812428"/>
                    </c:manualLayout>
                  </c15:layout>
                </c:ext>
                <c:ext xmlns:c16="http://schemas.microsoft.com/office/drawing/2014/chart" uri="{C3380CC4-5D6E-409C-BE32-E72D297353CC}">
                  <c16:uniqueId val="{00000003-E99C-4D8E-A2AF-DB6CF7A7597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July!$B$53:$B$54</c:f>
              <c:strCache>
                <c:ptCount val="2"/>
                <c:pt idx="0">
                  <c:v>Yes</c:v>
                </c:pt>
                <c:pt idx="1">
                  <c:v>No</c:v>
                </c:pt>
              </c:strCache>
            </c:strRef>
          </c:cat>
          <c:val>
            <c:numRef>
              <c:f>July!$D$53:$D$54</c:f>
              <c:numCache>
                <c:formatCode>General</c:formatCode>
                <c:ptCount val="2"/>
                <c:pt idx="0">
                  <c:v>0</c:v>
                </c:pt>
                <c:pt idx="1">
                  <c:v>0</c:v>
                </c:pt>
              </c:numCache>
            </c:numRef>
          </c:val>
          <c:extLst>
            <c:ext xmlns:c16="http://schemas.microsoft.com/office/drawing/2014/chart" uri="{C3380CC4-5D6E-409C-BE32-E72D297353CC}">
              <c16:uniqueId val="{00000004-E99C-4D8E-A2AF-DB6CF7A7597B}"/>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solidFill>
      <a:schemeClr val="bg1"/>
    </a:solidFill>
    <a:ln w="3175"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c:printSettings>
</c:chartSpace>
</file>

<file path=xl/charts/chart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July!$B$171</c:f>
          <c:strCache>
            <c:ptCount val="1"/>
            <c:pt idx="0">
              <c:v>Falls by Contributing Factors</c:v>
            </c:pt>
          </c:strCache>
        </c:strRef>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4"/>
          <c:order val="0"/>
          <c:tx>
            <c:strRef>
              <c:f>July!$G$172</c:f>
              <c:strCache>
                <c:ptCount val="1"/>
                <c:pt idx="0">
                  <c:v>Total</c:v>
                </c:pt>
              </c:strCache>
            </c:strRef>
          </c:tx>
          <c:spPr>
            <a:solidFill>
              <a:schemeClr val="bg2">
                <a:lumMod val="9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July!$B$173:$B$196</c:f>
              <c:strCache>
                <c:ptCount val="11"/>
                <c:pt idx="0">
                  <c:v>Assisted/caregiver transfer</c:v>
                </c:pt>
                <c:pt idx="1">
                  <c:v>Bowel and bladder (B&amp;B) needs</c:v>
                </c:pt>
                <c:pt idx="2">
                  <c:v>Behavioral or situational</c:v>
                </c:pt>
                <c:pt idx="3">
                  <c:v>Change of condition</c:v>
                </c:pt>
                <c:pt idx="4">
                  <c:v>Environmental factors</c:v>
                </c:pt>
                <c:pt idx="5">
                  <c:v>Equipment malfunction</c:v>
                </c:pt>
                <c:pt idx="6">
                  <c:v>Equipment or assistive device</c:v>
                </c:pt>
                <c:pt idx="7">
                  <c:v>Medication related</c:v>
                </c:pt>
                <c:pt idx="8">
                  <c:v>Process(s) not followed</c:v>
                </c:pt>
                <c:pt idx="9">
                  <c:v>Resident health conditions</c:v>
                </c:pt>
                <c:pt idx="10">
                  <c:v>Staff</c:v>
                </c:pt>
              </c:strCache>
            </c:strRef>
          </c:cat>
          <c:val>
            <c:numRef>
              <c:f>July!$G$173:$G$196</c:f>
              <c:numCache>
                <c:formatCode>General</c:formatCode>
                <c:ptCount val="24"/>
                <c:pt idx="0">
                  <c:v>0</c:v>
                </c:pt>
                <c:pt idx="1">
                  <c:v>0</c:v>
                </c:pt>
                <c:pt idx="2">
                  <c:v>0</c:v>
                </c:pt>
                <c:pt idx="3">
                  <c:v>0</c:v>
                </c:pt>
                <c:pt idx="4">
                  <c:v>0</c:v>
                </c:pt>
                <c:pt idx="5">
                  <c:v>0</c:v>
                </c:pt>
                <c:pt idx="6">
                  <c:v>0</c:v>
                </c:pt>
                <c:pt idx="7">
                  <c:v>0</c:v>
                </c:pt>
                <c:pt idx="8">
                  <c:v>0</c:v>
                </c:pt>
                <c:pt idx="9">
                  <c:v>0</c:v>
                </c:pt>
                <c:pt idx="10">
                  <c:v>0</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val>
          <c:extLst>
            <c:ext xmlns:c16="http://schemas.microsoft.com/office/drawing/2014/chart" uri="{C3380CC4-5D6E-409C-BE32-E72D297353CC}">
              <c16:uniqueId val="{00000000-BB18-4156-A377-3E9F9630CCEB}"/>
            </c:ext>
          </c:extLst>
        </c:ser>
        <c:dLbls>
          <c:showLegendKey val="0"/>
          <c:showVal val="0"/>
          <c:showCatName val="0"/>
          <c:showSerName val="0"/>
          <c:showPercent val="0"/>
          <c:showBubbleSize val="0"/>
        </c:dLbls>
        <c:gapWidth val="182"/>
        <c:axId val="1658854639"/>
        <c:axId val="1658861839"/>
      </c:barChart>
      <c:catAx>
        <c:axId val="16588546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bg2">
                    <a:lumMod val="50000"/>
                  </a:schemeClr>
                </a:solidFill>
                <a:latin typeface="+mn-lt"/>
                <a:ea typeface="+mn-ea"/>
                <a:cs typeface="+mn-cs"/>
              </a:defRPr>
            </a:pPr>
            <a:endParaRPr lang="en-US"/>
          </a:p>
        </c:txPr>
        <c:crossAx val="1658861839"/>
        <c:crosses val="autoZero"/>
        <c:auto val="1"/>
        <c:lblAlgn val="ctr"/>
        <c:lblOffset val="100"/>
        <c:noMultiLvlLbl val="0"/>
      </c:catAx>
      <c:valAx>
        <c:axId val="1658861839"/>
        <c:scaling>
          <c:orientation val="minMax"/>
        </c:scaling>
        <c:delete val="1"/>
        <c:axPos val="t"/>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658854639"/>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orientation="landscape"/>
  </c:printSettings>
</c:chartSpace>
</file>

<file path=xl/charts/chart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July!$F$51</c:f>
          <c:strCache>
            <c:ptCount val="1"/>
            <c:pt idx="0">
              <c:v>Fall Circumstances</c:v>
            </c:pt>
          </c:strCache>
        </c:strRef>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July!$H$52</c:f>
              <c:strCache>
                <c:ptCount val="1"/>
                <c:pt idx="0">
                  <c:v>Total</c:v>
                </c:pt>
              </c:strCache>
            </c:strRef>
          </c:tx>
          <c:spPr>
            <a:solidFill>
              <a:schemeClr val="bg2">
                <a:lumMod val="90000"/>
              </a:schemeClr>
            </a:solidFill>
            <a:ln>
              <a:solidFill>
                <a:schemeClr val="bg2">
                  <a:lumMod val="90000"/>
                </a:schemeClr>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July!$F$53:$F$55</c:f>
              <c:strCache>
                <c:ptCount val="3"/>
                <c:pt idx="0">
                  <c:v>Overwhelming Force</c:v>
                </c:pt>
                <c:pt idx="1">
                  <c:v>Intercepted</c:v>
                </c:pt>
                <c:pt idx="2">
                  <c:v>N/A</c:v>
                </c:pt>
              </c:strCache>
            </c:strRef>
          </c:cat>
          <c:val>
            <c:numRef>
              <c:f>July!$H$53:$H$55</c:f>
              <c:numCache>
                <c:formatCode>General</c:formatCode>
                <c:ptCount val="3"/>
                <c:pt idx="0">
                  <c:v>0</c:v>
                </c:pt>
                <c:pt idx="1">
                  <c:v>0</c:v>
                </c:pt>
                <c:pt idx="2">
                  <c:v>0</c:v>
                </c:pt>
              </c:numCache>
            </c:numRef>
          </c:val>
          <c:extLst>
            <c:ext xmlns:c16="http://schemas.microsoft.com/office/drawing/2014/chart" uri="{C3380CC4-5D6E-409C-BE32-E72D297353CC}">
              <c16:uniqueId val="{00000000-1656-4F0D-9B00-413746D574D2}"/>
            </c:ext>
          </c:extLst>
        </c:ser>
        <c:dLbls>
          <c:showLegendKey val="0"/>
          <c:showVal val="0"/>
          <c:showCatName val="0"/>
          <c:showSerName val="0"/>
          <c:showPercent val="0"/>
          <c:showBubbleSize val="0"/>
        </c:dLbls>
        <c:gapWidth val="219"/>
        <c:overlap val="-27"/>
        <c:axId val="1226967759"/>
        <c:axId val="1226960559"/>
      </c:barChart>
      <c:catAx>
        <c:axId val="12269677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US"/>
          </a:p>
        </c:txPr>
        <c:crossAx val="1226960559"/>
        <c:crosses val="autoZero"/>
        <c:auto val="1"/>
        <c:lblAlgn val="ctr"/>
        <c:lblOffset val="100"/>
        <c:noMultiLvlLbl val="0"/>
      </c:catAx>
      <c:valAx>
        <c:axId val="122696055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1226967759"/>
        <c:crosses val="autoZero"/>
        <c:crossBetween val="between"/>
      </c:valAx>
      <c:spPr>
        <a:noFill/>
        <a:ln>
          <a:noFill/>
        </a:ln>
        <a:effectLst/>
      </c:spPr>
    </c:plotArea>
    <c:plotVisOnly val="1"/>
    <c:dispBlanksAs val="gap"/>
    <c:showDLblsOverMax val="0"/>
  </c:chart>
  <c:spPr>
    <a:noFill/>
    <a:ln w="6350"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Jan!$B$65</c:f>
          <c:strCache>
            <c:ptCount val="1"/>
            <c:pt idx="0">
              <c:v>Falls by Activity</c:v>
            </c:pt>
          </c:strCache>
        </c:strRef>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tx>
            <c:strRef>
              <c:f>Jan!$G$66</c:f>
              <c:strCache>
                <c:ptCount val="1"/>
                <c:pt idx="0">
                  <c:v>Total</c:v>
                </c:pt>
              </c:strCache>
            </c:strRef>
          </c:tx>
          <c:spPr>
            <a:solidFill>
              <a:schemeClr val="bg1">
                <a:lumMod val="75000"/>
              </a:schemeClr>
            </a:solidFill>
            <a:ln>
              <a:solidFill>
                <a:schemeClr val="bg1">
                  <a:lumMod val="85000"/>
                </a:schemeClr>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Jan!$B$67:$B$90</c:f>
              <c:strCache>
                <c:ptCount val="11"/>
                <c:pt idx="0">
                  <c:v>Ambulating with assistive device (walker, cane, wheelchair)</c:v>
                </c:pt>
                <c:pt idx="1">
                  <c:v>Ambulating with staff assistance</c:v>
                </c:pt>
                <c:pt idx="2">
                  <c:v>Ambulating without assistance or assistive device</c:v>
                </c:pt>
                <c:pt idx="3">
                  <c:v>Changing position (e.g., in bed, chair)</c:v>
                </c:pt>
                <c:pt idx="4">
                  <c:v>Dressing or undressing</c:v>
                </c:pt>
                <c:pt idx="5">
                  <c:v>Other activity</c:v>
                </c:pt>
                <c:pt idx="6">
                  <c:v>Reaching for an item</c:v>
                </c:pt>
                <c:pt idx="7">
                  <c:v>Showering or bathing</c:v>
                </c:pt>
                <c:pt idx="8">
                  <c:v>Toileting</c:v>
                </c:pt>
                <c:pt idx="9">
                  <c:v>Transferring to or from bed, chair, wheelchair, etc.</c:v>
                </c:pt>
                <c:pt idx="10">
                  <c:v>Unknown</c:v>
                </c:pt>
              </c:strCache>
            </c:strRef>
          </c:cat>
          <c:val>
            <c:numRef>
              <c:f>Jan!$G$67:$G$90</c:f>
              <c:numCache>
                <c:formatCode>General</c:formatCode>
                <c:ptCount val="24"/>
                <c:pt idx="0">
                  <c:v>0</c:v>
                </c:pt>
                <c:pt idx="1">
                  <c:v>0</c:v>
                </c:pt>
                <c:pt idx="2">
                  <c:v>0</c:v>
                </c:pt>
                <c:pt idx="3">
                  <c:v>0</c:v>
                </c:pt>
                <c:pt idx="4">
                  <c:v>0</c:v>
                </c:pt>
                <c:pt idx="5">
                  <c:v>0</c:v>
                </c:pt>
                <c:pt idx="6">
                  <c:v>0</c:v>
                </c:pt>
                <c:pt idx="7">
                  <c:v>0</c:v>
                </c:pt>
                <c:pt idx="8">
                  <c:v>0</c:v>
                </c:pt>
                <c:pt idx="9">
                  <c:v>0</c:v>
                </c:pt>
                <c:pt idx="10">
                  <c:v>0</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val>
          <c:extLst>
            <c:ext xmlns:c16="http://schemas.microsoft.com/office/drawing/2014/chart" uri="{C3380CC4-5D6E-409C-BE32-E72D297353CC}">
              <c16:uniqueId val="{00000014-F649-45CE-84D1-0DAD624B2190}"/>
            </c:ext>
          </c:extLst>
        </c:ser>
        <c:dLbls>
          <c:showLegendKey val="0"/>
          <c:showVal val="0"/>
          <c:showCatName val="0"/>
          <c:showSerName val="0"/>
          <c:showPercent val="0"/>
          <c:showBubbleSize val="0"/>
        </c:dLbls>
        <c:gapWidth val="182"/>
        <c:axId val="1658854639"/>
        <c:axId val="1658861839"/>
      </c:barChart>
      <c:catAx>
        <c:axId val="16588546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1658861839"/>
        <c:crosses val="autoZero"/>
        <c:auto val="1"/>
        <c:lblAlgn val="ctr"/>
        <c:lblOffset val="100"/>
        <c:noMultiLvlLbl val="0"/>
      </c:catAx>
      <c:valAx>
        <c:axId val="1658861839"/>
        <c:scaling>
          <c:orientation val="minMax"/>
        </c:scaling>
        <c:delete val="1"/>
        <c:axPos val="t"/>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658854639"/>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orientation="landscape"/>
  </c:printSettings>
</c:chartSpace>
</file>

<file path=xl/charts/chart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Jan!$B$134</c:f>
          <c:strCache>
            <c:ptCount val="1"/>
            <c:pt idx="0">
              <c:v>Falls by Shift</c:v>
            </c:pt>
          </c:strCache>
        </c:strRef>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tx>
            <c:strRef>
              <c:f>July!$D$135</c:f>
              <c:strCache>
                <c:ptCount val="1"/>
                <c:pt idx="0">
                  <c:v>Total</c:v>
                </c:pt>
              </c:strCache>
            </c:strRef>
          </c:tx>
          <c:spPr>
            <a:solidFill>
              <a:schemeClr val="bg1">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July!$B$136:$B$140</c:f>
              <c:strCache>
                <c:ptCount val="4"/>
                <c:pt idx="0">
                  <c:v>11-7</c:v>
                </c:pt>
                <c:pt idx="1">
                  <c:v>11–7</c:v>
                </c:pt>
                <c:pt idx="2">
                  <c:v>7–3</c:v>
                </c:pt>
                <c:pt idx="3">
                  <c:v>3–11</c:v>
                </c:pt>
              </c:strCache>
            </c:strRef>
          </c:cat>
          <c:val>
            <c:numRef>
              <c:f>July!$D$136:$D$140</c:f>
              <c:numCache>
                <c:formatCode>General</c:formatCode>
                <c:ptCount val="5"/>
                <c:pt idx="0">
                  <c:v>0</c:v>
                </c:pt>
                <c:pt idx="1">
                  <c:v>0</c:v>
                </c:pt>
                <c:pt idx="2">
                  <c:v>0</c:v>
                </c:pt>
                <c:pt idx="3">
                  <c:v>0</c:v>
                </c:pt>
                <c:pt idx="4">
                  <c:v>#N/A</c:v>
                </c:pt>
              </c:numCache>
            </c:numRef>
          </c:val>
          <c:extLst>
            <c:ext xmlns:c16="http://schemas.microsoft.com/office/drawing/2014/chart" uri="{C3380CC4-5D6E-409C-BE32-E72D297353CC}">
              <c16:uniqueId val="{00000001-CA31-4B8C-9B87-794F207D903C}"/>
            </c:ext>
          </c:extLst>
        </c:ser>
        <c:dLbls>
          <c:showLegendKey val="0"/>
          <c:showVal val="0"/>
          <c:showCatName val="0"/>
          <c:showSerName val="0"/>
          <c:showPercent val="0"/>
          <c:showBubbleSize val="0"/>
        </c:dLbls>
        <c:gapWidth val="219"/>
        <c:axId val="789078271"/>
        <c:axId val="789056671"/>
      </c:barChart>
      <c:catAx>
        <c:axId val="789078271"/>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US"/>
          </a:p>
        </c:txPr>
        <c:crossAx val="789056671"/>
        <c:crosses val="autoZero"/>
        <c:auto val="1"/>
        <c:lblAlgn val="ctr"/>
        <c:lblOffset val="100"/>
        <c:noMultiLvlLbl val="0"/>
      </c:catAx>
      <c:valAx>
        <c:axId val="789056671"/>
        <c:scaling>
          <c:orientation val="minMax"/>
        </c:scaling>
        <c:delete val="1"/>
        <c:axPos val="t"/>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789078271"/>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c:printSettings>
</c:chartSpace>
</file>

<file path=xl/charts/chart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5"/>
    </mc:Choice>
    <mc:Fallback>
      <c:style val="5"/>
    </mc:Fallback>
  </mc:AlternateContent>
  <c:chart>
    <c:title>
      <c:tx>
        <c:strRef>
          <c:f>Aug!$B$93</c:f>
          <c:strCache>
            <c:ptCount val="1"/>
            <c:pt idx="0">
              <c:v>Falls by Location</c:v>
            </c:pt>
          </c:strCache>
        </c:strRef>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
          <c:order val="0"/>
          <c:tx>
            <c:strRef>
              <c:f>Aug!$D$94</c:f>
              <c:strCache>
                <c:ptCount val="1"/>
                <c:pt idx="0">
                  <c:v>Total</c:v>
                </c:pt>
              </c:strCache>
            </c:strRef>
          </c:tx>
          <c:spPr>
            <a:solidFill>
              <a:schemeClr val="accent3">
                <a:tint val="77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Aug!$B$95:$B$105</c:f>
              <c:strCache>
                <c:ptCount val="7"/>
                <c:pt idx="0">
                  <c:v>Activity Room</c:v>
                </c:pt>
                <c:pt idx="1">
                  <c:v>Bedroom</c:v>
                </c:pt>
                <c:pt idx="2">
                  <c:v>Bathroom</c:v>
                </c:pt>
                <c:pt idx="3">
                  <c:v>Hallway</c:v>
                </c:pt>
                <c:pt idx="4">
                  <c:v>Offsite</c:v>
                </c:pt>
                <c:pt idx="5">
                  <c:v>Shower Room</c:v>
                </c:pt>
                <c:pt idx="6">
                  <c:v>Dining Room</c:v>
                </c:pt>
              </c:strCache>
            </c:strRef>
          </c:cat>
          <c:val>
            <c:numRef>
              <c:f>Aug!$D$95:$D$105</c:f>
              <c:numCache>
                <c:formatCode>General</c:formatCode>
                <c:ptCount val="11"/>
                <c:pt idx="0">
                  <c:v>0</c:v>
                </c:pt>
                <c:pt idx="1">
                  <c:v>0</c:v>
                </c:pt>
                <c:pt idx="2">
                  <c:v>0</c:v>
                </c:pt>
                <c:pt idx="3">
                  <c:v>0</c:v>
                </c:pt>
                <c:pt idx="4">
                  <c:v>0</c:v>
                </c:pt>
                <c:pt idx="5">
                  <c:v>0</c:v>
                </c:pt>
                <c:pt idx="6">
                  <c:v>0</c:v>
                </c:pt>
                <c:pt idx="7">
                  <c:v>#N/A</c:v>
                </c:pt>
                <c:pt idx="8">
                  <c:v>#N/A</c:v>
                </c:pt>
                <c:pt idx="9">
                  <c:v>#N/A</c:v>
                </c:pt>
                <c:pt idx="10">
                  <c:v>#N/A</c:v>
                </c:pt>
              </c:numCache>
            </c:numRef>
          </c:val>
          <c:extLst>
            <c:ext xmlns:c16="http://schemas.microsoft.com/office/drawing/2014/chart" uri="{C3380CC4-5D6E-409C-BE32-E72D297353CC}">
              <c16:uniqueId val="{00000000-9A97-4D40-B58C-5354931C497E}"/>
            </c:ext>
          </c:extLst>
        </c:ser>
        <c:dLbls>
          <c:showLegendKey val="0"/>
          <c:showVal val="0"/>
          <c:showCatName val="0"/>
          <c:showSerName val="0"/>
          <c:showPercent val="0"/>
          <c:showBubbleSize val="0"/>
        </c:dLbls>
        <c:gapWidth val="219"/>
        <c:overlap val="-27"/>
        <c:axId val="1569634943"/>
        <c:axId val="1590853103"/>
      </c:barChart>
      <c:catAx>
        <c:axId val="156963494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US"/>
          </a:p>
        </c:txPr>
        <c:crossAx val="1590853103"/>
        <c:crosses val="autoZero"/>
        <c:auto val="1"/>
        <c:lblAlgn val="ctr"/>
        <c:lblOffset val="100"/>
        <c:noMultiLvlLbl val="0"/>
      </c:catAx>
      <c:valAx>
        <c:axId val="1590853103"/>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69634943"/>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3175"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c:printSettings>
</c:chartSpace>
</file>

<file path=xl/charts/chart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Aug!$B$123</c:f>
          <c:strCache>
            <c:ptCount val="1"/>
            <c:pt idx="0">
              <c:v>Falls by Day of the Week </c:v>
            </c:pt>
          </c:strCache>
        </c:strRef>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
          <c:order val="0"/>
          <c:tx>
            <c:strRef>
              <c:f>Aug!$D$124</c:f>
              <c:strCache>
                <c:ptCount val="1"/>
                <c:pt idx="0">
                  <c:v>Total</c:v>
                </c:pt>
              </c:strCache>
            </c:strRef>
          </c:tx>
          <c:spPr>
            <a:solidFill>
              <a:schemeClr val="bg1">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Aug!$B$125:$B$131</c:f>
              <c:strCache>
                <c:ptCount val="7"/>
                <c:pt idx="0">
                  <c:v>Sun</c:v>
                </c:pt>
                <c:pt idx="1">
                  <c:v>Mon</c:v>
                </c:pt>
                <c:pt idx="2">
                  <c:v>Tue</c:v>
                </c:pt>
                <c:pt idx="3">
                  <c:v>Wed</c:v>
                </c:pt>
                <c:pt idx="4">
                  <c:v>Thu</c:v>
                </c:pt>
                <c:pt idx="5">
                  <c:v>Fri</c:v>
                </c:pt>
                <c:pt idx="6">
                  <c:v>Sat</c:v>
                </c:pt>
              </c:strCache>
            </c:strRef>
          </c:cat>
          <c:val>
            <c:numRef>
              <c:f>Aug!$D$125:$D$131</c:f>
              <c:numCache>
                <c:formatCode>General</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30FA-4083-A930-52EA5A44BB49}"/>
            </c:ext>
          </c:extLst>
        </c:ser>
        <c:dLbls>
          <c:showLegendKey val="0"/>
          <c:showVal val="0"/>
          <c:showCatName val="0"/>
          <c:showSerName val="0"/>
          <c:showPercent val="0"/>
          <c:showBubbleSize val="0"/>
        </c:dLbls>
        <c:gapWidth val="219"/>
        <c:overlap val="-27"/>
        <c:axId val="1569634943"/>
        <c:axId val="1590853103"/>
      </c:barChart>
      <c:catAx>
        <c:axId val="156963494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US"/>
          </a:p>
        </c:txPr>
        <c:crossAx val="1590853103"/>
        <c:crosses val="autoZero"/>
        <c:auto val="1"/>
        <c:lblAlgn val="ctr"/>
        <c:lblOffset val="100"/>
        <c:noMultiLvlLbl val="0"/>
      </c:catAx>
      <c:valAx>
        <c:axId val="1590853103"/>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69634943"/>
        <c:crosses val="autoZero"/>
        <c:crossBetween val="between"/>
      </c:valAx>
      <c:spPr>
        <a:noFill/>
        <a:ln>
          <a:noFill/>
        </a:ln>
        <a:effectLst/>
      </c:spPr>
    </c:plotArea>
    <c:plotVisOnly val="1"/>
    <c:dispBlanksAs val="gap"/>
    <c:showDLblsOverMax val="0"/>
  </c:chart>
  <c:spPr>
    <a:solidFill>
      <a:schemeClr val="bg1"/>
    </a:solidFill>
    <a:ln w="3175"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c:printSettings>
</c:chartSpace>
</file>

<file path=xl/charts/chart7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Aug!$B$108</c:f>
          <c:strCache>
            <c:ptCount val="1"/>
            <c:pt idx="0">
              <c:v>Falls by Nursing Station </c:v>
            </c:pt>
          </c:strCache>
        </c:strRef>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
          <c:order val="0"/>
          <c:tx>
            <c:strRef>
              <c:f>Aug!$D$109</c:f>
              <c:strCache>
                <c:ptCount val="1"/>
                <c:pt idx="0">
                  <c:v>Total</c:v>
                </c:pt>
              </c:strCache>
            </c:strRef>
          </c:tx>
          <c:spPr>
            <a:solidFill>
              <a:schemeClr val="bg1">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Aug!$B$110:$B$120</c:f>
              <c:strCache>
                <c:ptCount val="5"/>
                <c:pt idx="0">
                  <c:v>1</c:v>
                </c:pt>
                <c:pt idx="1">
                  <c:v>2</c:v>
                </c:pt>
                <c:pt idx="2">
                  <c:v>3</c:v>
                </c:pt>
                <c:pt idx="3">
                  <c:v>4</c:v>
                </c:pt>
                <c:pt idx="4">
                  <c:v>5</c:v>
                </c:pt>
              </c:strCache>
            </c:strRef>
          </c:cat>
          <c:val>
            <c:numRef>
              <c:f>Aug!$D$110:$D$120</c:f>
              <c:numCache>
                <c:formatCode>General</c:formatCode>
                <c:ptCount val="11"/>
                <c:pt idx="0">
                  <c:v>0</c:v>
                </c:pt>
                <c:pt idx="1">
                  <c:v>0</c:v>
                </c:pt>
                <c:pt idx="2">
                  <c:v>0</c:v>
                </c:pt>
                <c:pt idx="3">
                  <c:v>0</c:v>
                </c:pt>
                <c:pt idx="4">
                  <c:v>0</c:v>
                </c:pt>
                <c:pt idx="5">
                  <c:v>#N/A</c:v>
                </c:pt>
                <c:pt idx="6">
                  <c:v>#N/A</c:v>
                </c:pt>
                <c:pt idx="7">
                  <c:v>#N/A</c:v>
                </c:pt>
                <c:pt idx="8">
                  <c:v>#N/A</c:v>
                </c:pt>
                <c:pt idx="9">
                  <c:v>#N/A</c:v>
                </c:pt>
                <c:pt idx="10">
                  <c:v>#N/A</c:v>
                </c:pt>
              </c:numCache>
            </c:numRef>
          </c:val>
          <c:extLst>
            <c:ext xmlns:c16="http://schemas.microsoft.com/office/drawing/2014/chart" uri="{C3380CC4-5D6E-409C-BE32-E72D297353CC}">
              <c16:uniqueId val="{00000000-75D3-47C4-B0B4-A0E2F1AB9F96}"/>
            </c:ext>
          </c:extLst>
        </c:ser>
        <c:dLbls>
          <c:showLegendKey val="0"/>
          <c:showVal val="0"/>
          <c:showCatName val="0"/>
          <c:showSerName val="0"/>
          <c:showPercent val="0"/>
          <c:showBubbleSize val="0"/>
        </c:dLbls>
        <c:gapWidth val="219"/>
        <c:overlap val="-27"/>
        <c:axId val="1226967759"/>
        <c:axId val="1226960559"/>
      </c:barChart>
      <c:catAx>
        <c:axId val="12269677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US"/>
          </a:p>
        </c:txPr>
        <c:crossAx val="1226960559"/>
        <c:crosses val="autoZero"/>
        <c:auto val="1"/>
        <c:lblAlgn val="ctr"/>
        <c:lblOffset val="100"/>
        <c:noMultiLvlLbl val="0"/>
      </c:catAx>
      <c:valAx>
        <c:axId val="122696055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1226967759"/>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6350"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c:printSettings>
</c:chartSpace>
</file>

<file path=xl/charts/chart7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Aug!$F$58</c:f>
          <c:strCache>
            <c:ptCount val="1"/>
            <c:pt idx="0">
              <c:v>Falls by BIMS Score</c:v>
            </c:pt>
          </c:strCache>
        </c:strRef>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Aug!$H$59</c:f>
              <c:strCache>
                <c:ptCount val="1"/>
                <c:pt idx="0">
                  <c:v>Total</c:v>
                </c:pt>
              </c:strCache>
            </c:strRef>
          </c:tx>
          <c:spPr>
            <a:solidFill>
              <a:schemeClr val="bg2">
                <a:lumMod val="90000"/>
              </a:schemeClr>
            </a:solidFill>
            <a:ln>
              <a:solidFill>
                <a:schemeClr val="bg2">
                  <a:lumMod val="90000"/>
                </a:schemeClr>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Aug!$F$60:$F$62</c:f>
              <c:strCache>
                <c:ptCount val="3"/>
                <c:pt idx="0">
                  <c:v>Severe (1–7)</c:v>
                </c:pt>
                <c:pt idx="1">
                  <c:v>Moderate (8–12)</c:v>
                </c:pt>
                <c:pt idx="2">
                  <c:v>Intact (13–15)</c:v>
                </c:pt>
              </c:strCache>
            </c:strRef>
          </c:cat>
          <c:val>
            <c:numRef>
              <c:f>Aug!$H$60:$H$62</c:f>
              <c:numCache>
                <c:formatCode>General</c:formatCode>
                <c:ptCount val="3"/>
                <c:pt idx="0">
                  <c:v>0</c:v>
                </c:pt>
                <c:pt idx="1">
                  <c:v>0</c:v>
                </c:pt>
                <c:pt idx="2">
                  <c:v>0</c:v>
                </c:pt>
              </c:numCache>
            </c:numRef>
          </c:val>
          <c:extLst>
            <c:ext xmlns:c16="http://schemas.microsoft.com/office/drawing/2014/chart" uri="{C3380CC4-5D6E-409C-BE32-E72D297353CC}">
              <c16:uniqueId val="{00000000-D539-413D-BC4D-DB49FAA107A2}"/>
            </c:ext>
          </c:extLst>
        </c:ser>
        <c:dLbls>
          <c:showLegendKey val="0"/>
          <c:showVal val="0"/>
          <c:showCatName val="0"/>
          <c:showSerName val="0"/>
          <c:showPercent val="0"/>
          <c:showBubbleSize val="0"/>
        </c:dLbls>
        <c:gapWidth val="219"/>
        <c:overlap val="-27"/>
        <c:axId val="1226967759"/>
        <c:axId val="1226960559"/>
      </c:barChart>
      <c:catAx>
        <c:axId val="12269677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US"/>
          </a:p>
        </c:txPr>
        <c:crossAx val="1226960559"/>
        <c:crosses val="autoZero"/>
        <c:auto val="1"/>
        <c:lblAlgn val="ctr"/>
        <c:lblOffset val="100"/>
        <c:noMultiLvlLbl val="0"/>
      </c:catAx>
      <c:valAx>
        <c:axId val="122696055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1226967759"/>
        <c:crosses val="autoZero"/>
        <c:crossBetween val="between"/>
      </c:valAx>
      <c:spPr>
        <a:noFill/>
        <a:ln>
          <a:noFill/>
        </a:ln>
        <a:effectLst/>
      </c:spPr>
    </c:plotArea>
    <c:plotVisOnly val="1"/>
    <c:dispBlanksAs val="gap"/>
    <c:showDLblsOverMax val="0"/>
  </c:chart>
  <c:spPr>
    <a:noFill/>
    <a:ln w="6350"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c:printSettings>
</c:chartSpace>
</file>

<file path=xl/charts/chart7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Aug!$B$143</c:f>
          <c:strCache>
            <c:ptCount val="1"/>
            <c:pt idx="0">
              <c:v>Falls by Hour </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1"/>
          <c:order val="0"/>
          <c:tx>
            <c:strRef>
              <c:f>Aug!$D$144</c:f>
              <c:strCache>
                <c:ptCount val="1"/>
                <c:pt idx="0">
                  <c:v>Total</c:v>
                </c:pt>
              </c:strCache>
            </c:strRef>
          </c:tx>
          <c:spPr>
            <a:solidFill>
              <a:schemeClr val="bg1">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Aug!$B$145:$B$168</c:f>
              <c:strCache>
                <c:ptCount val="24"/>
                <c:pt idx="0">
                  <c:v>23:00–24:00</c:v>
                </c:pt>
                <c:pt idx="1">
                  <c:v>24:00–01:00</c:v>
                </c:pt>
                <c:pt idx="2">
                  <c:v>01:00–02:00</c:v>
                </c:pt>
                <c:pt idx="3">
                  <c:v>02:00–03:00</c:v>
                </c:pt>
                <c:pt idx="4">
                  <c:v>03:00–04:00</c:v>
                </c:pt>
                <c:pt idx="5">
                  <c:v>04:00–05:00</c:v>
                </c:pt>
                <c:pt idx="6">
                  <c:v>05:00–06:00</c:v>
                </c:pt>
                <c:pt idx="7">
                  <c:v>06:00–07:00</c:v>
                </c:pt>
                <c:pt idx="8">
                  <c:v>07:00–08:00</c:v>
                </c:pt>
                <c:pt idx="9">
                  <c:v>08:00–09:00</c:v>
                </c:pt>
                <c:pt idx="10">
                  <c:v>09:00–10:00</c:v>
                </c:pt>
                <c:pt idx="11">
                  <c:v>10:00–11:00</c:v>
                </c:pt>
                <c:pt idx="12">
                  <c:v>11:00–12:00</c:v>
                </c:pt>
                <c:pt idx="13">
                  <c:v>12:00–13:00</c:v>
                </c:pt>
                <c:pt idx="14">
                  <c:v>13:00–14:00</c:v>
                </c:pt>
                <c:pt idx="15">
                  <c:v>14:00–15:00</c:v>
                </c:pt>
                <c:pt idx="16">
                  <c:v>15:00–16:00</c:v>
                </c:pt>
                <c:pt idx="17">
                  <c:v>16:00–17:00</c:v>
                </c:pt>
                <c:pt idx="18">
                  <c:v>17:00–18:00</c:v>
                </c:pt>
                <c:pt idx="19">
                  <c:v>18:00–19:00</c:v>
                </c:pt>
                <c:pt idx="20">
                  <c:v>19:00–20:00</c:v>
                </c:pt>
                <c:pt idx="21">
                  <c:v>20:00–21:00</c:v>
                </c:pt>
                <c:pt idx="22">
                  <c:v>21:00–22:00</c:v>
                </c:pt>
                <c:pt idx="23">
                  <c:v>22:00–23:00</c:v>
                </c:pt>
              </c:strCache>
            </c:strRef>
          </c:cat>
          <c:val>
            <c:numRef>
              <c:f>Aug!$D$145:$D$168</c:f>
              <c:numCache>
                <c:formatCode>General</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6="http://schemas.microsoft.com/office/drawing/2014/chart" uri="{C3380CC4-5D6E-409C-BE32-E72D297353CC}">
              <c16:uniqueId val="{00000000-2B28-4CA1-8D83-CE38E342900E}"/>
            </c:ext>
          </c:extLst>
        </c:ser>
        <c:dLbls>
          <c:showLegendKey val="0"/>
          <c:showVal val="0"/>
          <c:showCatName val="0"/>
          <c:showSerName val="0"/>
          <c:showPercent val="0"/>
          <c:showBubbleSize val="0"/>
        </c:dLbls>
        <c:gapWidth val="182"/>
        <c:axId val="1658854639"/>
        <c:axId val="1658861839"/>
      </c:barChart>
      <c:catAx>
        <c:axId val="16588546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1658861839"/>
        <c:crosses val="autoZero"/>
        <c:auto val="1"/>
        <c:lblAlgn val="ctr"/>
        <c:lblOffset val="100"/>
        <c:noMultiLvlLbl val="0"/>
      </c:catAx>
      <c:valAx>
        <c:axId val="1658861839"/>
        <c:scaling>
          <c:orientation val="minMax"/>
        </c:scaling>
        <c:delete val="1"/>
        <c:axPos val="t"/>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658854639"/>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orientation="landscape"/>
  </c:printSettings>
</c:chartSpace>
</file>

<file path=xl/charts/chart7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Aug!$B$65</c:f>
          <c:strCache>
            <c:ptCount val="1"/>
            <c:pt idx="0">
              <c:v>Falls by Activity</c:v>
            </c:pt>
          </c:strCache>
        </c:strRef>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tx>
            <c:strRef>
              <c:f>Aug!$G$66</c:f>
              <c:strCache>
                <c:ptCount val="1"/>
                <c:pt idx="0">
                  <c:v>Total</c:v>
                </c:pt>
              </c:strCache>
            </c:strRef>
          </c:tx>
          <c:spPr>
            <a:solidFill>
              <a:schemeClr val="bg1">
                <a:lumMod val="75000"/>
              </a:schemeClr>
            </a:solidFill>
            <a:ln>
              <a:solidFill>
                <a:schemeClr val="bg1">
                  <a:lumMod val="85000"/>
                </a:schemeClr>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Aug!$B$67:$B$90</c:f>
              <c:strCache>
                <c:ptCount val="11"/>
                <c:pt idx="0">
                  <c:v>Ambulating with assistive device (walker, cane, wheelchair)</c:v>
                </c:pt>
                <c:pt idx="1">
                  <c:v>Ambulating with staff assistance</c:v>
                </c:pt>
                <c:pt idx="2">
                  <c:v>Ambulating without assistance or assistive device</c:v>
                </c:pt>
                <c:pt idx="3">
                  <c:v>Changing position (e.g., in bed, chair)</c:v>
                </c:pt>
                <c:pt idx="4">
                  <c:v>Dressing or undressing</c:v>
                </c:pt>
                <c:pt idx="5">
                  <c:v>Other activity</c:v>
                </c:pt>
                <c:pt idx="6">
                  <c:v>Reaching for an item</c:v>
                </c:pt>
                <c:pt idx="7">
                  <c:v>Showering or bathing</c:v>
                </c:pt>
                <c:pt idx="8">
                  <c:v>Toileting</c:v>
                </c:pt>
                <c:pt idx="9">
                  <c:v>Transferring to or from bed, chair, wheelchair, etc.</c:v>
                </c:pt>
                <c:pt idx="10">
                  <c:v>Unknown</c:v>
                </c:pt>
              </c:strCache>
            </c:strRef>
          </c:cat>
          <c:val>
            <c:numRef>
              <c:f>Aug!$G$67:$G$90</c:f>
              <c:numCache>
                <c:formatCode>General</c:formatCode>
                <c:ptCount val="24"/>
                <c:pt idx="0">
                  <c:v>0</c:v>
                </c:pt>
                <c:pt idx="1">
                  <c:v>0</c:v>
                </c:pt>
                <c:pt idx="2">
                  <c:v>0</c:v>
                </c:pt>
                <c:pt idx="3">
                  <c:v>0</c:v>
                </c:pt>
                <c:pt idx="4">
                  <c:v>0</c:v>
                </c:pt>
                <c:pt idx="5">
                  <c:v>0</c:v>
                </c:pt>
                <c:pt idx="6">
                  <c:v>0</c:v>
                </c:pt>
                <c:pt idx="7">
                  <c:v>0</c:v>
                </c:pt>
                <c:pt idx="8">
                  <c:v>0</c:v>
                </c:pt>
                <c:pt idx="9">
                  <c:v>0</c:v>
                </c:pt>
                <c:pt idx="10">
                  <c:v>0</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val>
          <c:extLst>
            <c:ext xmlns:c16="http://schemas.microsoft.com/office/drawing/2014/chart" uri="{C3380CC4-5D6E-409C-BE32-E72D297353CC}">
              <c16:uniqueId val="{00000000-8B93-4956-A21E-4DFAC25A3022}"/>
            </c:ext>
          </c:extLst>
        </c:ser>
        <c:dLbls>
          <c:showLegendKey val="0"/>
          <c:showVal val="0"/>
          <c:showCatName val="0"/>
          <c:showSerName val="0"/>
          <c:showPercent val="0"/>
          <c:showBubbleSize val="0"/>
        </c:dLbls>
        <c:gapWidth val="182"/>
        <c:axId val="1658854639"/>
        <c:axId val="1658861839"/>
      </c:barChart>
      <c:catAx>
        <c:axId val="16588546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1658861839"/>
        <c:crosses val="autoZero"/>
        <c:auto val="1"/>
        <c:lblAlgn val="ctr"/>
        <c:lblOffset val="100"/>
        <c:noMultiLvlLbl val="0"/>
      </c:catAx>
      <c:valAx>
        <c:axId val="1658861839"/>
        <c:scaling>
          <c:orientation val="minMax"/>
        </c:scaling>
        <c:delete val="1"/>
        <c:axPos val="t"/>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658854639"/>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orientation="landscape"/>
  </c:printSettings>
</c:chartSpace>
</file>

<file path=xl/charts/chart7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5"/>
    </mc:Choice>
    <mc:Fallback>
      <c:style val="5"/>
    </mc:Fallback>
  </mc:AlternateContent>
  <c:chart>
    <c:title>
      <c:tx>
        <c:strRef>
          <c:f>Aug!$B$51</c:f>
          <c:strCache>
            <c:ptCount val="1"/>
            <c:pt idx="0">
              <c:v>Witnessed Falls</c:v>
            </c:pt>
          </c:strCache>
        </c:strRef>
      </c:tx>
      <c:layout>
        <c:manualLayout>
          <c:xMode val="edge"/>
          <c:yMode val="edge"/>
          <c:x val="0.28456383934819923"/>
          <c:y val="4.8263836268180225E-2"/>
        </c:manualLayout>
      </c:layout>
      <c:overlay val="0"/>
      <c:spPr>
        <a:noFill/>
        <a:ln>
          <a:noFill/>
        </a:ln>
        <a:effectLst/>
      </c:spPr>
      <c:txPr>
        <a:bodyPr rot="0" spcFirstLastPara="1" vertOverflow="ellipsis" vert="horz" wrap="square" anchor="ctr" anchorCtr="1"/>
        <a:lstStyle/>
        <a:p>
          <a:pPr>
            <a:defRPr sz="1100" b="1" i="0" u="none" strike="noStrike" kern="1200" spc="0" baseline="0">
              <a:solidFill>
                <a:sysClr val="windowText" lastClr="000000"/>
              </a:solidFill>
              <a:latin typeface="+mn-lt"/>
              <a:ea typeface="+mn-ea"/>
              <a:cs typeface="+mn-cs"/>
            </a:defRPr>
          </a:pPr>
          <a:endParaRPr lang="en-US"/>
        </a:p>
      </c:txPr>
    </c:title>
    <c:autoTitleDeleted val="0"/>
    <c:plotArea>
      <c:layout/>
      <c:pieChart>
        <c:varyColors val="1"/>
        <c:ser>
          <c:idx val="2"/>
          <c:order val="0"/>
          <c:tx>
            <c:strRef>
              <c:f>Aug!$D$52</c:f>
              <c:strCache>
                <c:ptCount val="1"/>
                <c:pt idx="0">
                  <c:v>Total</c:v>
                </c:pt>
              </c:strCache>
            </c:strRef>
          </c:tx>
          <c:spPr>
            <a:solidFill>
              <a:srgbClr val="F7F7F7"/>
            </a:solidFill>
            <a:ln w="19050">
              <a:solidFill>
                <a:schemeClr val="bg2">
                  <a:lumMod val="90000"/>
                </a:schemeClr>
              </a:solidFill>
            </a:ln>
          </c:spPr>
          <c:dPt>
            <c:idx val="0"/>
            <c:bubble3D val="0"/>
            <c:spPr>
              <a:solidFill>
                <a:srgbClr val="F7F7F7"/>
              </a:solidFill>
              <a:ln w="19050">
                <a:solidFill>
                  <a:schemeClr val="bg2">
                    <a:lumMod val="90000"/>
                  </a:schemeClr>
                </a:solidFill>
              </a:ln>
              <a:effectLst/>
            </c:spPr>
            <c:extLst>
              <c:ext xmlns:c16="http://schemas.microsoft.com/office/drawing/2014/chart" uri="{C3380CC4-5D6E-409C-BE32-E72D297353CC}">
                <c16:uniqueId val="{00000001-4DB2-457F-8C1B-9F7EDE81A5E0}"/>
              </c:ext>
            </c:extLst>
          </c:dPt>
          <c:dPt>
            <c:idx val="1"/>
            <c:bubble3D val="0"/>
            <c:spPr>
              <a:solidFill>
                <a:schemeClr val="bg2"/>
              </a:solidFill>
              <a:ln w="19050">
                <a:solidFill>
                  <a:schemeClr val="bg2">
                    <a:lumMod val="90000"/>
                  </a:schemeClr>
                </a:solidFill>
              </a:ln>
              <a:effectLst/>
            </c:spPr>
            <c:extLst>
              <c:ext xmlns:c16="http://schemas.microsoft.com/office/drawing/2014/chart" uri="{C3380CC4-5D6E-409C-BE32-E72D297353CC}">
                <c16:uniqueId val="{00000003-4DB2-457F-8C1B-9F7EDE81A5E0}"/>
              </c:ext>
            </c:extLst>
          </c:dPt>
          <c:dLbls>
            <c:dLbl>
              <c:idx val="0"/>
              <c:layout>
                <c:manualLayout>
                  <c:x val="6.2922200858950839E-2"/>
                  <c:y val="-5.7940247469122956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DB2-457F-8C1B-9F7EDE81A5E0}"/>
                </c:ext>
              </c:extLst>
            </c:dLbl>
            <c:dLbl>
              <c:idx val="1"/>
              <c:layout>
                <c:manualLayout>
                  <c:x val="-4.8011385115936479E-2"/>
                  <c:y val="2.6697554736401265E-2"/>
                </c:manualLayout>
              </c:layout>
              <c:spPr>
                <a:noFill/>
                <a:ln>
                  <a:noFill/>
                </a:ln>
                <a:effectLst/>
              </c:spPr>
              <c:txPr>
                <a:bodyPr rot="0" spcFirstLastPara="1" vertOverflow="ellipsis" vert="horz" wrap="square" lIns="38100" tIns="19050" rIns="38100" bIns="19050" anchor="ctr" anchorCtr="1">
                  <a:noAutofit/>
                </a:bodyPr>
                <a:lstStyle/>
                <a:p>
                  <a:pPr>
                    <a:defRPr sz="9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0"/>
              <c:showBubbleSize val="0"/>
              <c:extLst>
                <c:ext xmlns:c15="http://schemas.microsoft.com/office/drawing/2012/chart" uri="{CE6537A1-D6FC-4f65-9D91-7224C49458BB}">
                  <c15:layout>
                    <c:manualLayout>
                      <c:w val="0.24931745400710711"/>
                      <c:h val="0.11967240535812428"/>
                    </c:manualLayout>
                  </c15:layout>
                </c:ext>
                <c:ext xmlns:c16="http://schemas.microsoft.com/office/drawing/2014/chart" uri="{C3380CC4-5D6E-409C-BE32-E72D297353CC}">
                  <c16:uniqueId val="{00000003-4DB2-457F-8C1B-9F7EDE81A5E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Aug!$B$53:$B$54</c:f>
              <c:strCache>
                <c:ptCount val="2"/>
                <c:pt idx="0">
                  <c:v>Yes</c:v>
                </c:pt>
                <c:pt idx="1">
                  <c:v>No</c:v>
                </c:pt>
              </c:strCache>
            </c:strRef>
          </c:cat>
          <c:val>
            <c:numRef>
              <c:f>Aug!$D$53:$D$54</c:f>
              <c:numCache>
                <c:formatCode>General</c:formatCode>
                <c:ptCount val="2"/>
                <c:pt idx="0">
                  <c:v>0</c:v>
                </c:pt>
                <c:pt idx="1">
                  <c:v>0</c:v>
                </c:pt>
              </c:numCache>
            </c:numRef>
          </c:val>
          <c:extLst>
            <c:ext xmlns:c16="http://schemas.microsoft.com/office/drawing/2014/chart" uri="{C3380CC4-5D6E-409C-BE32-E72D297353CC}">
              <c16:uniqueId val="{00000004-4DB2-457F-8C1B-9F7EDE81A5E0}"/>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solidFill>
      <a:schemeClr val="bg1"/>
    </a:solidFill>
    <a:ln w="3175"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c:printSettings>
</c:chartSpace>
</file>

<file path=xl/charts/chart7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Aug!$B$171</c:f>
          <c:strCache>
            <c:ptCount val="1"/>
            <c:pt idx="0">
              <c:v>Falls by Contributing Factors</c:v>
            </c:pt>
          </c:strCache>
        </c:strRef>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4"/>
          <c:order val="0"/>
          <c:tx>
            <c:strRef>
              <c:f>Aug!$G$172</c:f>
              <c:strCache>
                <c:ptCount val="1"/>
                <c:pt idx="0">
                  <c:v>Total</c:v>
                </c:pt>
              </c:strCache>
            </c:strRef>
          </c:tx>
          <c:spPr>
            <a:solidFill>
              <a:schemeClr val="bg2">
                <a:lumMod val="9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Aug!$B$173:$B$196</c:f>
              <c:strCache>
                <c:ptCount val="11"/>
                <c:pt idx="0">
                  <c:v>Assisted/caregiver transfer</c:v>
                </c:pt>
                <c:pt idx="1">
                  <c:v>Bowel and bladder (B&amp;B) needs</c:v>
                </c:pt>
                <c:pt idx="2">
                  <c:v>Behavioral or situational</c:v>
                </c:pt>
                <c:pt idx="3">
                  <c:v>Change of condition</c:v>
                </c:pt>
                <c:pt idx="4">
                  <c:v>Environmental factors</c:v>
                </c:pt>
                <c:pt idx="5">
                  <c:v>Equipment malfunction</c:v>
                </c:pt>
                <c:pt idx="6">
                  <c:v>Equipment or assistive device</c:v>
                </c:pt>
                <c:pt idx="7">
                  <c:v>Medication related</c:v>
                </c:pt>
                <c:pt idx="8">
                  <c:v>Process(s) not followed</c:v>
                </c:pt>
                <c:pt idx="9">
                  <c:v>Resident health conditions</c:v>
                </c:pt>
                <c:pt idx="10">
                  <c:v>Staff</c:v>
                </c:pt>
              </c:strCache>
            </c:strRef>
          </c:cat>
          <c:val>
            <c:numRef>
              <c:f>Aug!$G$173:$G$196</c:f>
              <c:numCache>
                <c:formatCode>General</c:formatCode>
                <c:ptCount val="24"/>
                <c:pt idx="0">
                  <c:v>0</c:v>
                </c:pt>
                <c:pt idx="1">
                  <c:v>0</c:v>
                </c:pt>
                <c:pt idx="2">
                  <c:v>0</c:v>
                </c:pt>
                <c:pt idx="3">
                  <c:v>0</c:v>
                </c:pt>
                <c:pt idx="4">
                  <c:v>0</c:v>
                </c:pt>
                <c:pt idx="5">
                  <c:v>0</c:v>
                </c:pt>
                <c:pt idx="6">
                  <c:v>0</c:v>
                </c:pt>
                <c:pt idx="7">
                  <c:v>0</c:v>
                </c:pt>
                <c:pt idx="8">
                  <c:v>0</c:v>
                </c:pt>
                <c:pt idx="9">
                  <c:v>0</c:v>
                </c:pt>
                <c:pt idx="10">
                  <c:v>0</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val>
          <c:extLst>
            <c:ext xmlns:c16="http://schemas.microsoft.com/office/drawing/2014/chart" uri="{C3380CC4-5D6E-409C-BE32-E72D297353CC}">
              <c16:uniqueId val="{00000000-F807-4AA7-B25F-829555C88DA5}"/>
            </c:ext>
          </c:extLst>
        </c:ser>
        <c:dLbls>
          <c:showLegendKey val="0"/>
          <c:showVal val="0"/>
          <c:showCatName val="0"/>
          <c:showSerName val="0"/>
          <c:showPercent val="0"/>
          <c:showBubbleSize val="0"/>
        </c:dLbls>
        <c:gapWidth val="182"/>
        <c:axId val="1658854639"/>
        <c:axId val="1658861839"/>
      </c:barChart>
      <c:catAx>
        <c:axId val="16588546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bg2">
                    <a:lumMod val="50000"/>
                  </a:schemeClr>
                </a:solidFill>
                <a:latin typeface="+mn-lt"/>
                <a:ea typeface="+mn-ea"/>
                <a:cs typeface="+mn-cs"/>
              </a:defRPr>
            </a:pPr>
            <a:endParaRPr lang="en-US"/>
          </a:p>
        </c:txPr>
        <c:crossAx val="1658861839"/>
        <c:crosses val="autoZero"/>
        <c:auto val="1"/>
        <c:lblAlgn val="ctr"/>
        <c:lblOffset val="100"/>
        <c:noMultiLvlLbl val="0"/>
      </c:catAx>
      <c:valAx>
        <c:axId val="1658861839"/>
        <c:scaling>
          <c:orientation val="minMax"/>
        </c:scaling>
        <c:delete val="1"/>
        <c:axPos val="t"/>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658854639"/>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orientation="landscape"/>
  </c:printSettings>
</c:chartSpace>
</file>

<file path=xl/charts/chart7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Aug!$F$51</c:f>
          <c:strCache>
            <c:ptCount val="1"/>
            <c:pt idx="0">
              <c:v>Fall Circumstances</c:v>
            </c:pt>
          </c:strCache>
        </c:strRef>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Aug!$H$52</c:f>
              <c:strCache>
                <c:ptCount val="1"/>
                <c:pt idx="0">
                  <c:v>Total</c:v>
                </c:pt>
              </c:strCache>
            </c:strRef>
          </c:tx>
          <c:spPr>
            <a:solidFill>
              <a:schemeClr val="bg2">
                <a:lumMod val="90000"/>
              </a:schemeClr>
            </a:solidFill>
            <a:ln>
              <a:solidFill>
                <a:schemeClr val="bg2">
                  <a:lumMod val="90000"/>
                </a:schemeClr>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Aug!$F$53:$F$55</c:f>
              <c:strCache>
                <c:ptCount val="3"/>
                <c:pt idx="0">
                  <c:v>Overwhelming Force</c:v>
                </c:pt>
                <c:pt idx="1">
                  <c:v>Intercepted</c:v>
                </c:pt>
                <c:pt idx="2">
                  <c:v>N/A</c:v>
                </c:pt>
              </c:strCache>
            </c:strRef>
          </c:cat>
          <c:val>
            <c:numRef>
              <c:f>Aug!$H$53:$H$55</c:f>
              <c:numCache>
                <c:formatCode>General</c:formatCode>
                <c:ptCount val="3"/>
                <c:pt idx="0">
                  <c:v>0</c:v>
                </c:pt>
                <c:pt idx="1">
                  <c:v>0</c:v>
                </c:pt>
                <c:pt idx="2">
                  <c:v>0</c:v>
                </c:pt>
              </c:numCache>
            </c:numRef>
          </c:val>
          <c:extLst>
            <c:ext xmlns:c16="http://schemas.microsoft.com/office/drawing/2014/chart" uri="{C3380CC4-5D6E-409C-BE32-E72D297353CC}">
              <c16:uniqueId val="{00000000-CBC8-4C9E-9A32-03F3A4A84F49}"/>
            </c:ext>
          </c:extLst>
        </c:ser>
        <c:dLbls>
          <c:showLegendKey val="0"/>
          <c:showVal val="0"/>
          <c:showCatName val="0"/>
          <c:showSerName val="0"/>
          <c:showPercent val="0"/>
          <c:showBubbleSize val="0"/>
        </c:dLbls>
        <c:gapWidth val="219"/>
        <c:overlap val="-27"/>
        <c:axId val="1226967759"/>
        <c:axId val="1226960559"/>
      </c:barChart>
      <c:catAx>
        <c:axId val="12269677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US"/>
          </a:p>
        </c:txPr>
        <c:crossAx val="1226960559"/>
        <c:crosses val="autoZero"/>
        <c:auto val="1"/>
        <c:lblAlgn val="ctr"/>
        <c:lblOffset val="100"/>
        <c:noMultiLvlLbl val="0"/>
      </c:catAx>
      <c:valAx>
        <c:axId val="122696055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1226967759"/>
        <c:crosses val="autoZero"/>
        <c:crossBetween val="between"/>
      </c:valAx>
      <c:spPr>
        <a:noFill/>
        <a:ln>
          <a:noFill/>
        </a:ln>
        <a:effectLst/>
      </c:spPr>
    </c:plotArea>
    <c:plotVisOnly val="1"/>
    <c:dispBlanksAs val="gap"/>
    <c:showDLblsOverMax val="0"/>
  </c:chart>
  <c:spPr>
    <a:noFill/>
    <a:ln w="6350"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5"/>
    </mc:Choice>
    <mc:Fallback>
      <c:style val="5"/>
    </mc:Fallback>
  </mc:AlternateContent>
  <c:chart>
    <c:title>
      <c:tx>
        <c:strRef>
          <c:f>Jan!$B$51</c:f>
          <c:strCache>
            <c:ptCount val="1"/>
            <c:pt idx="0">
              <c:v>Witnessed Falls</c:v>
            </c:pt>
          </c:strCache>
        </c:strRef>
      </c:tx>
      <c:layout>
        <c:manualLayout>
          <c:xMode val="edge"/>
          <c:yMode val="edge"/>
          <c:x val="0.28456383934819923"/>
          <c:y val="4.8263836268180225E-2"/>
        </c:manualLayout>
      </c:layout>
      <c:overlay val="0"/>
      <c:spPr>
        <a:noFill/>
        <a:ln>
          <a:noFill/>
        </a:ln>
        <a:effectLst/>
      </c:spPr>
      <c:txPr>
        <a:bodyPr rot="0" spcFirstLastPara="1" vertOverflow="ellipsis" vert="horz" wrap="square" anchor="ctr" anchorCtr="1"/>
        <a:lstStyle/>
        <a:p>
          <a:pPr>
            <a:defRPr sz="1100" b="1" i="0" u="none" strike="noStrike" kern="1200" spc="0" baseline="0">
              <a:solidFill>
                <a:sysClr val="windowText" lastClr="000000"/>
              </a:solidFill>
              <a:latin typeface="+mn-lt"/>
              <a:ea typeface="+mn-ea"/>
              <a:cs typeface="+mn-cs"/>
            </a:defRPr>
          </a:pPr>
          <a:endParaRPr lang="en-US"/>
        </a:p>
      </c:txPr>
    </c:title>
    <c:autoTitleDeleted val="0"/>
    <c:plotArea>
      <c:layout/>
      <c:pieChart>
        <c:varyColors val="1"/>
        <c:ser>
          <c:idx val="2"/>
          <c:order val="0"/>
          <c:tx>
            <c:strRef>
              <c:f>Jan!$D$52</c:f>
              <c:strCache>
                <c:ptCount val="1"/>
                <c:pt idx="0">
                  <c:v>Total</c:v>
                </c:pt>
              </c:strCache>
            </c:strRef>
          </c:tx>
          <c:spPr>
            <a:solidFill>
              <a:srgbClr val="F7F7F7"/>
            </a:solidFill>
            <a:ln w="19050">
              <a:solidFill>
                <a:schemeClr val="bg2">
                  <a:lumMod val="90000"/>
                </a:schemeClr>
              </a:solidFill>
            </a:ln>
          </c:spPr>
          <c:dPt>
            <c:idx val="0"/>
            <c:bubble3D val="0"/>
            <c:spPr>
              <a:solidFill>
                <a:srgbClr val="F7F7F7"/>
              </a:solidFill>
              <a:ln w="19050">
                <a:solidFill>
                  <a:schemeClr val="bg2">
                    <a:lumMod val="90000"/>
                  </a:schemeClr>
                </a:solidFill>
              </a:ln>
              <a:effectLst/>
            </c:spPr>
            <c:extLst>
              <c:ext xmlns:c16="http://schemas.microsoft.com/office/drawing/2014/chart" uri="{C3380CC4-5D6E-409C-BE32-E72D297353CC}">
                <c16:uniqueId val="{0000000E-6B68-4C4D-BE49-03D456B4C48B}"/>
              </c:ext>
            </c:extLst>
          </c:dPt>
          <c:dPt>
            <c:idx val="1"/>
            <c:bubble3D val="0"/>
            <c:spPr>
              <a:solidFill>
                <a:schemeClr val="bg2"/>
              </a:solidFill>
              <a:ln w="19050">
                <a:solidFill>
                  <a:schemeClr val="bg2">
                    <a:lumMod val="90000"/>
                  </a:schemeClr>
                </a:solidFill>
              </a:ln>
              <a:effectLst/>
            </c:spPr>
            <c:extLst>
              <c:ext xmlns:c16="http://schemas.microsoft.com/office/drawing/2014/chart" uri="{C3380CC4-5D6E-409C-BE32-E72D297353CC}">
                <c16:uniqueId val="{0000000F-6B68-4C4D-BE49-03D456B4C48B}"/>
              </c:ext>
            </c:extLst>
          </c:dPt>
          <c:dLbls>
            <c:dLbl>
              <c:idx val="0"/>
              <c:layout>
                <c:manualLayout>
                  <c:x val="6.2922200858950839E-2"/>
                  <c:y val="-5.7940247469122956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E-6B68-4C4D-BE49-03D456B4C48B}"/>
                </c:ext>
              </c:extLst>
            </c:dLbl>
            <c:dLbl>
              <c:idx val="1"/>
              <c:layout>
                <c:manualLayout>
                  <c:x val="-4.8011385115936479E-2"/>
                  <c:y val="2.6697554736401265E-2"/>
                </c:manualLayout>
              </c:layout>
              <c:spPr>
                <a:noFill/>
                <a:ln>
                  <a:noFill/>
                </a:ln>
                <a:effectLst/>
              </c:spPr>
              <c:txPr>
                <a:bodyPr rot="0" spcFirstLastPara="1" vertOverflow="ellipsis" vert="horz" wrap="square" lIns="38100" tIns="19050" rIns="38100" bIns="19050" anchor="ctr" anchorCtr="1">
                  <a:noAutofit/>
                </a:bodyPr>
                <a:lstStyle/>
                <a:p>
                  <a:pPr>
                    <a:defRPr sz="9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0"/>
              <c:showBubbleSize val="0"/>
              <c:extLst>
                <c:ext xmlns:c15="http://schemas.microsoft.com/office/drawing/2012/chart" uri="{CE6537A1-D6FC-4f65-9D91-7224C49458BB}">
                  <c15:layout>
                    <c:manualLayout>
                      <c:w val="0.24931745400710711"/>
                      <c:h val="0.11967240535812428"/>
                    </c:manualLayout>
                  </c15:layout>
                </c:ext>
                <c:ext xmlns:c16="http://schemas.microsoft.com/office/drawing/2014/chart" uri="{C3380CC4-5D6E-409C-BE32-E72D297353CC}">
                  <c16:uniqueId val="{0000000F-6B68-4C4D-BE49-03D456B4C48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Jan!$B$53:$B$54</c:f>
              <c:strCache>
                <c:ptCount val="2"/>
                <c:pt idx="0">
                  <c:v>Yes</c:v>
                </c:pt>
                <c:pt idx="1">
                  <c:v>No</c:v>
                </c:pt>
              </c:strCache>
            </c:strRef>
          </c:cat>
          <c:val>
            <c:numRef>
              <c:f>Jan!$D$53:$D$54</c:f>
              <c:numCache>
                <c:formatCode>General</c:formatCode>
                <c:ptCount val="2"/>
                <c:pt idx="0">
                  <c:v>0</c:v>
                </c:pt>
                <c:pt idx="1">
                  <c:v>0</c:v>
                </c:pt>
              </c:numCache>
            </c:numRef>
          </c:val>
          <c:extLst>
            <c:ext xmlns:c16="http://schemas.microsoft.com/office/drawing/2014/chart" uri="{C3380CC4-5D6E-409C-BE32-E72D297353CC}">
              <c16:uniqueId val="{0000000D-6B68-4C4D-BE49-03D456B4C48B}"/>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solidFill>
      <a:schemeClr val="bg1"/>
    </a:solidFill>
    <a:ln w="3175"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c:printSettings>
</c:chartSpace>
</file>

<file path=xl/charts/chart8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Jan!$B$134</c:f>
          <c:strCache>
            <c:ptCount val="1"/>
            <c:pt idx="0">
              <c:v>Falls by Shift</c:v>
            </c:pt>
          </c:strCache>
        </c:strRef>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tx>
            <c:strRef>
              <c:f>Aug!$D$135</c:f>
              <c:strCache>
                <c:ptCount val="1"/>
                <c:pt idx="0">
                  <c:v>Total</c:v>
                </c:pt>
              </c:strCache>
            </c:strRef>
          </c:tx>
          <c:spPr>
            <a:solidFill>
              <a:schemeClr val="bg1">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Aug!$B$136:$B$140</c:f>
              <c:strCache>
                <c:ptCount val="4"/>
                <c:pt idx="0">
                  <c:v>11-7</c:v>
                </c:pt>
                <c:pt idx="1">
                  <c:v>11–7</c:v>
                </c:pt>
                <c:pt idx="2">
                  <c:v>7–3</c:v>
                </c:pt>
                <c:pt idx="3">
                  <c:v>3–11</c:v>
                </c:pt>
              </c:strCache>
            </c:strRef>
          </c:cat>
          <c:val>
            <c:numRef>
              <c:f>Aug!$D$136:$D$140</c:f>
              <c:numCache>
                <c:formatCode>General</c:formatCode>
                <c:ptCount val="5"/>
                <c:pt idx="0">
                  <c:v>0</c:v>
                </c:pt>
                <c:pt idx="1">
                  <c:v>0</c:v>
                </c:pt>
                <c:pt idx="2">
                  <c:v>0</c:v>
                </c:pt>
                <c:pt idx="3">
                  <c:v>0</c:v>
                </c:pt>
                <c:pt idx="4">
                  <c:v>#N/A</c:v>
                </c:pt>
              </c:numCache>
            </c:numRef>
          </c:val>
          <c:extLst>
            <c:ext xmlns:c16="http://schemas.microsoft.com/office/drawing/2014/chart" uri="{C3380CC4-5D6E-409C-BE32-E72D297353CC}">
              <c16:uniqueId val="{00000001-1849-44E3-BBA5-CA95C315750D}"/>
            </c:ext>
          </c:extLst>
        </c:ser>
        <c:dLbls>
          <c:showLegendKey val="0"/>
          <c:showVal val="0"/>
          <c:showCatName val="0"/>
          <c:showSerName val="0"/>
          <c:showPercent val="0"/>
          <c:showBubbleSize val="0"/>
        </c:dLbls>
        <c:gapWidth val="219"/>
        <c:axId val="789078271"/>
        <c:axId val="789056671"/>
      </c:barChart>
      <c:catAx>
        <c:axId val="789078271"/>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US"/>
          </a:p>
        </c:txPr>
        <c:crossAx val="789056671"/>
        <c:crosses val="autoZero"/>
        <c:auto val="1"/>
        <c:lblAlgn val="ctr"/>
        <c:lblOffset val="100"/>
        <c:noMultiLvlLbl val="0"/>
      </c:catAx>
      <c:valAx>
        <c:axId val="789056671"/>
        <c:scaling>
          <c:orientation val="minMax"/>
        </c:scaling>
        <c:delete val="1"/>
        <c:axPos val="t"/>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789078271"/>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c:printSettings>
</c:chartSpace>
</file>

<file path=xl/charts/chart8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5"/>
    </mc:Choice>
    <mc:Fallback>
      <c:style val="5"/>
    </mc:Fallback>
  </mc:AlternateContent>
  <c:chart>
    <c:title>
      <c:tx>
        <c:strRef>
          <c:f>Sept!$B$93</c:f>
          <c:strCache>
            <c:ptCount val="1"/>
            <c:pt idx="0">
              <c:v>Falls by Location</c:v>
            </c:pt>
          </c:strCache>
        </c:strRef>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
          <c:order val="0"/>
          <c:tx>
            <c:strRef>
              <c:f>Sept!$D$94</c:f>
              <c:strCache>
                <c:ptCount val="1"/>
                <c:pt idx="0">
                  <c:v>Total</c:v>
                </c:pt>
              </c:strCache>
            </c:strRef>
          </c:tx>
          <c:spPr>
            <a:solidFill>
              <a:schemeClr val="accent3">
                <a:tint val="77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Sept!$B$95:$B$105</c:f>
              <c:strCache>
                <c:ptCount val="7"/>
                <c:pt idx="0">
                  <c:v>Activity Room</c:v>
                </c:pt>
                <c:pt idx="1">
                  <c:v>Bedroom</c:v>
                </c:pt>
                <c:pt idx="2">
                  <c:v>Bathroom</c:v>
                </c:pt>
                <c:pt idx="3">
                  <c:v>Hallway</c:v>
                </c:pt>
                <c:pt idx="4">
                  <c:v>Offsite</c:v>
                </c:pt>
                <c:pt idx="5">
                  <c:v>Shower Room</c:v>
                </c:pt>
                <c:pt idx="6">
                  <c:v>Dining Room</c:v>
                </c:pt>
              </c:strCache>
            </c:strRef>
          </c:cat>
          <c:val>
            <c:numRef>
              <c:f>Sept!$D$95:$D$105</c:f>
              <c:numCache>
                <c:formatCode>General</c:formatCode>
                <c:ptCount val="11"/>
                <c:pt idx="0">
                  <c:v>0</c:v>
                </c:pt>
                <c:pt idx="1">
                  <c:v>0</c:v>
                </c:pt>
                <c:pt idx="2">
                  <c:v>0</c:v>
                </c:pt>
                <c:pt idx="3">
                  <c:v>0</c:v>
                </c:pt>
                <c:pt idx="4">
                  <c:v>0</c:v>
                </c:pt>
                <c:pt idx="5">
                  <c:v>0</c:v>
                </c:pt>
                <c:pt idx="6">
                  <c:v>0</c:v>
                </c:pt>
                <c:pt idx="7">
                  <c:v>#N/A</c:v>
                </c:pt>
                <c:pt idx="8">
                  <c:v>#N/A</c:v>
                </c:pt>
                <c:pt idx="9">
                  <c:v>#N/A</c:v>
                </c:pt>
                <c:pt idx="10">
                  <c:v>#N/A</c:v>
                </c:pt>
              </c:numCache>
            </c:numRef>
          </c:val>
          <c:extLst>
            <c:ext xmlns:c16="http://schemas.microsoft.com/office/drawing/2014/chart" uri="{C3380CC4-5D6E-409C-BE32-E72D297353CC}">
              <c16:uniqueId val="{00000000-F0C9-4C3B-A18F-DCF41140B742}"/>
            </c:ext>
          </c:extLst>
        </c:ser>
        <c:dLbls>
          <c:showLegendKey val="0"/>
          <c:showVal val="0"/>
          <c:showCatName val="0"/>
          <c:showSerName val="0"/>
          <c:showPercent val="0"/>
          <c:showBubbleSize val="0"/>
        </c:dLbls>
        <c:gapWidth val="219"/>
        <c:overlap val="-27"/>
        <c:axId val="1569634943"/>
        <c:axId val="1590853103"/>
      </c:barChart>
      <c:catAx>
        <c:axId val="156963494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US"/>
          </a:p>
        </c:txPr>
        <c:crossAx val="1590853103"/>
        <c:crosses val="autoZero"/>
        <c:auto val="1"/>
        <c:lblAlgn val="ctr"/>
        <c:lblOffset val="100"/>
        <c:noMultiLvlLbl val="0"/>
      </c:catAx>
      <c:valAx>
        <c:axId val="1590853103"/>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69634943"/>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3175"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c:printSettings>
</c:chartSpace>
</file>

<file path=xl/charts/chart8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Sept!$B$123</c:f>
          <c:strCache>
            <c:ptCount val="1"/>
            <c:pt idx="0">
              <c:v>Falls by Day of the Week </c:v>
            </c:pt>
          </c:strCache>
        </c:strRef>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
          <c:order val="0"/>
          <c:tx>
            <c:strRef>
              <c:f>Sept!$D$124</c:f>
              <c:strCache>
                <c:ptCount val="1"/>
                <c:pt idx="0">
                  <c:v>Total</c:v>
                </c:pt>
              </c:strCache>
            </c:strRef>
          </c:tx>
          <c:spPr>
            <a:solidFill>
              <a:schemeClr val="bg1">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Sept!$B$125:$B$131</c:f>
              <c:strCache>
                <c:ptCount val="7"/>
                <c:pt idx="0">
                  <c:v>Sun</c:v>
                </c:pt>
                <c:pt idx="1">
                  <c:v>Mon</c:v>
                </c:pt>
                <c:pt idx="2">
                  <c:v>Tue</c:v>
                </c:pt>
                <c:pt idx="3">
                  <c:v>Wed</c:v>
                </c:pt>
                <c:pt idx="4">
                  <c:v>Thu</c:v>
                </c:pt>
                <c:pt idx="5">
                  <c:v>Fri</c:v>
                </c:pt>
                <c:pt idx="6">
                  <c:v>Sat</c:v>
                </c:pt>
              </c:strCache>
            </c:strRef>
          </c:cat>
          <c:val>
            <c:numRef>
              <c:f>Sept!$D$125:$D$131</c:f>
              <c:numCache>
                <c:formatCode>General</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ADFA-4CCC-AF41-8B2409A25503}"/>
            </c:ext>
          </c:extLst>
        </c:ser>
        <c:dLbls>
          <c:showLegendKey val="0"/>
          <c:showVal val="0"/>
          <c:showCatName val="0"/>
          <c:showSerName val="0"/>
          <c:showPercent val="0"/>
          <c:showBubbleSize val="0"/>
        </c:dLbls>
        <c:gapWidth val="219"/>
        <c:overlap val="-27"/>
        <c:axId val="1569634943"/>
        <c:axId val="1590853103"/>
      </c:barChart>
      <c:catAx>
        <c:axId val="156963494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US"/>
          </a:p>
        </c:txPr>
        <c:crossAx val="1590853103"/>
        <c:crosses val="autoZero"/>
        <c:auto val="1"/>
        <c:lblAlgn val="ctr"/>
        <c:lblOffset val="100"/>
        <c:noMultiLvlLbl val="0"/>
      </c:catAx>
      <c:valAx>
        <c:axId val="1590853103"/>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69634943"/>
        <c:crosses val="autoZero"/>
        <c:crossBetween val="between"/>
      </c:valAx>
      <c:spPr>
        <a:noFill/>
        <a:ln>
          <a:noFill/>
        </a:ln>
        <a:effectLst/>
      </c:spPr>
    </c:plotArea>
    <c:plotVisOnly val="1"/>
    <c:dispBlanksAs val="gap"/>
    <c:showDLblsOverMax val="0"/>
  </c:chart>
  <c:spPr>
    <a:solidFill>
      <a:schemeClr val="bg1"/>
    </a:solidFill>
    <a:ln w="3175"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c:printSettings>
</c:chartSpace>
</file>

<file path=xl/charts/chart8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Sept!$B$108</c:f>
          <c:strCache>
            <c:ptCount val="1"/>
            <c:pt idx="0">
              <c:v>Falls by Nursing Station </c:v>
            </c:pt>
          </c:strCache>
        </c:strRef>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
          <c:order val="0"/>
          <c:tx>
            <c:strRef>
              <c:f>Sept!$D$109</c:f>
              <c:strCache>
                <c:ptCount val="1"/>
                <c:pt idx="0">
                  <c:v>Total</c:v>
                </c:pt>
              </c:strCache>
            </c:strRef>
          </c:tx>
          <c:spPr>
            <a:solidFill>
              <a:schemeClr val="bg1">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Sept!$B$110:$B$120</c:f>
              <c:strCache>
                <c:ptCount val="5"/>
                <c:pt idx="0">
                  <c:v>1</c:v>
                </c:pt>
                <c:pt idx="1">
                  <c:v>2</c:v>
                </c:pt>
                <c:pt idx="2">
                  <c:v>3</c:v>
                </c:pt>
                <c:pt idx="3">
                  <c:v>4</c:v>
                </c:pt>
                <c:pt idx="4">
                  <c:v>5</c:v>
                </c:pt>
              </c:strCache>
            </c:strRef>
          </c:cat>
          <c:val>
            <c:numRef>
              <c:f>Sept!$D$110:$D$120</c:f>
              <c:numCache>
                <c:formatCode>General</c:formatCode>
                <c:ptCount val="11"/>
                <c:pt idx="0">
                  <c:v>0</c:v>
                </c:pt>
                <c:pt idx="1">
                  <c:v>0</c:v>
                </c:pt>
                <c:pt idx="2">
                  <c:v>0</c:v>
                </c:pt>
                <c:pt idx="3">
                  <c:v>0</c:v>
                </c:pt>
                <c:pt idx="4">
                  <c:v>0</c:v>
                </c:pt>
                <c:pt idx="5">
                  <c:v>#N/A</c:v>
                </c:pt>
                <c:pt idx="6">
                  <c:v>#N/A</c:v>
                </c:pt>
                <c:pt idx="7">
                  <c:v>#N/A</c:v>
                </c:pt>
                <c:pt idx="8">
                  <c:v>#N/A</c:v>
                </c:pt>
                <c:pt idx="9">
                  <c:v>#N/A</c:v>
                </c:pt>
                <c:pt idx="10">
                  <c:v>#N/A</c:v>
                </c:pt>
              </c:numCache>
            </c:numRef>
          </c:val>
          <c:extLst>
            <c:ext xmlns:c16="http://schemas.microsoft.com/office/drawing/2014/chart" uri="{C3380CC4-5D6E-409C-BE32-E72D297353CC}">
              <c16:uniqueId val="{00000000-7976-4002-891D-1782EDBC255F}"/>
            </c:ext>
          </c:extLst>
        </c:ser>
        <c:dLbls>
          <c:showLegendKey val="0"/>
          <c:showVal val="0"/>
          <c:showCatName val="0"/>
          <c:showSerName val="0"/>
          <c:showPercent val="0"/>
          <c:showBubbleSize val="0"/>
        </c:dLbls>
        <c:gapWidth val="219"/>
        <c:overlap val="-27"/>
        <c:axId val="1226967759"/>
        <c:axId val="1226960559"/>
      </c:barChart>
      <c:catAx>
        <c:axId val="12269677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US"/>
          </a:p>
        </c:txPr>
        <c:crossAx val="1226960559"/>
        <c:crosses val="autoZero"/>
        <c:auto val="1"/>
        <c:lblAlgn val="ctr"/>
        <c:lblOffset val="100"/>
        <c:noMultiLvlLbl val="0"/>
      </c:catAx>
      <c:valAx>
        <c:axId val="122696055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1226967759"/>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6350"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c:printSettings>
</c:chartSpace>
</file>

<file path=xl/charts/chart8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Sept!$F$58</c:f>
          <c:strCache>
            <c:ptCount val="1"/>
            <c:pt idx="0">
              <c:v>Falls by BIMS Score</c:v>
            </c:pt>
          </c:strCache>
        </c:strRef>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Sept!$H$59</c:f>
              <c:strCache>
                <c:ptCount val="1"/>
                <c:pt idx="0">
                  <c:v>Total</c:v>
                </c:pt>
              </c:strCache>
            </c:strRef>
          </c:tx>
          <c:spPr>
            <a:solidFill>
              <a:schemeClr val="bg2">
                <a:lumMod val="90000"/>
              </a:schemeClr>
            </a:solidFill>
            <a:ln>
              <a:solidFill>
                <a:schemeClr val="bg2">
                  <a:lumMod val="90000"/>
                </a:schemeClr>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Sept!$F$60:$F$62</c:f>
              <c:strCache>
                <c:ptCount val="3"/>
                <c:pt idx="0">
                  <c:v>Severe (1–7)</c:v>
                </c:pt>
                <c:pt idx="1">
                  <c:v>Moderate (8–12)</c:v>
                </c:pt>
                <c:pt idx="2">
                  <c:v>Intact (13–15)</c:v>
                </c:pt>
              </c:strCache>
            </c:strRef>
          </c:cat>
          <c:val>
            <c:numRef>
              <c:f>Sept!$H$60:$H$62</c:f>
              <c:numCache>
                <c:formatCode>General</c:formatCode>
                <c:ptCount val="3"/>
                <c:pt idx="0">
                  <c:v>0</c:v>
                </c:pt>
                <c:pt idx="1">
                  <c:v>0</c:v>
                </c:pt>
                <c:pt idx="2">
                  <c:v>0</c:v>
                </c:pt>
              </c:numCache>
            </c:numRef>
          </c:val>
          <c:extLst>
            <c:ext xmlns:c16="http://schemas.microsoft.com/office/drawing/2014/chart" uri="{C3380CC4-5D6E-409C-BE32-E72D297353CC}">
              <c16:uniqueId val="{00000000-9A28-4B7C-A3E1-63DAD2B1FFA7}"/>
            </c:ext>
          </c:extLst>
        </c:ser>
        <c:dLbls>
          <c:showLegendKey val="0"/>
          <c:showVal val="0"/>
          <c:showCatName val="0"/>
          <c:showSerName val="0"/>
          <c:showPercent val="0"/>
          <c:showBubbleSize val="0"/>
        </c:dLbls>
        <c:gapWidth val="219"/>
        <c:overlap val="-27"/>
        <c:axId val="1226967759"/>
        <c:axId val="1226960559"/>
      </c:barChart>
      <c:catAx>
        <c:axId val="12269677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US"/>
          </a:p>
        </c:txPr>
        <c:crossAx val="1226960559"/>
        <c:crosses val="autoZero"/>
        <c:auto val="1"/>
        <c:lblAlgn val="ctr"/>
        <c:lblOffset val="100"/>
        <c:noMultiLvlLbl val="0"/>
      </c:catAx>
      <c:valAx>
        <c:axId val="122696055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1226967759"/>
        <c:crosses val="autoZero"/>
        <c:crossBetween val="between"/>
      </c:valAx>
      <c:spPr>
        <a:noFill/>
        <a:ln>
          <a:noFill/>
        </a:ln>
        <a:effectLst/>
      </c:spPr>
    </c:plotArea>
    <c:plotVisOnly val="1"/>
    <c:dispBlanksAs val="gap"/>
    <c:showDLblsOverMax val="0"/>
  </c:chart>
  <c:spPr>
    <a:noFill/>
    <a:ln w="6350"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c:printSettings>
</c:chartSpace>
</file>

<file path=xl/charts/chart8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Sept!$B$143</c:f>
          <c:strCache>
            <c:ptCount val="1"/>
            <c:pt idx="0">
              <c:v>Falls by Hour </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1"/>
          <c:order val="0"/>
          <c:tx>
            <c:strRef>
              <c:f>Sept!$D$144</c:f>
              <c:strCache>
                <c:ptCount val="1"/>
                <c:pt idx="0">
                  <c:v>Total</c:v>
                </c:pt>
              </c:strCache>
            </c:strRef>
          </c:tx>
          <c:spPr>
            <a:solidFill>
              <a:schemeClr val="bg1">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Sept!$B$145:$B$168</c:f>
              <c:strCache>
                <c:ptCount val="24"/>
                <c:pt idx="0">
                  <c:v>23:00–24:00</c:v>
                </c:pt>
                <c:pt idx="1">
                  <c:v>24:00–01:00</c:v>
                </c:pt>
                <c:pt idx="2">
                  <c:v>01:00–02:00</c:v>
                </c:pt>
                <c:pt idx="3">
                  <c:v>02:00–03:00</c:v>
                </c:pt>
                <c:pt idx="4">
                  <c:v>03:00–04:00</c:v>
                </c:pt>
                <c:pt idx="5">
                  <c:v>04:00–05:00</c:v>
                </c:pt>
                <c:pt idx="6">
                  <c:v>05:00–06:00</c:v>
                </c:pt>
                <c:pt idx="7">
                  <c:v>06:00–07:00</c:v>
                </c:pt>
                <c:pt idx="8">
                  <c:v>07:00–08:00</c:v>
                </c:pt>
                <c:pt idx="9">
                  <c:v>08:00–09:00</c:v>
                </c:pt>
                <c:pt idx="10">
                  <c:v>09:00–10:00</c:v>
                </c:pt>
                <c:pt idx="11">
                  <c:v>10:00–11:00</c:v>
                </c:pt>
                <c:pt idx="12">
                  <c:v>11:00–12:00</c:v>
                </c:pt>
                <c:pt idx="13">
                  <c:v>12:00–13:00</c:v>
                </c:pt>
                <c:pt idx="14">
                  <c:v>13:00–14:00</c:v>
                </c:pt>
                <c:pt idx="15">
                  <c:v>14:00–15:00</c:v>
                </c:pt>
                <c:pt idx="16">
                  <c:v>15:00–16:00</c:v>
                </c:pt>
                <c:pt idx="17">
                  <c:v>16:00–17:00</c:v>
                </c:pt>
                <c:pt idx="18">
                  <c:v>17:00–18:00</c:v>
                </c:pt>
                <c:pt idx="19">
                  <c:v>18:00–19:00</c:v>
                </c:pt>
                <c:pt idx="20">
                  <c:v>19:00–20:00</c:v>
                </c:pt>
                <c:pt idx="21">
                  <c:v>20:00–21:00</c:v>
                </c:pt>
                <c:pt idx="22">
                  <c:v>21:00–22:00</c:v>
                </c:pt>
                <c:pt idx="23">
                  <c:v>22:00–23:00</c:v>
                </c:pt>
              </c:strCache>
            </c:strRef>
          </c:cat>
          <c:val>
            <c:numRef>
              <c:f>Sept!$D$145:$D$168</c:f>
              <c:numCache>
                <c:formatCode>General</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6="http://schemas.microsoft.com/office/drawing/2014/chart" uri="{C3380CC4-5D6E-409C-BE32-E72D297353CC}">
              <c16:uniqueId val="{00000000-C351-45B8-91C3-4D94149E4ADA}"/>
            </c:ext>
          </c:extLst>
        </c:ser>
        <c:dLbls>
          <c:showLegendKey val="0"/>
          <c:showVal val="0"/>
          <c:showCatName val="0"/>
          <c:showSerName val="0"/>
          <c:showPercent val="0"/>
          <c:showBubbleSize val="0"/>
        </c:dLbls>
        <c:gapWidth val="182"/>
        <c:axId val="1658854639"/>
        <c:axId val="1658861839"/>
      </c:barChart>
      <c:catAx>
        <c:axId val="16588546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1658861839"/>
        <c:crosses val="autoZero"/>
        <c:auto val="1"/>
        <c:lblAlgn val="ctr"/>
        <c:lblOffset val="100"/>
        <c:noMultiLvlLbl val="0"/>
      </c:catAx>
      <c:valAx>
        <c:axId val="1658861839"/>
        <c:scaling>
          <c:orientation val="minMax"/>
        </c:scaling>
        <c:delete val="1"/>
        <c:axPos val="t"/>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658854639"/>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orientation="landscape"/>
  </c:printSettings>
</c:chartSpace>
</file>

<file path=xl/charts/chart8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Sept!$B$65</c:f>
          <c:strCache>
            <c:ptCount val="1"/>
            <c:pt idx="0">
              <c:v>Falls by Activity</c:v>
            </c:pt>
          </c:strCache>
        </c:strRef>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tx>
            <c:strRef>
              <c:f>Sept!$G$66</c:f>
              <c:strCache>
                <c:ptCount val="1"/>
                <c:pt idx="0">
                  <c:v>Total</c:v>
                </c:pt>
              </c:strCache>
            </c:strRef>
          </c:tx>
          <c:spPr>
            <a:solidFill>
              <a:schemeClr val="bg1">
                <a:lumMod val="75000"/>
              </a:schemeClr>
            </a:solidFill>
            <a:ln>
              <a:solidFill>
                <a:schemeClr val="bg1">
                  <a:lumMod val="85000"/>
                </a:schemeClr>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Sept!$B$67:$B$90</c:f>
              <c:strCache>
                <c:ptCount val="11"/>
                <c:pt idx="0">
                  <c:v>Ambulating with assistive device (walker, cane, wheelchair)</c:v>
                </c:pt>
                <c:pt idx="1">
                  <c:v>Ambulating with staff assistance</c:v>
                </c:pt>
                <c:pt idx="2">
                  <c:v>Ambulating without assistance or assistive device</c:v>
                </c:pt>
                <c:pt idx="3">
                  <c:v>Changing position (e.g., in bed, chair)</c:v>
                </c:pt>
                <c:pt idx="4">
                  <c:v>Dressing or undressing</c:v>
                </c:pt>
                <c:pt idx="5">
                  <c:v>Other activity</c:v>
                </c:pt>
                <c:pt idx="6">
                  <c:v>Reaching for an item</c:v>
                </c:pt>
                <c:pt idx="7">
                  <c:v>Showering or bathing</c:v>
                </c:pt>
                <c:pt idx="8">
                  <c:v>Toileting</c:v>
                </c:pt>
                <c:pt idx="9">
                  <c:v>Transferring to or from bed, chair, wheelchair, etc.</c:v>
                </c:pt>
                <c:pt idx="10">
                  <c:v>Unknown</c:v>
                </c:pt>
              </c:strCache>
            </c:strRef>
          </c:cat>
          <c:val>
            <c:numRef>
              <c:f>Sept!$G$67:$G$90</c:f>
              <c:numCache>
                <c:formatCode>General</c:formatCode>
                <c:ptCount val="24"/>
                <c:pt idx="0">
                  <c:v>0</c:v>
                </c:pt>
                <c:pt idx="1">
                  <c:v>0</c:v>
                </c:pt>
                <c:pt idx="2">
                  <c:v>0</c:v>
                </c:pt>
                <c:pt idx="3">
                  <c:v>0</c:v>
                </c:pt>
                <c:pt idx="4">
                  <c:v>0</c:v>
                </c:pt>
                <c:pt idx="5">
                  <c:v>0</c:v>
                </c:pt>
                <c:pt idx="6">
                  <c:v>0</c:v>
                </c:pt>
                <c:pt idx="7">
                  <c:v>0</c:v>
                </c:pt>
                <c:pt idx="8">
                  <c:v>0</c:v>
                </c:pt>
                <c:pt idx="9">
                  <c:v>0</c:v>
                </c:pt>
                <c:pt idx="10">
                  <c:v>0</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val>
          <c:extLst>
            <c:ext xmlns:c16="http://schemas.microsoft.com/office/drawing/2014/chart" uri="{C3380CC4-5D6E-409C-BE32-E72D297353CC}">
              <c16:uniqueId val="{00000000-8EB8-4C5A-8C75-7D8AAAE6B7C8}"/>
            </c:ext>
          </c:extLst>
        </c:ser>
        <c:dLbls>
          <c:showLegendKey val="0"/>
          <c:showVal val="0"/>
          <c:showCatName val="0"/>
          <c:showSerName val="0"/>
          <c:showPercent val="0"/>
          <c:showBubbleSize val="0"/>
        </c:dLbls>
        <c:gapWidth val="182"/>
        <c:axId val="1658854639"/>
        <c:axId val="1658861839"/>
      </c:barChart>
      <c:catAx>
        <c:axId val="16588546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1658861839"/>
        <c:crosses val="autoZero"/>
        <c:auto val="1"/>
        <c:lblAlgn val="ctr"/>
        <c:lblOffset val="100"/>
        <c:noMultiLvlLbl val="0"/>
      </c:catAx>
      <c:valAx>
        <c:axId val="1658861839"/>
        <c:scaling>
          <c:orientation val="minMax"/>
        </c:scaling>
        <c:delete val="1"/>
        <c:axPos val="t"/>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658854639"/>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orientation="landscape"/>
  </c:printSettings>
</c:chartSpace>
</file>

<file path=xl/charts/chart8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5"/>
    </mc:Choice>
    <mc:Fallback>
      <c:style val="5"/>
    </mc:Fallback>
  </mc:AlternateContent>
  <c:chart>
    <c:title>
      <c:tx>
        <c:strRef>
          <c:f>Sept!$B$51</c:f>
          <c:strCache>
            <c:ptCount val="1"/>
            <c:pt idx="0">
              <c:v>Witnessed Falls</c:v>
            </c:pt>
          </c:strCache>
        </c:strRef>
      </c:tx>
      <c:layout>
        <c:manualLayout>
          <c:xMode val="edge"/>
          <c:yMode val="edge"/>
          <c:x val="0.28456383934819923"/>
          <c:y val="4.8263836268180225E-2"/>
        </c:manualLayout>
      </c:layout>
      <c:overlay val="0"/>
      <c:spPr>
        <a:noFill/>
        <a:ln>
          <a:noFill/>
        </a:ln>
        <a:effectLst/>
      </c:spPr>
      <c:txPr>
        <a:bodyPr rot="0" spcFirstLastPara="1" vertOverflow="ellipsis" vert="horz" wrap="square" anchor="ctr" anchorCtr="1"/>
        <a:lstStyle/>
        <a:p>
          <a:pPr>
            <a:defRPr sz="1100" b="1" i="0" u="none" strike="noStrike" kern="1200" spc="0" baseline="0">
              <a:solidFill>
                <a:sysClr val="windowText" lastClr="000000"/>
              </a:solidFill>
              <a:latin typeface="+mn-lt"/>
              <a:ea typeface="+mn-ea"/>
              <a:cs typeface="+mn-cs"/>
            </a:defRPr>
          </a:pPr>
          <a:endParaRPr lang="en-US"/>
        </a:p>
      </c:txPr>
    </c:title>
    <c:autoTitleDeleted val="0"/>
    <c:plotArea>
      <c:layout/>
      <c:pieChart>
        <c:varyColors val="1"/>
        <c:ser>
          <c:idx val="2"/>
          <c:order val="0"/>
          <c:tx>
            <c:strRef>
              <c:f>Sept!$D$52</c:f>
              <c:strCache>
                <c:ptCount val="1"/>
                <c:pt idx="0">
                  <c:v>Total</c:v>
                </c:pt>
              </c:strCache>
            </c:strRef>
          </c:tx>
          <c:spPr>
            <a:solidFill>
              <a:srgbClr val="F7F7F7"/>
            </a:solidFill>
            <a:ln w="19050">
              <a:solidFill>
                <a:schemeClr val="bg2">
                  <a:lumMod val="90000"/>
                </a:schemeClr>
              </a:solidFill>
            </a:ln>
          </c:spPr>
          <c:dPt>
            <c:idx val="0"/>
            <c:bubble3D val="0"/>
            <c:spPr>
              <a:solidFill>
                <a:srgbClr val="F7F7F7"/>
              </a:solidFill>
              <a:ln w="19050">
                <a:solidFill>
                  <a:schemeClr val="bg2">
                    <a:lumMod val="90000"/>
                  </a:schemeClr>
                </a:solidFill>
              </a:ln>
              <a:effectLst/>
            </c:spPr>
            <c:extLst>
              <c:ext xmlns:c16="http://schemas.microsoft.com/office/drawing/2014/chart" uri="{C3380CC4-5D6E-409C-BE32-E72D297353CC}">
                <c16:uniqueId val="{00000001-84DA-4A5F-A548-BC68C4EB27E7}"/>
              </c:ext>
            </c:extLst>
          </c:dPt>
          <c:dPt>
            <c:idx val="1"/>
            <c:bubble3D val="0"/>
            <c:spPr>
              <a:solidFill>
                <a:schemeClr val="bg2"/>
              </a:solidFill>
              <a:ln w="19050">
                <a:solidFill>
                  <a:schemeClr val="bg2">
                    <a:lumMod val="90000"/>
                  </a:schemeClr>
                </a:solidFill>
              </a:ln>
              <a:effectLst/>
            </c:spPr>
            <c:extLst>
              <c:ext xmlns:c16="http://schemas.microsoft.com/office/drawing/2014/chart" uri="{C3380CC4-5D6E-409C-BE32-E72D297353CC}">
                <c16:uniqueId val="{00000003-84DA-4A5F-A548-BC68C4EB27E7}"/>
              </c:ext>
            </c:extLst>
          </c:dPt>
          <c:dLbls>
            <c:dLbl>
              <c:idx val="0"/>
              <c:layout>
                <c:manualLayout>
                  <c:x val="6.2922200858950839E-2"/>
                  <c:y val="-5.7940247469122956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4DA-4A5F-A548-BC68C4EB27E7}"/>
                </c:ext>
              </c:extLst>
            </c:dLbl>
            <c:dLbl>
              <c:idx val="1"/>
              <c:layout>
                <c:manualLayout>
                  <c:x val="-4.8011385115936479E-2"/>
                  <c:y val="2.6697554736401265E-2"/>
                </c:manualLayout>
              </c:layout>
              <c:spPr>
                <a:noFill/>
                <a:ln>
                  <a:noFill/>
                </a:ln>
                <a:effectLst/>
              </c:spPr>
              <c:txPr>
                <a:bodyPr rot="0" spcFirstLastPara="1" vertOverflow="ellipsis" vert="horz" wrap="square" lIns="38100" tIns="19050" rIns="38100" bIns="19050" anchor="ctr" anchorCtr="1">
                  <a:noAutofit/>
                </a:bodyPr>
                <a:lstStyle/>
                <a:p>
                  <a:pPr>
                    <a:defRPr sz="9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0"/>
              <c:showBubbleSize val="0"/>
              <c:extLst>
                <c:ext xmlns:c15="http://schemas.microsoft.com/office/drawing/2012/chart" uri="{CE6537A1-D6FC-4f65-9D91-7224C49458BB}">
                  <c15:layout>
                    <c:manualLayout>
                      <c:w val="0.24931745400710711"/>
                      <c:h val="0.11967240535812428"/>
                    </c:manualLayout>
                  </c15:layout>
                </c:ext>
                <c:ext xmlns:c16="http://schemas.microsoft.com/office/drawing/2014/chart" uri="{C3380CC4-5D6E-409C-BE32-E72D297353CC}">
                  <c16:uniqueId val="{00000003-84DA-4A5F-A548-BC68C4EB27E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Sept!$B$53:$B$54</c:f>
              <c:strCache>
                <c:ptCount val="2"/>
                <c:pt idx="0">
                  <c:v>Yes</c:v>
                </c:pt>
                <c:pt idx="1">
                  <c:v>No</c:v>
                </c:pt>
              </c:strCache>
            </c:strRef>
          </c:cat>
          <c:val>
            <c:numRef>
              <c:f>Sept!$D$53:$D$54</c:f>
              <c:numCache>
                <c:formatCode>General</c:formatCode>
                <c:ptCount val="2"/>
                <c:pt idx="0">
                  <c:v>0</c:v>
                </c:pt>
                <c:pt idx="1">
                  <c:v>0</c:v>
                </c:pt>
              </c:numCache>
            </c:numRef>
          </c:val>
          <c:extLst>
            <c:ext xmlns:c16="http://schemas.microsoft.com/office/drawing/2014/chart" uri="{C3380CC4-5D6E-409C-BE32-E72D297353CC}">
              <c16:uniqueId val="{00000004-84DA-4A5F-A548-BC68C4EB27E7}"/>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solidFill>
      <a:schemeClr val="bg1"/>
    </a:solidFill>
    <a:ln w="3175"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c:printSettings>
</c:chartSpace>
</file>

<file path=xl/charts/chart8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Sept!$B$171</c:f>
          <c:strCache>
            <c:ptCount val="1"/>
            <c:pt idx="0">
              <c:v>Falls by Contributing Factors</c:v>
            </c:pt>
          </c:strCache>
        </c:strRef>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4"/>
          <c:order val="0"/>
          <c:tx>
            <c:strRef>
              <c:f>Sept!$G$172</c:f>
              <c:strCache>
                <c:ptCount val="1"/>
                <c:pt idx="0">
                  <c:v>Total</c:v>
                </c:pt>
              </c:strCache>
            </c:strRef>
          </c:tx>
          <c:spPr>
            <a:solidFill>
              <a:schemeClr val="bg2">
                <a:lumMod val="9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Sept!$B$173:$B$196</c:f>
              <c:strCache>
                <c:ptCount val="11"/>
                <c:pt idx="0">
                  <c:v>Assisted/caregiver transfer</c:v>
                </c:pt>
                <c:pt idx="1">
                  <c:v>Bowel and bladder (B&amp;B) needs</c:v>
                </c:pt>
                <c:pt idx="2">
                  <c:v>Behavioral or situational</c:v>
                </c:pt>
                <c:pt idx="3">
                  <c:v>Change of condition</c:v>
                </c:pt>
                <c:pt idx="4">
                  <c:v>Environmental factors</c:v>
                </c:pt>
                <c:pt idx="5">
                  <c:v>Equipment malfunction</c:v>
                </c:pt>
                <c:pt idx="6">
                  <c:v>Equipment or assistive device</c:v>
                </c:pt>
                <c:pt idx="7">
                  <c:v>Medication related</c:v>
                </c:pt>
                <c:pt idx="8">
                  <c:v>Process(s) not followed</c:v>
                </c:pt>
                <c:pt idx="9">
                  <c:v>Resident health conditions</c:v>
                </c:pt>
                <c:pt idx="10">
                  <c:v>Staff</c:v>
                </c:pt>
              </c:strCache>
            </c:strRef>
          </c:cat>
          <c:val>
            <c:numRef>
              <c:f>Sept!$G$173:$G$196</c:f>
              <c:numCache>
                <c:formatCode>General</c:formatCode>
                <c:ptCount val="24"/>
                <c:pt idx="0">
                  <c:v>0</c:v>
                </c:pt>
                <c:pt idx="1">
                  <c:v>0</c:v>
                </c:pt>
                <c:pt idx="2">
                  <c:v>0</c:v>
                </c:pt>
                <c:pt idx="3">
                  <c:v>0</c:v>
                </c:pt>
                <c:pt idx="4">
                  <c:v>0</c:v>
                </c:pt>
                <c:pt idx="5">
                  <c:v>0</c:v>
                </c:pt>
                <c:pt idx="6">
                  <c:v>0</c:v>
                </c:pt>
                <c:pt idx="7">
                  <c:v>0</c:v>
                </c:pt>
                <c:pt idx="8">
                  <c:v>0</c:v>
                </c:pt>
                <c:pt idx="9">
                  <c:v>0</c:v>
                </c:pt>
                <c:pt idx="10">
                  <c:v>0</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val>
          <c:extLst>
            <c:ext xmlns:c16="http://schemas.microsoft.com/office/drawing/2014/chart" uri="{C3380CC4-5D6E-409C-BE32-E72D297353CC}">
              <c16:uniqueId val="{00000000-260E-494F-9738-6A54C313B5AA}"/>
            </c:ext>
          </c:extLst>
        </c:ser>
        <c:dLbls>
          <c:showLegendKey val="0"/>
          <c:showVal val="0"/>
          <c:showCatName val="0"/>
          <c:showSerName val="0"/>
          <c:showPercent val="0"/>
          <c:showBubbleSize val="0"/>
        </c:dLbls>
        <c:gapWidth val="182"/>
        <c:axId val="1658854639"/>
        <c:axId val="1658861839"/>
      </c:barChart>
      <c:catAx>
        <c:axId val="16588546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bg2">
                    <a:lumMod val="50000"/>
                  </a:schemeClr>
                </a:solidFill>
                <a:latin typeface="+mn-lt"/>
                <a:ea typeface="+mn-ea"/>
                <a:cs typeface="+mn-cs"/>
              </a:defRPr>
            </a:pPr>
            <a:endParaRPr lang="en-US"/>
          </a:p>
        </c:txPr>
        <c:crossAx val="1658861839"/>
        <c:crosses val="autoZero"/>
        <c:auto val="1"/>
        <c:lblAlgn val="ctr"/>
        <c:lblOffset val="100"/>
        <c:noMultiLvlLbl val="0"/>
      </c:catAx>
      <c:valAx>
        <c:axId val="1658861839"/>
        <c:scaling>
          <c:orientation val="minMax"/>
        </c:scaling>
        <c:delete val="1"/>
        <c:axPos val="t"/>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658854639"/>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orientation="landscape"/>
  </c:printSettings>
</c:chartSpace>
</file>

<file path=xl/charts/chart8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Sept!$F$51</c:f>
          <c:strCache>
            <c:ptCount val="1"/>
            <c:pt idx="0">
              <c:v>Fall Circumstances</c:v>
            </c:pt>
          </c:strCache>
        </c:strRef>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Sept!$H$52</c:f>
              <c:strCache>
                <c:ptCount val="1"/>
                <c:pt idx="0">
                  <c:v>Total</c:v>
                </c:pt>
              </c:strCache>
            </c:strRef>
          </c:tx>
          <c:spPr>
            <a:solidFill>
              <a:schemeClr val="bg2">
                <a:lumMod val="90000"/>
              </a:schemeClr>
            </a:solidFill>
            <a:ln>
              <a:solidFill>
                <a:schemeClr val="bg2">
                  <a:lumMod val="90000"/>
                </a:schemeClr>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Sept!$F$53:$F$55</c:f>
              <c:strCache>
                <c:ptCount val="3"/>
                <c:pt idx="0">
                  <c:v>Overwhelming Force</c:v>
                </c:pt>
                <c:pt idx="1">
                  <c:v>Intercepted</c:v>
                </c:pt>
                <c:pt idx="2">
                  <c:v>N/A</c:v>
                </c:pt>
              </c:strCache>
            </c:strRef>
          </c:cat>
          <c:val>
            <c:numRef>
              <c:f>Sept!$H$53:$H$55</c:f>
              <c:numCache>
                <c:formatCode>General</c:formatCode>
                <c:ptCount val="3"/>
                <c:pt idx="0">
                  <c:v>0</c:v>
                </c:pt>
                <c:pt idx="1">
                  <c:v>0</c:v>
                </c:pt>
                <c:pt idx="2">
                  <c:v>0</c:v>
                </c:pt>
              </c:numCache>
            </c:numRef>
          </c:val>
          <c:extLst>
            <c:ext xmlns:c16="http://schemas.microsoft.com/office/drawing/2014/chart" uri="{C3380CC4-5D6E-409C-BE32-E72D297353CC}">
              <c16:uniqueId val="{00000000-FC0A-4CF8-8774-0709BA41CC11}"/>
            </c:ext>
          </c:extLst>
        </c:ser>
        <c:dLbls>
          <c:showLegendKey val="0"/>
          <c:showVal val="0"/>
          <c:showCatName val="0"/>
          <c:showSerName val="0"/>
          <c:showPercent val="0"/>
          <c:showBubbleSize val="0"/>
        </c:dLbls>
        <c:gapWidth val="219"/>
        <c:overlap val="-27"/>
        <c:axId val="1226967759"/>
        <c:axId val="1226960559"/>
      </c:barChart>
      <c:catAx>
        <c:axId val="12269677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US"/>
          </a:p>
        </c:txPr>
        <c:crossAx val="1226960559"/>
        <c:crosses val="autoZero"/>
        <c:auto val="1"/>
        <c:lblAlgn val="ctr"/>
        <c:lblOffset val="100"/>
        <c:noMultiLvlLbl val="0"/>
      </c:catAx>
      <c:valAx>
        <c:axId val="122696055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1226967759"/>
        <c:crosses val="autoZero"/>
        <c:crossBetween val="between"/>
      </c:valAx>
      <c:spPr>
        <a:noFill/>
        <a:ln>
          <a:noFill/>
        </a:ln>
        <a:effectLst/>
      </c:spPr>
    </c:plotArea>
    <c:plotVisOnly val="1"/>
    <c:dispBlanksAs val="gap"/>
    <c:showDLblsOverMax val="0"/>
  </c:chart>
  <c:spPr>
    <a:noFill/>
    <a:ln w="6350"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Jan!$B$171</c:f>
          <c:strCache>
            <c:ptCount val="1"/>
            <c:pt idx="0">
              <c:v>Falls by Contributing Factors</c:v>
            </c:pt>
          </c:strCache>
        </c:strRef>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4"/>
          <c:order val="0"/>
          <c:tx>
            <c:strRef>
              <c:f>Jan!$G$172</c:f>
              <c:strCache>
                <c:ptCount val="1"/>
                <c:pt idx="0">
                  <c:v>Total</c:v>
                </c:pt>
              </c:strCache>
            </c:strRef>
          </c:tx>
          <c:spPr>
            <a:solidFill>
              <a:schemeClr val="bg2">
                <a:lumMod val="9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Jan!$B$173:$B$196</c:f>
              <c:strCache>
                <c:ptCount val="11"/>
                <c:pt idx="0">
                  <c:v>Assisted/caregiver transfer</c:v>
                </c:pt>
                <c:pt idx="1">
                  <c:v>Bowel and bladder (B&amp;B) needs</c:v>
                </c:pt>
                <c:pt idx="2">
                  <c:v>Behavioral or situational</c:v>
                </c:pt>
                <c:pt idx="3">
                  <c:v>Change of condition</c:v>
                </c:pt>
                <c:pt idx="4">
                  <c:v>Environmental factors</c:v>
                </c:pt>
                <c:pt idx="5">
                  <c:v>Equipment malfunction</c:v>
                </c:pt>
                <c:pt idx="6">
                  <c:v>Equipment or assistive device</c:v>
                </c:pt>
                <c:pt idx="7">
                  <c:v>Medication related</c:v>
                </c:pt>
                <c:pt idx="8">
                  <c:v>Process(s) not followed</c:v>
                </c:pt>
                <c:pt idx="9">
                  <c:v>Resident health conditions</c:v>
                </c:pt>
                <c:pt idx="10">
                  <c:v>Staff</c:v>
                </c:pt>
              </c:strCache>
            </c:strRef>
          </c:cat>
          <c:val>
            <c:numRef>
              <c:f>Jan!$G$173:$G$196</c:f>
              <c:numCache>
                <c:formatCode>General</c:formatCode>
                <c:ptCount val="24"/>
                <c:pt idx="0">
                  <c:v>0</c:v>
                </c:pt>
                <c:pt idx="1">
                  <c:v>0</c:v>
                </c:pt>
                <c:pt idx="2">
                  <c:v>0</c:v>
                </c:pt>
                <c:pt idx="3">
                  <c:v>0</c:v>
                </c:pt>
                <c:pt idx="4">
                  <c:v>0</c:v>
                </c:pt>
                <c:pt idx="5">
                  <c:v>0</c:v>
                </c:pt>
                <c:pt idx="6">
                  <c:v>0</c:v>
                </c:pt>
                <c:pt idx="7">
                  <c:v>0</c:v>
                </c:pt>
                <c:pt idx="8">
                  <c:v>0</c:v>
                </c:pt>
                <c:pt idx="9">
                  <c:v>0</c:v>
                </c:pt>
                <c:pt idx="10">
                  <c:v>0</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val>
          <c:extLst>
            <c:ext xmlns:c16="http://schemas.microsoft.com/office/drawing/2014/chart" uri="{C3380CC4-5D6E-409C-BE32-E72D297353CC}">
              <c16:uniqueId val="{00000004-888D-44CA-BEE5-3A050D4280DC}"/>
            </c:ext>
          </c:extLst>
        </c:ser>
        <c:dLbls>
          <c:showLegendKey val="0"/>
          <c:showVal val="0"/>
          <c:showCatName val="0"/>
          <c:showSerName val="0"/>
          <c:showPercent val="0"/>
          <c:showBubbleSize val="0"/>
        </c:dLbls>
        <c:gapWidth val="182"/>
        <c:axId val="1658854639"/>
        <c:axId val="1658861839"/>
      </c:barChart>
      <c:catAx>
        <c:axId val="16588546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bg2">
                    <a:lumMod val="50000"/>
                  </a:schemeClr>
                </a:solidFill>
                <a:latin typeface="+mn-lt"/>
                <a:ea typeface="+mn-ea"/>
                <a:cs typeface="+mn-cs"/>
              </a:defRPr>
            </a:pPr>
            <a:endParaRPr lang="en-US"/>
          </a:p>
        </c:txPr>
        <c:crossAx val="1658861839"/>
        <c:crosses val="autoZero"/>
        <c:auto val="1"/>
        <c:lblAlgn val="ctr"/>
        <c:lblOffset val="100"/>
        <c:noMultiLvlLbl val="0"/>
      </c:catAx>
      <c:valAx>
        <c:axId val="1658861839"/>
        <c:scaling>
          <c:orientation val="minMax"/>
        </c:scaling>
        <c:delete val="1"/>
        <c:axPos val="t"/>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658854639"/>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orientation="landscape"/>
  </c:printSettings>
</c:chartSpace>
</file>

<file path=xl/charts/chart9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Jan!$B$134</c:f>
          <c:strCache>
            <c:ptCount val="1"/>
            <c:pt idx="0">
              <c:v>Falls by Shift</c:v>
            </c:pt>
          </c:strCache>
        </c:strRef>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1"/>
          <c:order val="0"/>
          <c:tx>
            <c:strRef>
              <c:f>Sept!$D$135</c:f>
              <c:strCache>
                <c:ptCount val="1"/>
                <c:pt idx="0">
                  <c:v>Total</c:v>
                </c:pt>
              </c:strCache>
            </c:strRef>
          </c:tx>
          <c:spPr>
            <a:solidFill>
              <a:schemeClr val="bg1">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Sept!$B$136:$B$140</c:f>
              <c:strCache>
                <c:ptCount val="4"/>
                <c:pt idx="0">
                  <c:v>11-7</c:v>
                </c:pt>
                <c:pt idx="1">
                  <c:v>11–7</c:v>
                </c:pt>
                <c:pt idx="2">
                  <c:v>7–3</c:v>
                </c:pt>
                <c:pt idx="3">
                  <c:v>3–11</c:v>
                </c:pt>
              </c:strCache>
            </c:strRef>
          </c:cat>
          <c:val>
            <c:numRef>
              <c:f>Sept!$D$136:$D$140</c:f>
              <c:numCache>
                <c:formatCode>General</c:formatCode>
                <c:ptCount val="5"/>
                <c:pt idx="0">
                  <c:v>0</c:v>
                </c:pt>
                <c:pt idx="1">
                  <c:v>0</c:v>
                </c:pt>
                <c:pt idx="2">
                  <c:v>0</c:v>
                </c:pt>
                <c:pt idx="3">
                  <c:v>0</c:v>
                </c:pt>
                <c:pt idx="4">
                  <c:v>#N/A</c:v>
                </c:pt>
              </c:numCache>
            </c:numRef>
          </c:val>
          <c:extLst>
            <c:ext xmlns:c16="http://schemas.microsoft.com/office/drawing/2014/chart" uri="{C3380CC4-5D6E-409C-BE32-E72D297353CC}">
              <c16:uniqueId val="{00000002-C80A-4AA4-BEF8-7C070084134F}"/>
            </c:ext>
          </c:extLst>
        </c:ser>
        <c:dLbls>
          <c:showLegendKey val="0"/>
          <c:showVal val="0"/>
          <c:showCatName val="0"/>
          <c:showSerName val="0"/>
          <c:showPercent val="0"/>
          <c:showBubbleSize val="0"/>
        </c:dLbls>
        <c:gapWidth val="219"/>
        <c:axId val="789078271"/>
        <c:axId val="789056671"/>
      </c:barChart>
      <c:catAx>
        <c:axId val="789078271"/>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US"/>
          </a:p>
        </c:txPr>
        <c:crossAx val="789056671"/>
        <c:crosses val="autoZero"/>
        <c:auto val="1"/>
        <c:lblAlgn val="ctr"/>
        <c:lblOffset val="100"/>
        <c:noMultiLvlLbl val="0"/>
      </c:catAx>
      <c:valAx>
        <c:axId val="789056671"/>
        <c:scaling>
          <c:orientation val="minMax"/>
        </c:scaling>
        <c:delete val="1"/>
        <c:axPos val="t"/>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789078271"/>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c:printSettings>
</c:chartSpace>
</file>

<file path=xl/charts/chart9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5"/>
    </mc:Choice>
    <mc:Fallback>
      <c:style val="5"/>
    </mc:Fallback>
  </mc:AlternateContent>
  <c:chart>
    <c:title>
      <c:tx>
        <c:strRef>
          <c:f>Oct!$B$93</c:f>
          <c:strCache>
            <c:ptCount val="1"/>
            <c:pt idx="0">
              <c:v>Falls by Location</c:v>
            </c:pt>
          </c:strCache>
        </c:strRef>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
          <c:order val="0"/>
          <c:tx>
            <c:strRef>
              <c:f>Oct!$D$94</c:f>
              <c:strCache>
                <c:ptCount val="1"/>
                <c:pt idx="0">
                  <c:v>Total</c:v>
                </c:pt>
              </c:strCache>
            </c:strRef>
          </c:tx>
          <c:spPr>
            <a:solidFill>
              <a:schemeClr val="accent3">
                <a:tint val="77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Oct!$B$95:$B$105</c:f>
              <c:strCache>
                <c:ptCount val="7"/>
                <c:pt idx="0">
                  <c:v>Activity Room</c:v>
                </c:pt>
                <c:pt idx="1">
                  <c:v>Bedroom</c:v>
                </c:pt>
                <c:pt idx="2">
                  <c:v>Bathroom</c:v>
                </c:pt>
                <c:pt idx="3">
                  <c:v>Hallway</c:v>
                </c:pt>
                <c:pt idx="4">
                  <c:v>Offsite</c:v>
                </c:pt>
                <c:pt idx="5">
                  <c:v>Shower Room</c:v>
                </c:pt>
                <c:pt idx="6">
                  <c:v>Dining Room</c:v>
                </c:pt>
              </c:strCache>
            </c:strRef>
          </c:cat>
          <c:val>
            <c:numRef>
              <c:f>Oct!$D$95:$D$105</c:f>
              <c:numCache>
                <c:formatCode>General</c:formatCode>
                <c:ptCount val="11"/>
                <c:pt idx="0">
                  <c:v>0</c:v>
                </c:pt>
                <c:pt idx="1">
                  <c:v>0</c:v>
                </c:pt>
                <c:pt idx="2">
                  <c:v>0</c:v>
                </c:pt>
                <c:pt idx="3">
                  <c:v>0</c:v>
                </c:pt>
                <c:pt idx="4">
                  <c:v>0</c:v>
                </c:pt>
                <c:pt idx="5">
                  <c:v>0</c:v>
                </c:pt>
                <c:pt idx="6">
                  <c:v>0</c:v>
                </c:pt>
                <c:pt idx="7">
                  <c:v>#N/A</c:v>
                </c:pt>
                <c:pt idx="8">
                  <c:v>#N/A</c:v>
                </c:pt>
                <c:pt idx="9">
                  <c:v>#N/A</c:v>
                </c:pt>
                <c:pt idx="10">
                  <c:v>#N/A</c:v>
                </c:pt>
              </c:numCache>
            </c:numRef>
          </c:val>
          <c:extLst>
            <c:ext xmlns:c16="http://schemas.microsoft.com/office/drawing/2014/chart" uri="{C3380CC4-5D6E-409C-BE32-E72D297353CC}">
              <c16:uniqueId val="{00000000-B0F7-44A4-A5C4-EB9BF856DB84}"/>
            </c:ext>
          </c:extLst>
        </c:ser>
        <c:dLbls>
          <c:showLegendKey val="0"/>
          <c:showVal val="0"/>
          <c:showCatName val="0"/>
          <c:showSerName val="0"/>
          <c:showPercent val="0"/>
          <c:showBubbleSize val="0"/>
        </c:dLbls>
        <c:gapWidth val="219"/>
        <c:overlap val="-27"/>
        <c:axId val="1569634943"/>
        <c:axId val="1590853103"/>
      </c:barChart>
      <c:catAx>
        <c:axId val="156963494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US"/>
          </a:p>
        </c:txPr>
        <c:crossAx val="1590853103"/>
        <c:crosses val="autoZero"/>
        <c:auto val="1"/>
        <c:lblAlgn val="ctr"/>
        <c:lblOffset val="100"/>
        <c:noMultiLvlLbl val="0"/>
      </c:catAx>
      <c:valAx>
        <c:axId val="1590853103"/>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69634943"/>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3175"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c:printSettings>
</c:chartSpace>
</file>

<file path=xl/charts/chart9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Oct!$B$123</c:f>
          <c:strCache>
            <c:ptCount val="1"/>
            <c:pt idx="0">
              <c:v>Falls by Day of the Week </c:v>
            </c:pt>
          </c:strCache>
        </c:strRef>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
          <c:order val="0"/>
          <c:tx>
            <c:strRef>
              <c:f>Oct!$D$124</c:f>
              <c:strCache>
                <c:ptCount val="1"/>
                <c:pt idx="0">
                  <c:v>Total</c:v>
                </c:pt>
              </c:strCache>
            </c:strRef>
          </c:tx>
          <c:spPr>
            <a:solidFill>
              <a:schemeClr val="bg1">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Oct!$B$125:$B$131</c:f>
              <c:strCache>
                <c:ptCount val="7"/>
                <c:pt idx="0">
                  <c:v>Sun</c:v>
                </c:pt>
                <c:pt idx="1">
                  <c:v>Mon</c:v>
                </c:pt>
                <c:pt idx="2">
                  <c:v>Tue</c:v>
                </c:pt>
                <c:pt idx="3">
                  <c:v>Wed</c:v>
                </c:pt>
                <c:pt idx="4">
                  <c:v>Thu</c:v>
                </c:pt>
                <c:pt idx="5">
                  <c:v>Fri</c:v>
                </c:pt>
                <c:pt idx="6">
                  <c:v>Sat</c:v>
                </c:pt>
              </c:strCache>
            </c:strRef>
          </c:cat>
          <c:val>
            <c:numRef>
              <c:f>Oct!$D$125:$D$131</c:f>
              <c:numCache>
                <c:formatCode>General</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16BC-442B-900B-9FE767762DF1}"/>
            </c:ext>
          </c:extLst>
        </c:ser>
        <c:dLbls>
          <c:showLegendKey val="0"/>
          <c:showVal val="0"/>
          <c:showCatName val="0"/>
          <c:showSerName val="0"/>
          <c:showPercent val="0"/>
          <c:showBubbleSize val="0"/>
        </c:dLbls>
        <c:gapWidth val="219"/>
        <c:overlap val="-27"/>
        <c:axId val="1569634943"/>
        <c:axId val="1590853103"/>
      </c:barChart>
      <c:catAx>
        <c:axId val="156963494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US"/>
          </a:p>
        </c:txPr>
        <c:crossAx val="1590853103"/>
        <c:crosses val="autoZero"/>
        <c:auto val="1"/>
        <c:lblAlgn val="ctr"/>
        <c:lblOffset val="100"/>
        <c:noMultiLvlLbl val="0"/>
      </c:catAx>
      <c:valAx>
        <c:axId val="1590853103"/>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69634943"/>
        <c:crosses val="autoZero"/>
        <c:crossBetween val="between"/>
      </c:valAx>
      <c:spPr>
        <a:noFill/>
        <a:ln>
          <a:noFill/>
        </a:ln>
        <a:effectLst/>
      </c:spPr>
    </c:plotArea>
    <c:plotVisOnly val="1"/>
    <c:dispBlanksAs val="gap"/>
    <c:showDLblsOverMax val="0"/>
  </c:chart>
  <c:spPr>
    <a:solidFill>
      <a:schemeClr val="bg1"/>
    </a:solidFill>
    <a:ln w="3175"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c:printSettings>
</c:chartSpace>
</file>

<file path=xl/charts/chart9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Oct!$B$108</c:f>
          <c:strCache>
            <c:ptCount val="1"/>
            <c:pt idx="0">
              <c:v>Falls by Nursing Station </c:v>
            </c:pt>
          </c:strCache>
        </c:strRef>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
          <c:order val="0"/>
          <c:tx>
            <c:strRef>
              <c:f>Oct!$D$109</c:f>
              <c:strCache>
                <c:ptCount val="1"/>
                <c:pt idx="0">
                  <c:v>Total</c:v>
                </c:pt>
              </c:strCache>
            </c:strRef>
          </c:tx>
          <c:spPr>
            <a:solidFill>
              <a:schemeClr val="bg1">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Oct!$B$110:$B$120</c:f>
              <c:strCache>
                <c:ptCount val="5"/>
                <c:pt idx="0">
                  <c:v>1</c:v>
                </c:pt>
                <c:pt idx="1">
                  <c:v>2</c:v>
                </c:pt>
                <c:pt idx="2">
                  <c:v>3</c:v>
                </c:pt>
                <c:pt idx="3">
                  <c:v>4</c:v>
                </c:pt>
                <c:pt idx="4">
                  <c:v>5</c:v>
                </c:pt>
              </c:strCache>
            </c:strRef>
          </c:cat>
          <c:val>
            <c:numRef>
              <c:f>Oct!$D$110:$D$120</c:f>
              <c:numCache>
                <c:formatCode>General</c:formatCode>
                <c:ptCount val="11"/>
                <c:pt idx="0">
                  <c:v>0</c:v>
                </c:pt>
                <c:pt idx="1">
                  <c:v>0</c:v>
                </c:pt>
                <c:pt idx="2">
                  <c:v>0</c:v>
                </c:pt>
                <c:pt idx="3">
                  <c:v>0</c:v>
                </c:pt>
                <c:pt idx="4">
                  <c:v>0</c:v>
                </c:pt>
                <c:pt idx="5">
                  <c:v>#N/A</c:v>
                </c:pt>
                <c:pt idx="6">
                  <c:v>#N/A</c:v>
                </c:pt>
                <c:pt idx="7">
                  <c:v>#N/A</c:v>
                </c:pt>
                <c:pt idx="8">
                  <c:v>#N/A</c:v>
                </c:pt>
                <c:pt idx="9">
                  <c:v>#N/A</c:v>
                </c:pt>
                <c:pt idx="10">
                  <c:v>#N/A</c:v>
                </c:pt>
              </c:numCache>
            </c:numRef>
          </c:val>
          <c:extLst>
            <c:ext xmlns:c16="http://schemas.microsoft.com/office/drawing/2014/chart" uri="{C3380CC4-5D6E-409C-BE32-E72D297353CC}">
              <c16:uniqueId val="{00000000-D84D-429E-8F24-7914A3122D85}"/>
            </c:ext>
          </c:extLst>
        </c:ser>
        <c:dLbls>
          <c:showLegendKey val="0"/>
          <c:showVal val="0"/>
          <c:showCatName val="0"/>
          <c:showSerName val="0"/>
          <c:showPercent val="0"/>
          <c:showBubbleSize val="0"/>
        </c:dLbls>
        <c:gapWidth val="219"/>
        <c:overlap val="-27"/>
        <c:axId val="1226967759"/>
        <c:axId val="1226960559"/>
      </c:barChart>
      <c:catAx>
        <c:axId val="12269677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US"/>
          </a:p>
        </c:txPr>
        <c:crossAx val="1226960559"/>
        <c:crosses val="autoZero"/>
        <c:auto val="1"/>
        <c:lblAlgn val="ctr"/>
        <c:lblOffset val="100"/>
        <c:noMultiLvlLbl val="0"/>
      </c:catAx>
      <c:valAx>
        <c:axId val="122696055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1226967759"/>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6350"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c:printSettings>
</c:chartSpace>
</file>

<file path=xl/charts/chart9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Oct!$F$58</c:f>
          <c:strCache>
            <c:ptCount val="1"/>
            <c:pt idx="0">
              <c:v>Falls by BIMS Score</c:v>
            </c:pt>
          </c:strCache>
        </c:strRef>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Oct!$H$59</c:f>
              <c:strCache>
                <c:ptCount val="1"/>
                <c:pt idx="0">
                  <c:v>Total</c:v>
                </c:pt>
              </c:strCache>
            </c:strRef>
          </c:tx>
          <c:spPr>
            <a:solidFill>
              <a:schemeClr val="bg2">
                <a:lumMod val="90000"/>
              </a:schemeClr>
            </a:solidFill>
            <a:ln>
              <a:solidFill>
                <a:schemeClr val="bg2">
                  <a:lumMod val="90000"/>
                </a:schemeClr>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Oct!$F$60:$F$62</c:f>
              <c:strCache>
                <c:ptCount val="3"/>
                <c:pt idx="0">
                  <c:v>Severe (1–7)</c:v>
                </c:pt>
                <c:pt idx="1">
                  <c:v>Moderate (8–12)</c:v>
                </c:pt>
                <c:pt idx="2">
                  <c:v>Intact (13–15)</c:v>
                </c:pt>
              </c:strCache>
            </c:strRef>
          </c:cat>
          <c:val>
            <c:numRef>
              <c:f>Oct!$H$60:$H$62</c:f>
              <c:numCache>
                <c:formatCode>General</c:formatCode>
                <c:ptCount val="3"/>
                <c:pt idx="0">
                  <c:v>0</c:v>
                </c:pt>
                <c:pt idx="1">
                  <c:v>0</c:v>
                </c:pt>
                <c:pt idx="2">
                  <c:v>0</c:v>
                </c:pt>
              </c:numCache>
            </c:numRef>
          </c:val>
          <c:extLst>
            <c:ext xmlns:c16="http://schemas.microsoft.com/office/drawing/2014/chart" uri="{C3380CC4-5D6E-409C-BE32-E72D297353CC}">
              <c16:uniqueId val="{00000000-BB0C-49ED-AEE4-540D0C700413}"/>
            </c:ext>
          </c:extLst>
        </c:ser>
        <c:dLbls>
          <c:showLegendKey val="0"/>
          <c:showVal val="0"/>
          <c:showCatName val="0"/>
          <c:showSerName val="0"/>
          <c:showPercent val="0"/>
          <c:showBubbleSize val="0"/>
        </c:dLbls>
        <c:gapWidth val="219"/>
        <c:overlap val="-27"/>
        <c:axId val="1226967759"/>
        <c:axId val="1226960559"/>
      </c:barChart>
      <c:catAx>
        <c:axId val="12269677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US"/>
          </a:p>
        </c:txPr>
        <c:crossAx val="1226960559"/>
        <c:crosses val="autoZero"/>
        <c:auto val="1"/>
        <c:lblAlgn val="ctr"/>
        <c:lblOffset val="100"/>
        <c:noMultiLvlLbl val="0"/>
      </c:catAx>
      <c:valAx>
        <c:axId val="122696055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1226967759"/>
        <c:crosses val="autoZero"/>
        <c:crossBetween val="between"/>
      </c:valAx>
      <c:spPr>
        <a:noFill/>
        <a:ln>
          <a:noFill/>
        </a:ln>
        <a:effectLst/>
      </c:spPr>
    </c:plotArea>
    <c:plotVisOnly val="1"/>
    <c:dispBlanksAs val="gap"/>
    <c:showDLblsOverMax val="0"/>
  </c:chart>
  <c:spPr>
    <a:noFill/>
    <a:ln w="6350"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c:printSettings>
</c:chartSpace>
</file>

<file path=xl/charts/chart9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Oct!$B$143</c:f>
          <c:strCache>
            <c:ptCount val="1"/>
            <c:pt idx="0">
              <c:v>Falls by Hour </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1"/>
          <c:order val="0"/>
          <c:tx>
            <c:strRef>
              <c:f>Oct!$D$144</c:f>
              <c:strCache>
                <c:ptCount val="1"/>
                <c:pt idx="0">
                  <c:v>Total</c:v>
                </c:pt>
              </c:strCache>
            </c:strRef>
          </c:tx>
          <c:spPr>
            <a:solidFill>
              <a:schemeClr val="bg1">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Oct!$B$145:$B$168</c:f>
              <c:strCache>
                <c:ptCount val="24"/>
                <c:pt idx="0">
                  <c:v>23:00–24:00</c:v>
                </c:pt>
                <c:pt idx="1">
                  <c:v>24:00–01:00</c:v>
                </c:pt>
                <c:pt idx="2">
                  <c:v>01:00–02:00</c:v>
                </c:pt>
                <c:pt idx="3">
                  <c:v>02:00–03:00</c:v>
                </c:pt>
                <c:pt idx="4">
                  <c:v>03:00–04:00</c:v>
                </c:pt>
                <c:pt idx="5">
                  <c:v>04:00–05:00</c:v>
                </c:pt>
                <c:pt idx="6">
                  <c:v>05:00–06:00</c:v>
                </c:pt>
                <c:pt idx="7">
                  <c:v>06:00–07:00</c:v>
                </c:pt>
                <c:pt idx="8">
                  <c:v>07:00–08:00</c:v>
                </c:pt>
                <c:pt idx="9">
                  <c:v>08:00–09:00</c:v>
                </c:pt>
                <c:pt idx="10">
                  <c:v>09:00–10:00</c:v>
                </c:pt>
                <c:pt idx="11">
                  <c:v>10:00–11:00</c:v>
                </c:pt>
                <c:pt idx="12">
                  <c:v>11:00–12:00</c:v>
                </c:pt>
                <c:pt idx="13">
                  <c:v>12:00–13:00</c:v>
                </c:pt>
                <c:pt idx="14">
                  <c:v>13:00–14:00</c:v>
                </c:pt>
                <c:pt idx="15">
                  <c:v>14:00–15:00</c:v>
                </c:pt>
                <c:pt idx="16">
                  <c:v>15:00–16:00</c:v>
                </c:pt>
                <c:pt idx="17">
                  <c:v>16:00–17:00</c:v>
                </c:pt>
                <c:pt idx="18">
                  <c:v>17:00–18:00</c:v>
                </c:pt>
                <c:pt idx="19">
                  <c:v>18:00–19:00</c:v>
                </c:pt>
                <c:pt idx="20">
                  <c:v>19:00–20:00</c:v>
                </c:pt>
                <c:pt idx="21">
                  <c:v>20:00–21:00</c:v>
                </c:pt>
                <c:pt idx="22">
                  <c:v>21:00–22:00</c:v>
                </c:pt>
                <c:pt idx="23">
                  <c:v>22:00–23:00</c:v>
                </c:pt>
              </c:strCache>
            </c:strRef>
          </c:cat>
          <c:val>
            <c:numRef>
              <c:f>Oct!$D$145:$D$168</c:f>
              <c:numCache>
                <c:formatCode>General</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6="http://schemas.microsoft.com/office/drawing/2014/chart" uri="{C3380CC4-5D6E-409C-BE32-E72D297353CC}">
              <c16:uniqueId val="{00000000-821B-410F-9765-B08A8DE4368C}"/>
            </c:ext>
          </c:extLst>
        </c:ser>
        <c:dLbls>
          <c:showLegendKey val="0"/>
          <c:showVal val="0"/>
          <c:showCatName val="0"/>
          <c:showSerName val="0"/>
          <c:showPercent val="0"/>
          <c:showBubbleSize val="0"/>
        </c:dLbls>
        <c:gapWidth val="182"/>
        <c:axId val="1658854639"/>
        <c:axId val="1658861839"/>
      </c:barChart>
      <c:catAx>
        <c:axId val="16588546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1658861839"/>
        <c:crosses val="autoZero"/>
        <c:auto val="1"/>
        <c:lblAlgn val="ctr"/>
        <c:lblOffset val="100"/>
        <c:noMultiLvlLbl val="0"/>
      </c:catAx>
      <c:valAx>
        <c:axId val="1658861839"/>
        <c:scaling>
          <c:orientation val="minMax"/>
        </c:scaling>
        <c:delete val="1"/>
        <c:axPos val="t"/>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658854639"/>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orientation="landscape"/>
  </c:printSettings>
</c:chartSpace>
</file>

<file path=xl/charts/chart9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Oct!$B$65</c:f>
          <c:strCache>
            <c:ptCount val="1"/>
            <c:pt idx="0">
              <c:v>Falls by Activity</c:v>
            </c:pt>
          </c:strCache>
        </c:strRef>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tx>
            <c:strRef>
              <c:f>Oct!$G$66</c:f>
              <c:strCache>
                <c:ptCount val="1"/>
                <c:pt idx="0">
                  <c:v>Total</c:v>
                </c:pt>
              </c:strCache>
            </c:strRef>
          </c:tx>
          <c:spPr>
            <a:solidFill>
              <a:schemeClr val="bg1">
                <a:lumMod val="75000"/>
              </a:schemeClr>
            </a:solidFill>
            <a:ln>
              <a:solidFill>
                <a:schemeClr val="bg1">
                  <a:lumMod val="85000"/>
                </a:schemeClr>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Oct!$B$67:$B$90</c:f>
              <c:strCache>
                <c:ptCount val="11"/>
                <c:pt idx="0">
                  <c:v>Ambulating with assistive device (walker, cane, wheelchair)</c:v>
                </c:pt>
                <c:pt idx="1">
                  <c:v>Ambulating with staff assistance</c:v>
                </c:pt>
                <c:pt idx="2">
                  <c:v>Ambulating without assistance or assistive device</c:v>
                </c:pt>
                <c:pt idx="3">
                  <c:v>Changing position (e.g., in bed, chair)</c:v>
                </c:pt>
                <c:pt idx="4">
                  <c:v>Dressing or undressing</c:v>
                </c:pt>
                <c:pt idx="5">
                  <c:v>Other activity</c:v>
                </c:pt>
                <c:pt idx="6">
                  <c:v>Reaching for an item</c:v>
                </c:pt>
                <c:pt idx="7">
                  <c:v>Showering or bathing</c:v>
                </c:pt>
                <c:pt idx="8">
                  <c:v>Toileting</c:v>
                </c:pt>
                <c:pt idx="9">
                  <c:v>Transferring to or from bed, chair, wheelchair, etc.</c:v>
                </c:pt>
                <c:pt idx="10">
                  <c:v>Unknown</c:v>
                </c:pt>
              </c:strCache>
            </c:strRef>
          </c:cat>
          <c:val>
            <c:numRef>
              <c:f>Oct!$G$67:$G$90</c:f>
              <c:numCache>
                <c:formatCode>General</c:formatCode>
                <c:ptCount val="24"/>
                <c:pt idx="0">
                  <c:v>0</c:v>
                </c:pt>
                <c:pt idx="1">
                  <c:v>0</c:v>
                </c:pt>
                <c:pt idx="2">
                  <c:v>0</c:v>
                </c:pt>
                <c:pt idx="3">
                  <c:v>0</c:v>
                </c:pt>
                <c:pt idx="4">
                  <c:v>0</c:v>
                </c:pt>
                <c:pt idx="5">
                  <c:v>0</c:v>
                </c:pt>
                <c:pt idx="6">
                  <c:v>0</c:v>
                </c:pt>
                <c:pt idx="7">
                  <c:v>0</c:v>
                </c:pt>
                <c:pt idx="8">
                  <c:v>0</c:v>
                </c:pt>
                <c:pt idx="9">
                  <c:v>0</c:v>
                </c:pt>
                <c:pt idx="10">
                  <c:v>0</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val>
          <c:extLst>
            <c:ext xmlns:c16="http://schemas.microsoft.com/office/drawing/2014/chart" uri="{C3380CC4-5D6E-409C-BE32-E72D297353CC}">
              <c16:uniqueId val="{00000000-AB76-4ADA-AF16-FBD02E3358F2}"/>
            </c:ext>
          </c:extLst>
        </c:ser>
        <c:dLbls>
          <c:showLegendKey val="0"/>
          <c:showVal val="0"/>
          <c:showCatName val="0"/>
          <c:showSerName val="0"/>
          <c:showPercent val="0"/>
          <c:showBubbleSize val="0"/>
        </c:dLbls>
        <c:gapWidth val="182"/>
        <c:axId val="1658854639"/>
        <c:axId val="1658861839"/>
      </c:barChart>
      <c:catAx>
        <c:axId val="16588546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1658861839"/>
        <c:crosses val="autoZero"/>
        <c:auto val="1"/>
        <c:lblAlgn val="ctr"/>
        <c:lblOffset val="100"/>
        <c:noMultiLvlLbl val="0"/>
      </c:catAx>
      <c:valAx>
        <c:axId val="1658861839"/>
        <c:scaling>
          <c:orientation val="minMax"/>
        </c:scaling>
        <c:delete val="1"/>
        <c:axPos val="t"/>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658854639"/>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orientation="landscape"/>
  </c:printSettings>
</c:chartSpace>
</file>

<file path=xl/charts/chart9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5"/>
    </mc:Choice>
    <mc:Fallback>
      <c:style val="5"/>
    </mc:Fallback>
  </mc:AlternateContent>
  <c:chart>
    <c:title>
      <c:tx>
        <c:strRef>
          <c:f>Oct!$B$51</c:f>
          <c:strCache>
            <c:ptCount val="1"/>
            <c:pt idx="0">
              <c:v>Witnessed Falls</c:v>
            </c:pt>
          </c:strCache>
        </c:strRef>
      </c:tx>
      <c:layout>
        <c:manualLayout>
          <c:xMode val="edge"/>
          <c:yMode val="edge"/>
          <c:x val="0.28456383934819923"/>
          <c:y val="4.8263836268180225E-2"/>
        </c:manualLayout>
      </c:layout>
      <c:overlay val="0"/>
      <c:spPr>
        <a:noFill/>
        <a:ln>
          <a:noFill/>
        </a:ln>
        <a:effectLst/>
      </c:spPr>
      <c:txPr>
        <a:bodyPr rot="0" spcFirstLastPara="1" vertOverflow="ellipsis" vert="horz" wrap="square" anchor="ctr" anchorCtr="1"/>
        <a:lstStyle/>
        <a:p>
          <a:pPr>
            <a:defRPr sz="1100" b="1" i="0" u="none" strike="noStrike" kern="1200" spc="0" baseline="0">
              <a:solidFill>
                <a:sysClr val="windowText" lastClr="000000"/>
              </a:solidFill>
              <a:latin typeface="+mn-lt"/>
              <a:ea typeface="+mn-ea"/>
              <a:cs typeface="+mn-cs"/>
            </a:defRPr>
          </a:pPr>
          <a:endParaRPr lang="en-US"/>
        </a:p>
      </c:txPr>
    </c:title>
    <c:autoTitleDeleted val="0"/>
    <c:plotArea>
      <c:layout/>
      <c:pieChart>
        <c:varyColors val="1"/>
        <c:ser>
          <c:idx val="2"/>
          <c:order val="0"/>
          <c:tx>
            <c:strRef>
              <c:f>Oct!$D$52</c:f>
              <c:strCache>
                <c:ptCount val="1"/>
                <c:pt idx="0">
                  <c:v>Total</c:v>
                </c:pt>
              </c:strCache>
            </c:strRef>
          </c:tx>
          <c:spPr>
            <a:solidFill>
              <a:srgbClr val="F7F7F7"/>
            </a:solidFill>
            <a:ln w="19050">
              <a:solidFill>
                <a:schemeClr val="bg2">
                  <a:lumMod val="90000"/>
                </a:schemeClr>
              </a:solidFill>
            </a:ln>
          </c:spPr>
          <c:dPt>
            <c:idx val="0"/>
            <c:bubble3D val="0"/>
            <c:spPr>
              <a:solidFill>
                <a:srgbClr val="F7F7F7"/>
              </a:solidFill>
              <a:ln w="19050">
                <a:solidFill>
                  <a:schemeClr val="bg2">
                    <a:lumMod val="90000"/>
                  </a:schemeClr>
                </a:solidFill>
              </a:ln>
              <a:effectLst/>
            </c:spPr>
            <c:extLst>
              <c:ext xmlns:c16="http://schemas.microsoft.com/office/drawing/2014/chart" uri="{C3380CC4-5D6E-409C-BE32-E72D297353CC}">
                <c16:uniqueId val="{00000001-86D0-41DB-9599-92EF84794C65}"/>
              </c:ext>
            </c:extLst>
          </c:dPt>
          <c:dPt>
            <c:idx val="1"/>
            <c:bubble3D val="0"/>
            <c:spPr>
              <a:solidFill>
                <a:schemeClr val="bg2"/>
              </a:solidFill>
              <a:ln w="19050">
                <a:solidFill>
                  <a:schemeClr val="bg2">
                    <a:lumMod val="90000"/>
                  </a:schemeClr>
                </a:solidFill>
              </a:ln>
              <a:effectLst/>
            </c:spPr>
            <c:extLst>
              <c:ext xmlns:c16="http://schemas.microsoft.com/office/drawing/2014/chart" uri="{C3380CC4-5D6E-409C-BE32-E72D297353CC}">
                <c16:uniqueId val="{00000003-86D0-41DB-9599-92EF84794C65}"/>
              </c:ext>
            </c:extLst>
          </c:dPt>
          <c:dLbls>
            <c:dLbl>
              <c:idx val="0"/>
              <c:layout>
                <c:manualLayout>
                  <c:x val="6.2922200858950839E-2"/>
                  <c:y val="-5.7940247469122956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6D0-41DB-9599-92EF84794C65}"/>
                </c:ext>
              </c:extLst>
            </c:dLbl>
            <c:dLbl>
              <c:idx val="1"/>
              <c:layout>
                <c:manualLayout>
                  <c:x val="-4.8011385115936479E-2"/>
                  <c:y val="2.6697554736401265E-2"/>
                </c:manualLayout>
              </c:layout>
              <c:spPr>
                <a:noFill/>
                <a:ln>
                  <a:noFill/>
                </a:ln>
                <a:effectLst/>
              </c:spPr>
              <c:txPr>
                <a:bodyPr rot="0" spcFirstLastPara="1" vertOverflow="ellipsis" vert="horz" wrap="square" lIns="38100" tIns="19050" rIns="38100" bIns="19050" anchor="ctr" anchorCtr="1">
                  <a:noAutofit/>
                </a:bodyPr>
                <a:lstStyle/>
                <a:p>
                  <a:pPr>
                    <a:defRPr sz="9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0"/>
              <c:showBubbleSize val="0"/>
              <c:extLst>
                <c:ext xmlns:c15="http://schemas.microsoft.com/office/drawing/2012/chart" uri="{CE6537A1-D6FC-4f65-9D91-7224C49458BB}">
                  <c15:layout>
                    <c:manualLayout>
                      <c:w val="0.24931745400710711"/>
                      <c:h val="0.11967240535812428"/>
                    </c:manualLayout>
                  </c15:layout>
                </c:ext>
                <c:ext xmlns:c16="http://schemas.microsoft.com/office/drawing/2014/chart" uri="{C3380CC4-5D6E-409C-BE32-E72D297353CC}">
                  <c16:uniqueId val="{00000003-86D0-41DB-9599-92EF84794C6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Oct!$B$53:$B$54</c:f>
              <c:strCache>
                <c:ptCount val="2"/>
                <c:pt idx="0">
                  <c:v>Yes</c:v>
                </c:pt>
                <c:pt idx="1">
                  <c:v>No</c:v>
                </c:pt>
              </c:strCache>
            </c:strRef>
          </c:cat>
          <c:val>
            <c:numRef>
              <c:f>Oct!$D$53:$D$54</c:f>
              <c:numCache>
                <c:formatCode>General</c:formatCode>
                <c:ptCount val="2"/>
                <c:pt idx="0">
                  <c:v>0</c:v>
                </c:pt>
                <c:pt idx="1">
                  <c:v>0</c:v>
                </c:pt>
              </c:numCache>
            </c:numRef>
          </c:val>
          <c:extLst>
            <c:ext xmlns:c16="http://schemas.microsoft.com/office/drawing/2014/chart" uri="{C3380CC4-5D6E-409C-BE32-E72D297353CC}">
              <c16:uniqueId val="{00000004-86D0-41DB-9599-92EF84794C65}"/>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solidFill>
      <a:schemeClr val="bg1"/>
    </a:solidFill>
    <a:ln w="3175"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c:printSettings>
</c:chartSpace>
</file>

<file path=xl/charts/chart9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Oct!$B$171</c:f>
          <c:strCache>
            <c:ptCount val="1"/>
            <c:pt idx="0">
              <c:v>Falls by Contributing Factors</c:v>
            </c:pt>
          </c:strCache>
        </c:strRef>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4"/>
          <c:order val="0"/>
          <c:tx>
            <c:strRef>
              <c:f>Oct!$G$172</c:f>
              <c:strCache>
                <c:ptCount val="1"/>
                <c:pt idx="0">
                  <c:v>Total</c:v>
                </c:pt>
              </c:strCache>
            </c:strRef>
          </c:tx>
          <c:spPr>
            <a:solidFill>
              <a:schemeClr val="bg2">
                <a:lumMod val="9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Oct!$B$173:$B$196</c:f>
              <c:strCache>
                <c:ptCount val="11"/>
                <c:pt idx="0">
                  <c:v>Assisted/caregiver transfer</c:v>
                </c:pt>
                <c:pt idx="1">
                  <c:v>Bowel and bladder (B&amp;B) needs</c:v>
                </c:pt>
                <c:pt idx="2">
                  <c:v>Behavioral or situational</c:v>
                </c:pt>
                <c:pt idx="3">
                  <c:v>Change of condition</c:v>
                </c:pt>
                <c:pt idx="4">
                  <c:v>Environmental factors</c:v>
                </c:pt>
                <c:pt idx="5">
                  <c:v>Equipment malfunction</c:v>
                </c:pt>
                <c:pt idx="6">
                  <c:v>Equipment or assistive device</c:v>
                </c:pt>
                <c:pt idx="7">
                  <c:v>Medication related</c:v>
                </c:pt>
                <c:pt idx="8">
                  <c:v>Process(s) not followed</c:v>
                </c:pt>
                <c:pt idx="9">
                  <c:v>Resident health conditions</c:v>
                </c:pt>
                <c:pt idx="10">
                  <c:v>Staff</c:v>
                </c:pt>
              </c:strCache>
            </c:strRef>
          </c:cat>
          <c:val>
            <c:numRef>
              <c:f>Oct!$G$173:$G$196</c:f>
              <c:numCache>
                <c:formatCode>General</c:formatCode>
                <c:ptCount val="24"/>
                <c:pt idx="0">
                  <c:v>0</c:v>
                </c:pt>
                <c:pt idx="1">
                  <c:v>0</c:v>
                </c:pt>
                <c:pt idx="2">
                  <c:v>0</c:v>
                </c:pt>
                <c:pt idx="3">
                  <c:v>0</c:v>
                </c:pt>
                <c:pt idx="4">
                  <c:v>0</c:v>
                </c:pt>
                <c:pt idx="5">
                  <c:v>0</c:v>
                </c:pt>
                <c:pt idx="6">
                  <c:v>0</c:v>
                </c:pt>
                <c:pt idx="7">
                  <c:v>0</c:v>
                </c:pt>
                <c:pt idx="8">
                  <c:v>0</c:v>
                </c:pt>
                <c:pt idx="9">
                  <c:v>0</c:v>
                </c:pt>
                <c:pt idx="10">
                  <c:v>0</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val>
          <c:extLst>
            <c:ext xmlns:c16="http://schemas.microsoft.com/office/drawing/2014/chart" uri="{C3380CC4-5D6E-409C-BE32-E72D297353CC}">
              <c16:uniqueId val="{00000000-59A7-4CD8-9AC9-2CDDB3FFDB03}"/>
            </c:ext>
          </c:extLst>
        </c:ser>
        <c:dLbls>
          <c:showLegendKey val="0"/>
          <c:showVal val="0"/>
          <c:showCatName val="0"/>
          <c:showSerName val="0"/>
          <c:showPercent val="0"/>
          <c:showBubbleSize val="0"/>
        </c:dLbls>
        <c:gapWidth val="182"/>
        <c:axId val="1658854639"/>
        <c:axId val="1658861839"/>
      </c:barChart>
      <c:catAx>
        <c:axId val="16588546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bg2">
                    <a:lumMod val="50000"/>
                  </a:schemeClr>
                </a:solidFill>
                <a:latin typeface="+mn-lt"/>
                <a:ea typeface="+mn-ea"/>
                <a:cs typeface="+mn-cs"/>
              </a:defRPr>
            </a:pPr>
            <a:endParaRPr lang="en-US"/>
          </a:p>
        </c:txPr>
        <c:crossAx val="1658861839"/>
        <c:crosses val="autoZero"/>
        <c:auto val="1"/>
        <c:lblAlgn val="ctr"/>
        <c:lblOffset val="100"/>
        <c:noMultiLvlLbl val="0"/>
      </c:catAx>
      <c:valAx>
        <c:axId val="1658861839"/>
        <c:scaling>
          <c:orientation val="minMax"/>
        </c:scaling>
        <c:delete val="1"/>
        <c:axPos val="t"/>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658854639"/>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orientation="landscape"/>
  </c:printSettings>
</c:chartSpace>
</file>

<file path=xl/charts/chart9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Oct!$F$51</c:f>
          <c:strCache>
            <c:ptCount val="1"/>
            <c:pt idx="0">
              <c:v>Fall Circumstances</c:v>
            </c:pt>
          </c:strCache>
        </c:strRef>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Oct!$H$52</c:f>
              <c:strCache>
                <c:ptCount val="1"/>
                <c:pt idx="0">
                  <c:v>Total</c:v>
                </c:pt>
              </c:strCache>
            </c:strRef>
          </c:tx>
          <c:spPr>
            <a:solidFill>
              <a:schemeClr val="bg2">
                <a:lumMod val="90000"/>
              </a:schemeClr>
            </a:solidFill>
            <a:ln>
              <a:solidFill>
                <a:schemeClr val="bg2">
                  <a:lumMod val="90000"/>
                </a:schemeClr>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Oct!$F$53:$F$55</c:f>
              <c:strCache>
                <c:ptCount val="3"/>
                <c:pt idx="0">
                  <c:v>Overwhelming Force</c:v>
                </c:pt>
                <c:pt idx="1">
                  <c:v>Intercepted</c:v>
                </c:pt>
                <c:pt idx="2">
                  <c:v>N/A</c:v>
                </c:pt>
              </c:strCache>
            </c:strRef>
          </c:cat>
          <c:val>
            <c:numRef>
              <c:f>Oct!$H$53:$H$55</c:f>
              <c:numCache>
                <c:formatCode>General</c:formatCode>
                <c:ptCount val="3"/>
                <c:pt idx="0">
                  <c:v>0</c:v>
                </c:pt>
                <c:pt idx="1">
                  <c:v>0</c:v>
                </c:pt>
                <c:pt idx="2">
                  <c:v>0</c:v>
                </c:pt>
              </c:numCache>
            </c:numRef>
          </c:val>
          <c:extLst>
            <c:ext xmlns:c16="http://schemas.microsoft.com/office/drawing/2014/chart" uri="{C3380CC4-5D6E-409C-BE32-E72D297353CC}">
              <c16:uniqueId val="{00000000-F029-43B5-9063-BA5DA6CBD6B3}"/>
            </c:ext>
          </c:extLst>
        </c:ser>
        <c:dLbls>
          <c:showLegendKey val="0"/>
          <c:showVal val="0"/>
          <c:showCatName val="0"/>
          <c:showSerName val="0"/>
          <c:showPercent val="0"/>
          <c:showBubbleSize val="0"/>
        </c:dLbls>
        <c:gapWidth val="219"/>
        <c:overlap val="-27"/>
        <c:axId val="1226967759"/>
        <c:axId val="1226960559"/>
      </c:barChart>
      <c:catAx>
        <c:axId val="12269677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US"/>
          </a:p>
        </c:txPr>
        <c:crossAx val="1226960559"/>
        <c:crosses val="autoZero"/>
        <c:auto val="1"/>
        <c:lblAlgn val="ctr"/>
        <c:lblOffset val="100"/>
        <c:noMultiLvlLbl val="0"/>
      </c:catAx>
      <c:valAx>
        <c:axId val="122696055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1226967759"/>
        <c:crosses val="autoZero"/>
        <c:crossBetween val="between"/>
      </c:valAx>
      <c:spPr>
        <a:noFill/>
        <a:ln>
          <a:noFill/>
        </a:ln>
        <a:effectLst/>
      </c:spPr>
    </c:plotArea>
    <c:plotVisOnly val="1"/>
    <c:dispBlanksAs val="gap"/>
    <c:showDLblsOverMax val="0"/>
  </c:chart>
  <c:spPr>
    <a:noFill/>
    <a:ln w="6350"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6">
  <a:schemeClr val="accent3"/>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1.xml><?xml version="1.0" encoding="utf-8"?>
<cs:colorStyle xmlns:cs="http://schemas.microsoft.com/office/drawing/2012/chartStyle" xmlns:a="http://schemas.openxmlformats.org/drawingml/2006/main" meth="withinLinear" id="16">
  <a:schemeClr val="accent3"/>
</cs:colorStyle>
</file>

<file path=xl/charts/colors10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7.xml><?xml version="1.0" encoding="utf-8"?>
<cs:colorStyle xmlns:cs="http://schemas.microsoft.com/office/drawing/2012/chartStyle" xmlns:a="http://schemas.openxmlformats.org/drawingml/2006/main" meth="withinLinear" id="16">
  <a:schemeClr val="accent3"/>
</cs:colorStyle>
</file>

<file path=xl/charts/colors10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withinLinear" id="16">
  <a:schemeClr val="accent3"/>
</cs:colorStyle>
</file>

<file path=xl/charts/colors1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1.xml><?xml version="1.0" encoding="utf-8"?>
<cs:colorStyle xmlns:cs="http://schemas.microsoft.com/office/drawing/2012/chartStyle" xmlns:a="http://schemas.openxmlformats.org/drawingml/2006/main" meth="withinLinear" id="16">
  <a:schemeClr val="accent3"/>
</cs:colorStyle>
</file>

<file path=xl/charts/colors1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7.xml><?xml version="1.0" encoding="utf-8"?>
<cs:colorStyle xmlns:cs="http://schemas.microsoft.com/office/drawing/2012/chartStyle" xmlns:a="http://schemas.openxmlformats.org/drawingml/2006/main" meth="withinLinear" id="16">
  <a:schemeClr val="accent3"/>
</cs:colorStyle>
</file>

<file path=xl/charts/colors1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5.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6.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withinLinear" id="16">
  <a:schemeClr val="accent3"/>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withinLinear" id="16">
  <a:schemeClr val="accent3"/>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withinLinear" id="16">
  <a:schemeClr val="accent3"/>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withinLinear" id="16">
  <a:schemeClr val="accent3"/>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withinLinear" id="16">
  <a:schemeClr val="accent3"/>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withinLinear" id="16">
  <a:schemeClr val="accent3"/>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withinLinear" id="16">
  <a:schemeClr val="accent3"/>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withinLinear" id="16">
  <a:schemeClr val="accent3"/>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7.xml><?xml version="1.0" encoding="utf-8"?>
<cs:colorStyle xmlns:cs="http://schemas.microsoft.com/office/drawing/2012/chartStyle" xmlns:a="http://schemas.openxmlformats.org/drawingml/2006/main" meth="withinLinear" id="16">
  <a:schemeClr val="accent3"/>
</cs:colorStyle>
</file>

<file path=xl/charts/colors5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1.xml><?xml version="1.0" encoding="utf-8"?>
<cs:colorStyle xmlns:cs="http://schemas.microsoft.com/office/drawing/2012/chartStyle" xmlns:a="http://schemas.openxmlformats.org/drawingml/2006/main" meth="withinLinear" id="16">
  <a:schemeClr val="accent3"/>
</cs:colorStyle>
</file>

<file path=xl/charts/colors6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7.xml><?xml version="1.0" encoding="utf-8"?>
<cs:colorStyle xmlns:cs="http://schemas.microsoft.com/office/drawing/2012/chartStyle" xmlns:a="http://schemas.openxmlformats.org/drawingml/2006/main" meth="withinLinear" id="16">
  <a:schemeClr val="accent3"/>
</cs:colorStyle>
</file>

<file path=xl/charts/colors6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1.xml><?xml version="1.0" encoding="utf-8"?>
<cs:colorStyle xmlns:cs="http://schemas.microsoft.com/office/drawing/2012/chartStyle" xmlns:a="http://schemas.openxmlformats.org/drawingml/2006/main" meth="withinLinear" id="16">
  <a:schemeClr val="accent3"/>
</cs:colorStyle>
</file>

<file path=xl/charts/colors7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7.xml><?xml version="1.0" encoding="utf-8"?>
<cs:colorStyle xmlns:cs="http://schemas.microsoft.com/office/drawing/2012/chartStyle" xmlns:a="http://schemas.openxmlformats.org/drawingml/2006/main" meth="withinLinear" id="16">
  <a:schemeClr val="accent3"/>
</cs:colorStyle>
</file>

<file path=xl/charts/colors7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withinLinear" id="16">
  <a:schemeClr val="accent3"/>
</cs:colorStyle>
</file>

<file path=xl/charts/colors8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1.xml><?xml version="1.0" encoding="utf-8"?>
<cs:colorStyle xmlns:cs="http://schemas.microsoft.com/office/drawing/2012/chartStyle" xmlns:a="http://schemas.openxmlformats.org/drawingml/2006/main" meth="withinLinear" id="16">
  <a:schemeClr val="accent3"/>
</cs:colorStyle>
</file>

<file path=xl/charts/colors8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7.xml><?xml version="1.0" encoding="utf-8"?>
<cs:colorStyle xmlns:cs="http://schemas.microsoft.com/office/drawing/2012/chartStyle" xmlns:a="http://schemas.openxmlformats.org/drawingml/2006/main" meth="withinLinear" id="16">
  <a:schemeClr val="accent3"/>
</cs:colorStyle>
</file>

<file path=xl/charts/colors8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1.xml><?xml version="1.0" encoding="utf-8"?>
<cs:colorStyle xmlns:cs="http://schemas.microsoft.com/office/drawing/2012/chartStyle" xmlns:a="http://schemas.openxmlformats.org/drawingml/2006/main" meth="withinLinear" id="16">
  <a:schemeClr val="accent3"/>
</cs:colorStyle>
</file>

<file path=xl/charts/colors9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7.xml><?xml version="1.0" encoding="utf-8"?>
<cs:colorStyle xmlns:cs="http://schemas.microsoft.com/office/drawing/2012/chartStyle" xmlns:a="http://schemas.openxmlformats.org/drawingml/2006/main" meth="withinLinear" id="16">
  <a:schemeClr val="accent3"/>
</cs:colorStyle>
</file>

<file path=xl/charts/colors9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8" Type="http://schemas.openxmlformats.org/officeDocument/2006/relationships/chart" Target="../charts/chart88.xml"/><Relationship Id="rId3" Type="http://schemas.openxmlformats.org/officeDocument/2006/relationships/chart" Target="../charts/chart83.xml"/><Relationship Id="rId7" Type="http://schemas.openxmlformats.org/officeDocument/2006/relationships/chart" Target="../charts/chart87.xml"/><Relationship Id="rId2" Type="http://schemas.openxmlformats.org/officeDocument/2006/relationships/chart" Target="../charts/chart82.xml"/><Relationship Id="rId1" Type="http://schemas.openxmlformats.org/officeDocument/2006/relationships/chart" Target="../charts/chart81.xml"/><Relationship Id="rId6" Type="http://schemas.openxmlformats.org/officeDocument/2006/relationships/chart" Target="../charts/chart86.xml"/><Relationship Id="rId5" Type="http://schemas.openxmlformats.org/officeDocument/2006/relationships/chart" Target="../charts/chart85.xml"/><Relationship Id="rId10" Type="http://schemas.openxmlformats.org/officeDocument/2006/relationships/chart" Target="../charts/chart90.xml"/><Relationship Id="rId4" Type="http://schemas.openxmlformats.org/officeDocument/2006/relationships/chart" Target="../charts/chart84.xml"/><Relationship Id="rId9" Type="http://schemas.openxmlformats.org/officeDocument/2006/relationships/chart" Target="../charts/chart89.xml"/></Relationships>
</file>

<file path=xl/drawings/_rels/drawing11.xml.rels><?xml version="1.0" encoding="UTF-8" standalone="yes"?>
<Relationships xmlns="http://schemas.openxmlformats.org/package/2006/relationships"><Relationship Id="rId8" Type="http://schemas.openxmlformats.org/officeDocument/2006/relationships/chart" Target="../charts/chart98.xml"/><Relationship Id="rId3" Type="http://schemas.openxmlformats.org/officeDocument/2006/relationships/chart" Target="../charts/chart93.xml"/><Relationship Id="rId7" Type="http://schemas.openxmlformats.org/officeDocument/2006/relationships/chart" Target="../charts/chart97.xml"/><Relationship Id="rId2" Type="http://schemas.openxmlformats.org/officeDocument/2006/relationships/chart" Target="../charts/chart92.xml"/><Relationship Id="rId1" Type="http://schemas.openxmlformats.org/officeDocument/2006/relationships/chart" Target="../charts/chart91.xml"/><Relationship Id="rId6" Type="http://schemas.openxmlformats.org/officeDocument/2006/relationships/chart" Target="../charts/chart96.xml"/><Relationship Id="rId5" Type="http://schemas.openxmlformats.org/officeDocument/2006/relationships/chart" Target="../charts/chart95.xml"/><Relationship Id="rId10" Type="http://schemas.openxmlformats.org/officeDocument/2006/relationships/chart" Target="../charts/chart100.xml"/><Relationship Id="rId4" Type="http://schemas.openxmlformats.org/officeDocument/2006/relationships/chart" Target="../charts/chart94.xml"/><Relationship Id="rId9" Type="http://schemas.openxmlformats.org/officeDocument/2006/relationships/chart" Target="../charts/chart99.xml"/></Relationships>
</file>

<file path=xl/drawings/_rels/drawing12.xml.rels><?xml version="1.0" encoding="UTF-8" standalone="yes"?>
<Relationships xmlns="http://schemas.openxmlformats.org/package/2006/relationships"><Relationship Id="rId8" Type="http://schemas.openxmlformats.org/officeDocument/2006/relationships/chart" Target="../charts/chart108.xml"/><Relationship Id="rId3" Type="http://schemas.openxmlformats.org/officeDocument/2006/relationships/chart" Target="../charts/chart103.xml"/><Relationship Id="rId7" Type="http://schemas.openxmlformats.org/officeDocument/2006/relationships/chart" Target="../charts/chart107.xml"/><Relationship Id="rId2" Type="http://schemas.openxmlformats.org/officeDocument/2006/relationships/chart" Target="../charts/chart102.xml"/><Relationship Id="rId1" Type="http://schemas.openxmlformats.org/officeDocument/2006/relationships/chart" Target="../charts/chart101.xml"/><Relationship Id="rId6" Type="http://schemas.openxmlformats.org/officeDocument/2006/relationships/chart" Target="../charts/chart106.xml"/><Relationship Id="rId5" Type="http://schemas.openxmlformats.org/officeDocument/2006/relationships/chart" Target="../charts/chart105.xml"/><Relationship Id="rId10" Type="http://schemas.openxmlformats.org/officeDocument/2006/relationships/chart" Target="../charts/chart110.xml"/><Relationship Id="rId4" Type="http://schemas.openxmlformats.org/officeDocument/2006/relationships/chart" Target="../charts/chart104.xml"/><Relationship Id="rId9" Type="http://schemas.openxmlformats.org/officeDocument/2006/relationships/chart" Target="../charts/chart109.xml"/></Relationships>
</file>

<file path=xl/drawings/_rels/drawing13.xml.rels><?xml version="1.0" encoding="UTF-8" standalone="yes"?>
<Relationships xmlns="http://schemas.openxmlformats.org/package/2006/relationships"><Relationship Id="rId8" Type="http://schemas.openxmlformats.org/officeDocument/2006/relationships/chart" Target="../charts/chart118.xml"/><Relationship Id="rId3" Type="http://schemas.openxmlformats.org/officeDocument/2006/relationships/chart" Target="../charts/chart113.xml"/><Relationship Id="rId7" Type="http://schemas.openxmlformats.org/officeDocument/2006/relationships/chart" Target="../charts/chart117.xml"/><Relationship Id="rId2" Type="http://schemas.openxmlformats.org/officeDocument/2006/relationships/chart" Target="../charts/chart112.xml"/><Relationship Id="rId1" Type="http://schemas.openxmlformats.org/officeDocument/2006/relationships/chart" Target="../charts/chart111.xml"/><Relationship Id="rId6" Type="http://schemas.openxmlformats.org/officeDocument/2006/relationships/chart" Target="../charts/chart116.xml"/><Relationship Id="rId5" Type="http://schemas.openxmlformats.org/officeDocument/2006/relationships/chart" Target="../charts/chart115.xml"/><Relationship Id="rId10" Type="http://schemas.openxmlformats.org/officeDocument/2006/relationships/chart" Target="../charts/chart120.xml"/><Relationship Id="rId4" Type="http://schemas.openxmlformats.org/officeDocument/2006/relationships/chart" Target="../charts/chart114.xml"/><Relationship Id="rId9" Type="http://schemas.openxmlformats.org/officeDocument/2006/relationships/chart" Target="../charts/chart119.xml"/></Relationships>
</file>

<file path=xl/drawings/_rels/drawing14.xml.rels><?xml version="1.0" encoding="UTF-8" standalone="yes"?>
<Relationships xmlns="http://schemas.openxmlformats.org/package/2006/relationships"><Relationship Id="rId3" Type="http://schemas.openxmlformats.org/officeDocument/2006/relationships/chart" Target="../charts/chart123.xml"/><Relationship Id="rId2" Type="http://schemas.openxmlformats.org/officeDocument/2006/relationships/chart" Target="../charts/chart122.xml"/><Relationship Id="rId1" Type="http://schemas.openxmlformats.org/officeDocument/2006/relationships/chart" Target="../charts/chart121.xml"/></Relationships>
</file>

<file path=xl/drawings/_rels/drawing15.xml.rels><?xml version="1.0" encoding="UTF-8" standalone="yes"?>
<Relationships xmlns="http://schemas.openxmlformats.org/package/2006/relationships"><Relationship Id="rId3" Type="http://schemas.openxmlformats.org/officeDocument/2006/relationships/chart" Target="../charts/chart126.xml"/><Relationship Id="rId2" Type="http://schemas.openxmlformats.org/officeDocument/2006/relationships/chart" Target="../charts/chart125.xml"/><Relationship Id="rId1" Type="http://schemas.openxmlformats.org/officeDocument/2006/relationships/chart" Target="../charts/chart124.xml"/><Relationship Id="rId5" Type="http://schemas.openxmlformats.org/officeDocument/2006/relationships/chart" Target="../charts/chart128.xml"/><Relationship Id="rId4" Type="http://schemas.openxmlformats.org/officeDocument/2006/relationships/chart" Target="../charts/chart127.xml"/></Relationships>
</file>

<file path=xl/drawings/_rels/drawing16.xml.rels><?xml version="1.0" encoding="UTF-8" standalone="yes"?>
<Relationships xmlns="http://schemas.openxmlformats.org/package/2006/relationships"><Relationship Id="rId3" Type="http://schemas.openxmlformats.org/officeDocument/2006/relationships/chart" Target="../charts/chart131.xml"/><Relationship Id="rId2" Type="http://schemas.openxmlformats.org/officeDocument/2006/relationships/chart" Target="../charts/chart130.xml"/><Relationship Id="rId1" Type="http://schemas.openxmlformats.org/officeDocument/2006/relationships/chart" Target="../charts/chart129.xml"/><Relationship Id="rId5" Type="http://schemas.openxmlformats.org/officeDocument/2006/relationships/chart" Target="../charts/chart133.xml"/><Relationship Id="rId4" Type="http://schemas.openxmlformats.org/officeDocument/2006/relationships/chart" Target="../charts/chart132.xml"/></Relationships>
</file>

<file path=xl/drawings/_rels/drawing17.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_rels/drawing3.xml.rels><?xml version="1.0" encoding="UTF-8" standalone="yes"?>
<Relationships xmlns="http://schemas.openxmlformats.org/package/2006/relationships"><Relationship Id="rId8" Type="http://schemas.openxmlformats.org/officeDocument/2006/relationships/chart" Target="../charts/chart18.xml"/><Relationship Id="rId3" Type="http://schemas.openxmlformats.org/officeDocument/2006/relationships/chart" Target="../charts/chart13.xml"/><Relationship Id="rId7" Type="http://schemas.openxmlformats.org/officeDocument/2006/relationships/chart" Target="../charts/chart17.xml"/><Relationship Id="rId2" Type="http://schemas.openxmlformats.org/officeDocument/2006/relationships/chart" Target="../charts/chart12.xml"/><Relationship Id="rId1" Type="http://schemas.openxmlformats.org/officeDocument/2006/relationships/chart" Target="../charts/chart11.xml"/><Relationship Id="rId6" Type="http://schemas.openxmlformats.org/officeDocument/2006/relationships/chart" Target="../charts/chart16.xml"/><Relationship Id="rId5" Type="http://schemas.openxmlformats.org/officeDocument/2006/relationships/chart" Target="../charts/chart15.xml"/><Relationship Id="rId10" Type="http://schemas.openxmlformats.org/officeDocument/2006/relationships/chart" Target="../charts/chart20.xml"/><Relationship Id="rId4" Type="http://schemas.openxmlformats.org/officeDocument/2006/relationships/chart" Target="../charts/chart14.xml"/><Relationship Id="rId9" Type="http://schemas.openxmlformats.org/officeDocument/2006/relationships/chart" Target="../charts/chart19.xml"/></Relationships>
</file>

<file path=xl/drawings/_rels/drawing4.xml.rels><?xml version="1.0" encoding="UTF-8" standalone="yes"?>
<Relationships xmlns="http://schemas.openxmlformats.org/package/2006/relationships"><Relationship Id="rId8" Type="http://schemas.openxmlformats.org/officeDocument/2006/relationships/chart" Target="../charts/chart28.xml"/><Relationship Id="rId3" Type="http://schemas.openxmlformats.org/officeDocument/2006/relationships/chart" Target="../charts/chart23.xml"/><Relationship Id="rId7" Type="http://schemas.openxmlformats.org/officeDocument/2006/relationships/chart" Target="../charts/chart27.xml"/><Relationship Id="rId2" Type="http://schemas.openxmlformats.org/officeDocument/2006/relationships/chart" Target="../charts/chart22.xml"/><Relationship Id="rId1" Type="http://schemas.openxmlformats.org/officeDocument/2006/relationships/chart" Target="../charts/chart21.xml"/><Relationship Id="rId6" Type="http://schemas.openxmlformats.org/officeDocument/2006/relationships/chart" Target="../charts/chart26.xml"/><Relationship Id="rId5" Type="http://schemas.openxmlformats.org/officeDocument/2006/relationships/chart" Target="../charts/chart25.xml"/><Relationship Id="rId10" Type="http://schemas.openxmlformats.org/officeDocument/2006/relationships/chart" Target="../charts/chart30.xml"/><Relationship Id="rId4" Type="http://schemas.openxmlformats.org/officeDocument/2006/relationships/chart" Target="../charts/chart24.xml"/><Relationship Id="rId9" Type="http://schemas.openxmlformats.org/officeDocument/2006/relationships/chart" Target="../charts/chart29.xml"/></Relationships>
</file>

<file path=xl/drawings/_rels/drawing5.xml.rels><?xml version="1.0" encoding="UTF-8" standalone="yes"?>
<Relationships xmlns="http://schemas.openxmlformats.org/package/2006/relationships"><Relationship Id="rId8" Type="http://schemas.openxmlformats.org/officeDocument/2006/relationships/chart" Target="../charts/chart38.xml"/><Relationship Id="rId3" Type="http://schemas.openxmlformats.org/officeDocument/2006/relationships/chart" Target="../charts/chart33.xml"/><Relationship Id="rId7" Type="http://schemas.openxmlformats.org/officeDocument/2006/relationships/chart" Target="../charts/chart37.xml"/><Relationship Id="rId2" Type="http://schemas.openxmlformats.org/officeDocument/2006/relationships/chart" Target="../charts/chart32.xml"/><Relationship Id="rId1" Type="http://schemas.openxmlformats.org/officeDocument/2006/relationships/chart" Target="../charts/chart31.xml"/><Relationship Id="rId6" Type="http://schemas.openxmlformats.org/officeDocument/2006/relationships/chart" Target="../charts/chart36.xml"/><Relationship Id="rId5" Type="http://schemas.openxmlformats.org/officeDocument/2006/relationships/chart" Target="../charts/chart35.xml"/><Relationship Id="rId10" Type="http://schemas.openxmlformats.org/officeDocument/2006/relationships/chart" Target="../charts/chart40.xml"/><Relationship Id="rId4" Type="http://schemas.openxmlformats.org/officeDocument/2006/relationships/chart" Target="../charts/chart34.xml"/><Relationship Id="rId9" Type="http://schemas.openxmlformats.org/officeDocument/2006/relationships/chart" Target="../charts/chart39.xml"/></Relationships>
</file>

<file path=xl/drawings/_rels/drawing6.xml.rels><?xml version="1.0" encoding="UTF-8" standalone="yes"?>
<Relationships xmlns="http://schemas.openxmlformats.org/package/2006/relationships"><Relationship Id="rId8" Type="http://schemas.openxmlformats.org/officeDocument/2006/relationships/chart" Target="../charts/chart48.xml"/><Relationship Id="rId3" Type="http://schemas.openxmlformats.org/officeDocument/2006/relationships/chart" Target="../charts/chart43.xml"/><Relationship Id="rId7" Type="http://schemas.openxmlformats.org/officeDocument/2006/relationships/chart" Target="../charts/chart47.xml"/><Relationship Id="rId2" Type="http://schemas.openxmlformats.org/officeDocument/2006/relationships/chart" Target="../charts/chart42.xml"/><Relationship Id="rId1" Type="http://schemas.openxmlformats.org/officeDocument/2006/relationships/chart" Target="../charts/chart41.xml"/><Relationship Id="rId6" Type="http://schemas.openxmlformats.org/officeDocument/2006/relationships/chart" Target="../charts/chart46.xml"/><Relationship Id="rId5" Type="http://schemas.openxmlformats.org/officeDocument/2006/relationships/chart" Target="../charts/chart45.xml"/><Relationship Id="rId10" Type="http://schemas.openxmlformats.org/officeDocument/2006/relationships/chart" Target="../charts/chart50.xml"/><Relationship Id="rId4" Type="http://schemas.openxmlformats.org/officeDocument/2006/relationships/chart" Target="../charts/chart44.xml"/><Relationship Id="rId9" Type="http://schemas.openxmlformats.org/officeDocument/2006/relationships/chart" Target="../charts/chart49.xml"/></Relationships>
</file>

<file path=xl/drawings/_rels/drawing7.xml.rels><?xml version="1.0" encoding="UTF-8" standalone="yes"?>
<Relationships xmlns="http://schemas.openxmlformats.org/package/2006/relationships"><Relationship Id="rId8" Type="http://schemas.openxmlformats.org/officeDocument/2006/relationships/chart" Target="../charts/chart58.xml"/><Relationship Id="rId3" Type="http://schemas.openxmlformats.org/officeDocument/2006/relationships/chart" Target="../charts/chart53.xml"/><Relationship Id="rId7" Type="http://schemas.openxmlformats.org/officeDocument/2006/relationships/chart" Target="../charts/chart57.xml"/><Relationship Id="rId2" Type="http://schemas.openxmlformats.org/officeDocument/2006/relationships/chart" Target="../charts/chart52.xml"/><Relationship Id="rId1" Type="http://schemas.openxmlformats.org/officeDocument/2006/relationships/chart" Target="../charts/chart51.xml"/><Relationship Id="rId6" Type="http://schemas.openxmlformats.org/officeDocument/2006/relationships/chart" Target="../charts/chart56.xml"/><Relationship Id="rId5" Type="http://schemas.openxmlformats.org/officeDocument/2006/relationships/chart" Target="../charts/chart55.xml"/><Relationship Id="rId10" Type="http://schemas.openxmlformats.org/officeDocument/2006/relationships/chart" Target="../charts/chart60.xml"/><Relationship Id="rId4" Type="http://schemas.openxmlformats.org/officeDocument/2006/relationships/chart" Target="../charts/chart54.xml"/><Relationship Id="rId9" Type="http://schemas.openxmlformats.org/officeDocument/2006/relationships/chart" Target="../charts/chart59.xml"/></Relationships>
</file>

<file path=xl/drawings/_rels/drawing8.xml.rels><?xml version="1.0" encoding="UTF-8" standalone="yes"?>
<Relationships xmlns="http://schemas.openxmlformats.org/package/2006/relationships"><Relationship Id="rId8" Type="http://schemas.openxmlformats.org/officeDocument/2006/relationships/chart" Target="../charts/chart68.xml"/><Relationship Id="rId3" Type="http://schemas.openxmlformats.org/officeDocument/2006/relationships/chart" Target="../charts/chart63.xml"/><Relationship Id="rId7" Type="http://schemas.openxmlformats.org/officeDocument/2006/relationships/chart" Target="../charts/chart67.xml"/><Relationship Id="rId2" Type="http://schemas.openxmlformats.org/officeDocument/2006/relationships/chart" Target="../charts/chart62.xml"/><Relationship Id="rId1" Type="http://schemas.openxmlformats.org/officeDocument/2006/relationships/chart" Target="../charts/chart61.xml"/><Relationship Id="rId6" Type="http://schemas.openxmlformats.org/officeDocument/2006/relationships/chart" Target="../charts/chart66.xml"/><Relationship Id="rId5" Type="http://schemas.openxmlformats.org/officeDocument/2006/relationships/chart" Target="../charts/chart65.xml"/><Relationship Id="rId10" Type="http://schemas.openxmlformats.org/officeDocument/2006/relationships/chart" Target="../charts/chart70.xml"/><Relationship Id="rId4" Type="http://schemas.openxmlformats.org/officeDocument/2006/relationships/chart" Target="../charts/chart64.xml"/><Relationship Id="rId9" Type="http://schemas.openxmlformats.org/officeDocument/2006/relationships/chart" Target="../charts/chart69.xml"/></Relationships>
</file>

<file path=xl/drawings/_rels/drawing9.xml.rels><?xml version="1.0" encoding="UTF-8" standalone="yes"?>
<Relationships xmlns="http://schemas.openxmlformats.org/package/2006/relationships"><Relationship Id="rId8" Type="http://schemas.openxmlformats.org/officeDocument/2006/relationships/chart" Target="../charts/chart78.xml"/><Relationship Id="rId3" Type="http://schemas.openxmlformats.org/officeDocument/2006/relationships/chart" Target="../charts/chart73.xml"/><Relationship Id="rId7" Type="http://schemas.openxmlformats.org/officeDocument/2006/relationships/chart" Target="../charts/chart77.xml"/><Relationship Id="rId2" Type="http://schemas.openxmlformats.org/officeDocument/2006/relationships/chart" Target="../charts/chart72.xml"/><Relationship Id="rId1" Type="http://schemas.openxmlformats.org/officeDocument/2006/relationships/chart" Target="../charts/chart71.xml"/><Relationship Id="rId6" Type="http://schemas.openxmlformats.org/officeDocument/2006/relationships/chart" Target="../charts/chart76.xml"/><Relationship Id="rId5" Type="http://schemas.openxmlformats.org/officeDocument/2006/relationships/chart" Target="../charts/chart75.xml"/><Relationship Id="rId10" Type="http://schemas.openxmlformats.org/officeDocument/2006/relationships/chart" Target="../charts/chart80.xml"/><Relationship Id="rId4" Type="http://schemas.openxmlformats.org/officeDocument/2006/relationships/chart" Target="../charts/chart74.xml"/><Relationship Id="rId9" Type="http://schemas.openxmlformats.org/officeDocument/2006/relationships/chart" Target="../charts/chart79.xml"/></Relationships>
</file>

<file path=xl/drawings/drawing1.xml><?xml version="1.0" encoding="utf-8"?>
<xdr:wsDr xmlns:xdr="http://schemas.openxmlformats.org/drawingml/2006/spreadsheetDrawing" xmlns:a="http://schemas.openxmlformats.org/drawingml/2006/main">
  <xdr:twoCellAnchor editAs="absolute">
    <xdr:from>
      <xdr:col>17</xdr:col>
      <xdr:colOff>4026</xdr:colOff>
      <xdr:row>2</xdr:row>
      <xdr:rowOff>47502</xdr:rowOff>
    </xdr:from>
    <xdr:to>
      <xdr:col>27</xdr:col>
      <xdr:colOff>355600</xdr:colOff>
      <xdr:row>28</xdr:row>
      <xdr:rowOff>15903</xdr:rowOff>
    </xdr:to>
    <xdr:sp macro="" textlink="">
      <xdr:nvSpPr>
        <xdr:cNvPr id="241" name="TextBox 16">
          <a:extLst>
            <a:ext uri="{FF2B5EF4-FFF2-40B4-BE49-F238E27FC236}">
              <a16:creationId xmlns:a16="http://schemas.microsoft.com/office/drawing/2014/main" id="{1110B108-F58F-4B12-B77D-BE394C11C5C7}"/>
            </a:ext>
          </a:extLst>
        </xdr:cNvPr>
        <xdr:cNvSpPr txBox="1">
          <a:spLocks noChangeAspect="1"/>
        </xdr:cNvSpPr>
      </xdr:nvSpPr>
      <xdr:spPr>
        <a:xfrm>
          <a:off x="9630626" y="384052"/>
          <a:ext cx="6447574" cy="4959501"/>
        </a:xfrm>
        <a:prstGeom prst="rect">
          <a:avLst/>
        </a:prstGeom>
        <a:noFill/>
        <a:ln w="190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b="1"/>
            <a:t>Graphs:</a:t>
          </a:r>
        </a:p>
        <a:p>
          <a:r>
            <a:rPr lang="en-US" sz="1100"/>
            <a:t>1. There are four</a:t>
          </a:r>
          <a:r>
            <a:rPr lang="en-US" sz="1100" baseline="0"/>
            <a:t> consolidated graph tabs.</a:t>
          </a:r>
          <a:endParaRPr lang="en-US" sz="1100" baseline="0">
            <a:solidFill>
              <a:sysClr val="windowText" lastClr="000000"/>
            </a:solidFill>
          </a:endParaRPr>
        </a:p>
        <a:p>
          <a:pPr marL="457200" lvl="1" indent="-171450">
            <a:buFont typeface="Arial" panose="020B0604020202020204" pitchFamily="34" charset="0"/>
            <a:buChar char="•"/>
          </a:pPr>
          <a:r>
            <a:rPr lang="en-US" sz="1100" b="1">
              <a:solidFill>
                <a:sysClr val="windowText" lastClr="000000"/>
              </a:solidFill>
            </a:rPr>
            <a:t>Falls: </a:t>
          </a:r>
          <a:r>
            <a:rPr lang="en-US" sz="1100" b="0">
              <a:solidFill>
                <a:sysClr val="windowText" lastClr="000000"/>
              </a:solidFill>
            </a:rPr>
            <a:t>These graphs capture</a:t>
          </a:r>
          <a:r>
            <a:rPr lang="en-US" sz="1100" b="0" baseline="0">
              <a:solidFill>
                <a:sysClr val="windowText" lastClr="000000"/>
              </a:solidFill>
            </a:rPr>
            <a:t> </a:t>
          </a:r>
          <a:r>
            <a:rPr lang="en-US" sz="1100" b="0">
              <a:solidFill>
                <a:sysClr val="windowText" lastClr="000000"/>
              </a:solidFill>
            </a:rPr>
            <a:t>the number and types of fall</a:t>
          </a:r>
          <a:r>
            <a:rPr lang="en-US" sz="1100" b="0" baseline="0">
              <a:solidFill>
                <a:sysClr val="windowText" lastClr="000000"/>
              </a:solidFill>
            </a:rPr>
            <a:t>s by month and year. The first graph totals all falls and the second graph separates them out by type. A falls rate graph is also included </a:t>
          </a:r>
          <a:r>
            <a:rPr lang="en-US" sz="1100" b="0" i="1" baseline="0">
              <a:solidFill>
                <a:sysClr val="windowText" lastClr="000000"/>
              </a:solidFill>
            </a:rPr>
            <a:t>(fall rate is further explained in the Fall Rate section). </a:t>
          </a:r>
          <a:r>
            <a:rPr lang="en-US" sz="1100" b="0" baseline="0">
              <a:solidFill>
                <a:sysClr val="windowText" lastClr="000000"/>
              </a:solidFill>
            </a:rPr>
            <a:t>The goal for both graphs can be edited for your facility.</a:t>
          </a:r>
        </a:p>
        <a:p>
          <a:pPr marL="457200" lvl="1" indent="-171450">
            <a:buFont typeface="Arial" panose="020B0604020202020204" pitchFamily="34" charset="0"/>
            <a:buChar char="•"/>
          </a:pPr>
          <a:endParaRPr lang="en-US" sz="1100" b="1">
            <a:solidFill>
              <a:sysClr val="windowText" lastClr="000000"/>
            </a:solidFill>
          </a:endParaRPr>
        </a:p>
        <a:p>
          <a:pPr marL="457200" lvl="1" indent="-171450">
            <a:buFont typeface="Arial" panose="020B0604020202020204" pitchFamily="34" charset="0"/>
            <a:buChar char="•"/>
          </a:pPr>
          <a:r>
            <a:rPr lang="en-US" sz="1100" b="1">
              <a:solidFill>
                <a:sysClr val="windowText" lastClr="000000"/>
              </a:solidFill>
            </a:rPr>
            <a:t>BIMS RCA: </a:t>
          </a:r>
          <a:r>
            <a:rPr lang="en-US" sz="1100" b="0">
              <a:solidFill>
                <a:sysClr val="windowText" lastClr="000000"/>
              </a:solidFill>
            </a:rPr>
            <a:t>Graphs in this tab</a:t>
          </a:r>
          <a:r>
            <a:rPr lang="en-US" sz="1100" b="0" baseline="0">
              <a:solidFill>
                <a:sysClr val="windowText" lastClr="000000"/>
              </a:solidFill>
            </a:rPr>
            <a:t> </a:t>
          </a:r>
          <a:r>
            <a:rPr lang="en-US" sz="1100" b="0">
              <a:solidFill>
                <a:sysClr val="windowText" lastClr="000000"/>
              </a:solidFill>
            </a:rPr>
            <a:t>total monthly Falls by the BIMS score, fall circumstances, witnessed falls, activity “What was the resident doing prior to fall?,” and contributing factors. </a:t>
          </a:r>
          <a:r>
            <a:rPr lang="en-US" sz="1100" b="0" i="1">
              <a:solidFill>
                <a:sysClr val="windowText" lastClr="000000"/>
              </a:solidFill>
            </a:rPr>
            <a:t>Activity and contributing factors will update based on the entries in the “Data Validation Tab.”</a:t>
          </a:r>
        </a:p>
        <a:p>
          <a:pPr marL="457200" lvl="1" indent="-171450">
            <a:buFont typeface="Arial" panose="020B0604020202020204" pitchFamily="34" charset="0"/>
            <a:buChar char="•"/>
          </a:pPr>
          <a:endParaRPr lang="en-US" sz="1100" b="1">
            <a:solidFill>
              <a:sysClr val="windowText" lastClr="000000"/>
            </a:solidFill>
          </a:endParaRPr>
        </a:p>
        <a:p>
          <a:pPr marL="457200" lvl="1" indent="-171450">
            <a:buFont typeface="Arial" panose="020B0604020202020204" pitchFamily="34" charset="0"/>
            <a:buChar char="•"/>
          </a:pPr>
          <a:r>
            <a:rPr lang="en-US" sz="1100" b="1">
              <a:solidFill>
                <a:sysClr val="windowText" lastClr="000000"/>
              </a:solidFill>
            </a:rPr>
            <a:t>Loc Hr: </a:t>
          </a:r>
          <a:r>
            <a:rPr lang="en-US" sz="1100" b="0">
              <a:solidFill>
                <a:sysClr val="windowText" lastClr="000000"/>
              </a:solidFill>
            </a:rPr>
            <a:t>The graphs on this tab total monthly falls by nurses station, location of falls, falls by days of the week, falls by shift, and falls per hour.</a:t>
          </a:r>
        </a:p>
        <a:p>
          <a:pPr marL="457200" lvl="1" indent="-171450">
            <a:buFont typeface="Arial" panose="020B0604020202020204" pitchFamily="34" charset="0"/>
            <a:buChar char="•"/>
          </a:pPr>
          <a:endParaRPr lang="en-US" sz="1100" b="1">
            <a:solidFill>
              <a:sysClr val="windowText" lastClr="000000"/>
            </a:solidFill>
          </a:endParaRPr>
        </a:p>
        <a:p>
          <a:pPr marL="457200" lvl="1" indent="-171450">
            <a:buFont typeface="Arial" panose="020B0604020202020204" pitchFamily="34" charset="0"/>
            <a:buChar char="•"/>
          </a:pPr>
          <a:r>
            <a:rPr lang="en-US" sz="1100" b="1">
              <a:solidFill>
                <a:sysClr val="windowText" lastClr="000000"/>
              </a:solidFill>
            </a:rPr>
            <a:t>Resident: </a:t>
          </a:r>
          <a:r>
            <a:rPr lang="en-US" sz="1100" b="0">
              <a:solidFill>
                <a:sysClr val="windowText" lastClr="000000"/>
              </a:solidFill>
            </a:rPr>
            <a:t>This table consolidates resident falls across all months to</a:t>
          </a:r>
          <a:r>
            <a:rPr lang="en-US" sz="1100" b="0" baseline="0">
              <a:solidFill>
                <a:sysClr val="windowText" lastClr="000000"/>
              </a:solidFill>
            </a:rPr>
            <a:t> show fall trends by resident.</a:t>
          </a:r>
          <a:endParaRPr lang="en-US" sz="1100" b="0">
            <a:solidFill>
              <a:sysClr val="windowText" lastClr="000000"/>
            </a:solidFill>
          </a:endParaRPr>
        </a:p>
        <a:p>
          <a:endParaRPr lang="en-US" sz="1100"/>
        </a:p>
        <a:p>
          <a:r>
            <a:rPr lang="en-US" sz="1100" b="1">
              <a:solidFill>
                <a:schemeClr val="tx1"/>
              </a:solidFill>
              <a:effectLst/>
              <a:latin typeface="+mn-lt"/>
              <a:ea typeface="+mn-ea"/>
              <a:cs typeface="+mn-cs"/>
            </a:rPr>
            <a:t>Fall Rate and Census:</a:t>
          </a:r>
        </a:p>
        <a:p>
          <a:pPr marL="228600" lvl="0" indent="-228600">
            <a:buFont typeface="+mj-lt"/>
            <a:buAutoNum type="arabicPeriod"/>
          </a:pPr>
          <a:r>
            <a:rPr lang="en-US" sz="1100">
              <a:solidFill>
                <a:schemeClr val="tx1"/>
              </a:solidFill>
              <a:effectLst/>
              <a:latin typeface="+mn-lt"/>
              <a:ea typeface="+mn-ea"/>
              <a:cs typeface="+mn-cs"/>
            </a:rPr>
            <a:t>Enter daily census numbers for each month. The</a:t>
          </a:r>
          <a:r>
            <a:rPr lang="en-US" sz="1100" baseline="0">
              <a:solidFill>
                <a:schemeClr val="tx1"/>
              </a:solidFill>
              <a:effectLst/>
              <a:latin typeface="+mn-lt"/>
              <a:ea typeface="+mn-ea"/>
              <a:cs typeface="+mn-cs"/>
            </a:rPr>
            <a:t> f</a:t>
          </a:r>
          <a:r>
            <a:rPr lang="en-US" sz="1100">
              <a:solidFill>
                <a:schemeClr val="tx1"/>
              </a:solidFill>
              <a:effectLst/>
              <a:latin typeface="+mn-lt"/>
              <a:ea typeface="+mn-ea"/>
              <a:cs typeface="+mn-cs"/>
            </a:rPr>
            <a:t>alls total will automatically populate based on the data entry each month. The</a:t>
          </a:r>
          <a:r>
            <a:rPr lang="en-US" sz="1100" baseline="0">
              <a:solidFill>
                <a:schemeClr val="tx1"/>
              </a:solidFill>
              <a:effectLst/>
              <a:latin typeface="+mn-lt"/>
              <a:ea typeface="+mn-ea"/>
              <a:cs typeface="+mn-cs"/>
            </a:rPr>
            <a:t> f</a:t>
          </a:r>
          <a:r>
            <a:rPr lang="en-US" sz="1100">
              <a:solidFill>
                <a:schemeClr val="tx1"/>
              </a:solidFill>
              <a:effectLst/>
              <a:latin typeface="+mn-lt"/>
              <a:ea typeface="+mn-ea"/>
              <a:cs typeface="+mn-cs"/>
            </a:rPr>
            <a:t>alls rate is calculated by dividing the number of falls in a month by the total resident days in the month multiplied by 1,000.</a:t>
          </a:r>
        </a:p>
        <a:p>
          <a:pPr marL="228600" lvl="0" indent="-228600">
            <a:buFont typeface="+mj-lt"/>
            <a:buAutoNum type="arabicPeriod"/>
          </a:pPr>
          <a:r>
            <a:rPr lang="en-US" sz="1100">
              <a:solidFill>
                <a:schemeClr val="tx1"/>
              </a:solidFill>
              <a:effectLst/>
              <a:latin typeface="+mn-lt"/>
              <a:ea typeface="+mn-ea"/>
              <a:cs typeface="+mn-cs"/>
            </a:rPr>
            <a:t>The</a:t>
          </a:r>
          <a:r>
            <a:rPr lang="en-US" sz="1100" baseline="0">
              <a:solidFill>
                <a:schemeClr val="tx1"/>
              </a:solidFill>
              <a:effectLst/>
              <a:latin typeface="+mn-lt"/>
              <a:ea typeface="+mn-ea"/>
              <a:cs typeface="+mn-cs"/>
            </a:rPr>
            <a:t> f</a:t>
          </a:r>
          <a:r>
            <a:rPr lang="en-US" sz="1100">
              <a:solidFill>
                <a:schemeClr val="tx1"/>
              </a:solidFill>
              <a:effectLst/>
              <a:latin typeface="+mn-lt"/>
              <a:ea typeface="+mn-ea"/>
              <a:cs typeface="+mn-cs"/>
            </a:rPr>
            <a:t>alls rate will be different from the</a:t>
          </a:r>
          <a:r>
            <a:rPr lang="en-US" sz="1100" baseline="0">
              <a:solidFill>
                <a:schemeClr val="tx1"/>
              </a:solidFill>
              <a:effectLst/>
              <a:latin typeface="+mn-lt"/>
              <a:ea typeface="+mn-ea"/>
              <a:cs typeface="+mn-cs"/>
            </a:rPr>
            <a:t> public reported iQIES data.</a:t>
          </a:r>
          <a:endParaRPr lang="en-US" sz="1100"/>
        </a:p>
        <a:p>
          <a:endParaRPr lang="en-US" sz="1100"/>
        </a:p>
        <a:p>
          <a:endParaRPr lang="en-US" sz="1100"/>
        </a:p>
        <a:p>
          <a:endParaRPr lang="en-US" sz="1100"/>
        </a:p>
        <a:p>
          <a:endParaRPr lang="en-US" sz="1100"/>
        </a:p>
        <a:p>
          <a:endParaRPr lang="en-US" sz="1100"/>
        </a:p>
        <a:p>
          <a:endParaRPr lang="en-US" sz="1100"/>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tx1"/>
              </a:solidFill>
              <a:effectLst/>
              <a:latin typeface="+mn-lt"/>
              <a:ea typeface="+mn-ea"/>
              <a:cs typeface="+mn-cs"/>
            </a:rPr>
            <a:t>Example: </a:t>
          </a:r>
          <a:r>
            <a:rPr lang="en-US" sz="1100">
              <a:solidFill>
                <a:schemeClr val="tx1"/>
              </a:solidFill>
              <a:effectLst/>
              <a:latin typeface="+mn-lt"/>
              <a:ea typeface="+mn-ea"/>
              <a:cs typeface="+mn-cs"/>
            </a:rPr>
            <a:t>See the "Example" tab</a:t>
          </a:r>
          <a:r>
            <a:rPr lang="en-US" sz="1100" baseline="0">
              <a:solidFill>
                <a:schemeClr val="tx1"/>
              </a:solidFill>
              <a:effectLst/>
              <a:latin typeface="+mn-lt"/>
              <a:ea typeface="+mn-ea"/>
              <a:cs typeface="+mn-cs"/>
            </a:rPr>
            <a:t> for additional context based on the provided directions above.</a:t>
          </a:r>
          <a:endParaRPr lang="en-US">
            <a:effectLst/>
          </a:endParaRPr>
        </a:p>
      </xdr:txBody>
    </xdr:sp>
    <xdr:clientData/>
  </xdr:twoCellAnchor>
  <xdr:twoCellAnchor editAs="absolute">
    <xdr:from>
      <xdr:col>6</xdr:col>
      <xdr:colOff>117502</xdr:colOff>
      <xdr:row>2</xdr:row>
      <xdr:rowOff>40031</xdr:rowOff>
    </xdr:from>
    <xdr:to>
      <xdr:col>16</xdr:col>
      <xdr:colOff>477077</xdr:colOff>
      <xdr:row>19</xdr:row>
      <xdr:rowOff>65481</xdr:rowOff>
    </xdr:to>
    <xdr:sp macro="" textlink="">
      <xdr:nvSpPr>
        <xdr:cNvPr id="149" name="TextBox 3">
          <a:extLst>
            <a:ext uri="{FF2B5EF4-FFF2-40B4-BE49-F238E27FC236}">
              <a16:creationId xmlns:a16="http://schemas.microsoft.com/office/drawing/2014/main" id="{C6D513CF-73D7-F3FC-07EF-8878EC3E5343}"/>
            </a:ext>
          </a:extLst>
        </xdr:cNvPr>
        <xdr:cNvSpPr txBox="1">
          <a:spLocks noChangeAspect="1"/>
        </xdr:cNvSpPr>
      </xdr:nvSpPr>
      <xdr:spPr>
        <a:xfrm>
          <a:off x="3195124" y="367438"/>
          <a:ext cx="6720619" cy="3234035"/>
        </a:xfrm>
        <a:prstGeom prst="rect">
          <a:avLst/>
        </a:prstGeom>
        <a:noFill/>
        <a:ln w="190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b="1"/>
            <a:t>Data Validation Tab:</a:t>
          </a:r>
        </a:p>
        <a:p>
          <a:pPr marL="228600" indent="-228600">
            <a:buFont typeface="+mj-lt"/>
            <a:buAutoNum type="arabicPeriod"/>
          </a:pPr>
          <a:r>
            <a:rPr lang="en-US" sz="1100"/>
            <a:t>All fields that are not gray can be edited</a:t>
          </a:r>
        </a:p>
        <a:p>
          <a:pPr marL="457200" lvl="1" indent="-171450">
            <a:buFont typeface="Arial" panose="020B0604020202020204" pitchFamily="34" charset="0"/>
            <a:buChar char="•"/>
          </a:pPr>
          <a:r>
            <a:rPr lang="en-US" sz="1100"/>
            <a:t>Enter the</a:t>
          </a:r>
          <a:r>
            <a:rPr lang="en-US" sz="1100" baseline="0"/>
            <a:t> f</a:t>
          </a:r>
          <a:r>
            <a:rPr lang="en-US" sz="1100"/>
            <a:t>acility name into the “Facility Name” field. The</a:t>
          </a:r>
          <a:r>
            <a:rPr lang="en-US" sz="1100" baseline="0"/>
            <a:t> f</a:t>
          </a:r>
          <a:r>
            <a:rPr lang="en-US" sz="1100"/>
            <a:t>acility name will automatically populate across the months</a:t>
          </a:r>
          <a:r>
            <a:rPr lang="en-US" sz="1100" baseline="0"/>
            <a:t> and</a:t>
          </a:r>
          <a:r>
            <a:rPr lang="en-US" sz="1100"/>
            <a:t> graph charts.</a:t>
          </a:r>
        </a:p>
        <a:p>
          <a:pPr marL="457200" lvl="1" indent="-171450">
            <a:buFont typeface="Arial" panose="020B0604020202020204" pitchFamily="34" charset="0"/>
            <a:buChar char="•"/>
          </a:pPr>
          <a:r>
            <a:rPr lang="en-US" sz="1100"/>
            <a:t>Enter the year into the</a:t>
          </a:r>
          <a:r>
            <a:rPr lang="en-US" sz="1100" baseline="0"/>
            <a:t> </a:t>
          </a:r>
          <a:r>
            <a:rPr lang="en-US" sz="1100"/>
            <a:t>“Year” field. The year will automatically populate across months, graph charts, and census.</a:t>
          </a:r>
        </a:p>
        <a:p>
          <a:pPr marL="457200" lvl="1" indent="-171450">
            <a:buFont typeface="Arial" panose="020B0604020202020204" pitchFamily="34" charset="0"/>
            <a:buChar char="•"/>
          </a:pPr>
          <a:r>
            <a:rPr lang="en-US" sz="1100"/>
            <a:t>Location, nurses stations, contributing factors, and shifts: All of</a:t>
          </a:r>
          <a:r>
            <a:rPr lang="en-US" sz="1100" baseline="0"/>
            <a:t> </a:t>
          </a:r>
          <a:r>
            <a:rPr lang="en-US" sz="1100"/>
            <a:t>these fields can be customized to your facility needs;</a:t>
          </a:r>
          <a:r>
            <a:rPr lang="en-US" sz="1100" baseline="0"/>
            <a:t> </a:t>
          </a:r>
          <a:r>
            <a:rPr lang="en-US" sz="1100"/>
            <a:t>you can keep what is in these fields or edit them. All items added in this location will become drop-down options in the months tabs and populate across graphs.</a:t>
          </a:r>
        </a:p>
        <a:p>
          <a:pPr marL="457200" lvl="1" indent="-171450">
            <a:buFont typeface="Arial" panose="020B0604020202020204" pitchFamily="34" charset="0"/>
            <a:buChar char="•"/>
          </a:pPr>
          <a:r>
            <a:rPr lang="en-US" sz="1100"/>
            <a:t>Items in gray can not be modified.</a:t>
          </a:r>
        </a:p>
        <a:p>
          <a:pPr marL="228600" lvl="0" indent="-228600">
            <a:buFont typeface="+mj-lt"/>
            <a:buAutoNum type="arabicPeriod" startAt="2"/>
          </a:pPr>
          <a:r>
            <a:rPr lang="en-US" sz="1100"/>
            <a:t>Contributing Factors: Using the drop-down,</a:t>
          </a:r>
          <a:r>
            <a:rPr lang="en-US" sz="1100" baseline="0"/>
            <a:t> choose the option that describes the what factors contributed to the fall.</a:t>
          </a:r>
          <a:r>
            <a:rPr lang="en-US" sz="1100"/>
            <a:t> </a:t>
          </a:r>
        </a:p>
        <a:p>
          <a:endParaRPr lang="en-US" sz="1100">
            <a:solidFill>
              <a:srgbClr val="FF0000"/>
            </a:solidFill>
          </a:endParaRPr>
        </a:p>
        <a:p>
          <a:endParaRPr lang="en-US" sz="1100">
            <a:solidFill>
              <a:srgbClr val="FF0000"/>
            </a:solidFill>
          </a:endParaRPr>
        </a:p>
        <a:p>
          <a:endParaRPr lang="en-US" sz="1100">
            <a:solidFill>
              <a:srgbClr val="FF0000"/>
            </a:solidFill>
          </a:endParaRPr>
        </a:p>
        <a:p>
          <a:endParaRPr lang="en-US" sz="1100">
            <a:solidFill>
              <a:srgbClr val="FF0000"/>
            </a:solidFill>
          </a:endParaRPr>
        </a:p>
        <a:p>
          <a:endParaRPr lang="en-US" sz="1100">
            <a:solidFill>
              <a:srgbClr val="FF0000"/>
            </a:solidFill>
          </a:endParaRPr>
        </a:p>
        <a:p>
          <a:endParaRPr lang="en-US" sz="1100">
            <a:solidFill>
              <a:srgbClr val="FF0000"/>
            </a:solidFill>
          </a:endParaRPr>
        </a:p>
        <a:p>
          <a:pPr eaLnBrk="1" fontAlgn="auto" latinLnBrk="0" hangingPunct="1"/>
          <a:r>
            <a:rPr lang="en-US" sz="1100" b="1">
              <a:solidFill>
                <a:schemeClr val="tx1"/>
              </a:solidFill>
              <a:effectLst/>
              <a:latin typeface="+mn-lt"/>
              <a:ea typeface="+mn-ea"/>
              <a:cs typeface="+mn-cs"/>
            </a:rPr>
            <a:t>Example: </a:t>
          </a:r>
          <a:r>
            <a:rPr lang="en-US" sz="1100">
              <a:solidFill>
                <a:schemeClr val="tx1"/>
              </a:solidFill>
              <a:effectLst/>
              <a:latin typeface="+mn-lt"/>
              <a:ea typeface="+mn-ea"/>
              <a:cs typeface="+mn-cs"/>
            </a:rPr>
            <a:t>See the "Example" tab</a:t>
          </a:r>
          <a:r>
            <a:rPr lang="en-US" sz="1100" baseline="0">
              <a:solidFill>
                <a:schemeClr val="tx1"/>
              </a:solidFill>
              <a:effectLst/>
              <a:latin typeface="+mn-lt"/>
              <a:ea typeface="+mn-ea"/>
              <a:cs typeface="+mn-cs"/>
            </a:rPr>
            <a:t> for additional context based on the provided directions above.</a:t>
          </a:r>
          <a:endParaRPr lang="en-US">
            <a:effectLst/>
          </a:endParaRPr>
        </a:p>
      </xdr:txBody>
    </xdr:sp>
    <xdr:clientData/>
  </xdr:twoCellAnchor>
  <xdr:twoCellAnchor editAs="absolute">
    <xdr:from>
      <xdr:col>6</xdr:col>
      <xdr:colOff>115822</xdr:colOff>
      <xdr:row>20</xdr:row>
      <xdr:rowOff>25820</xdr:rowOff>
    </xdr:from>
    <xdr:to>
      <xdr:col>16</xdr:col>
      <xdr:colOff>484473</xdr:colOff>
      <xdr:row>49</xdr:row>
      <xdr:rowOff>66675</xdr:rowOff>
    </xdr:to>
    <xdr:sp macro="" textlink="">
      <xdr:nvSpPr>
        <xdr:cNvPr id="5" name="TextBox 4">
          <a:extLst>
            <a:ext uri="{FF2B5EF4-FFF2-40B4-BE49-F238E27FC236}">
              <a16:creationId xmlns:a16="http://schemas.microsoft.com/office/drawing/2014/main" id="{B62F0434-AD7E-A58C-36EC-9C295DEFC622}"/>
            </a:ext>
          </a:extLst>
        </xdr:cNvPr>
        <xdr:cNvSpPr txBox="1">
          <a:spLocks noChangeAspect="1"/>
        </xdr:cNvSpPr>
      </xdr:nvSpPr>
      <xdr:spPr>
        <a:xfrm>
          <a:off x="3030472" y="3816770"/>
          <a:ext cx="6464651" cy="5622505"/>
        </a:xfrm>
        <a:prstGeom prst="rect">
          <a:avLst/>
        </a:prstGeom>
        <a:noFill/>
        <a:ln w="190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b="1">
              <a:solidFill>
                <a:schemeClr val="tx1"/>
              </a:solidFill>
              <a:effectLst/>
              <a:latin typeface="+mn-lt"/>
              <a:ea typeface="+mn-ea"/>
              <a:cs typeface="+mn-cs"/>
            </a:rPr>
            <a:t>January</a:t>
          </a:r>
          <a:r>
            <a:rPr lang="en-US" sz="1100" b="1">
              <a:solidFill>
                <a:schemeClr val="tx1"/>
              </a:solidFill>
              <a:effectLst/>
              <a:latin typeface="+mn-lt"/>
              <a:ea typeface="+mn-ea"/>
              <a:cs typeface="+mn-cs"/>
              <a:sym typeface="Symbol" panose="05050102010706020507" pitchFamily="18" charset="2"/>
            </a:rPr>
            <a:t></a:t>
          </a:r>
          <a:r>
            <a:rPr lang="en-US" sz="1100" b="1">
              <a:solidFill>
                <a:schemeClr val="tx1"/>
              </a:solidFill>
              <a:effectLst/>
              <a:latin typeface="+mn-lt"/>
              <a:ea typeface="+mn-ea"/>
              <a:cs typeface="+mn-cs"/>
            </a:rPr>
            <a:t>December Tabs:</a:t>
          </a:r>
        </a:p>
        <a:p>
          <a:pPr marL="228600" lvl="0" indent="-228600">
            <a:buFont typeface="+mj-lt"/>
            <a:buAutoNum type="arabicPeriod"/>
          </a:pPr>
          <a:r>
            <a:rPr lang="en-US" sz="1100">
              <a:solidFill>
                <a:schemeClr val="tx1"/>
              </a:solidFill>
              <a:effectLst/>
              <a:latin typeface="+mn-lt"/>
              <a:ea typeface="+mn-ea"/>
              <a:cs typeface="+mn-cs"/>
            </a:rPr>
            <a:t>Enter the resident room number.</a:t>
          </a:r>
        </a:p>
        <a:p>
          <a:pPr marL="228600" lvl="0" indent="-228600">
            <a:buFont typeface="+mj-lt"/>
            <a:buAutoNum type="arabicPeriod"/>
          </a:pPr>
          <a:r>
            <a:rPr lang="en-US" sz="1100">
              <a:solidFill>
                <a:schemeClr val="tx1"/>
              </a:solidFill>
              <a:effectLst/>
              <a:latin typeface="+mn-lt"/>
              <a:ea typeface="+mn-ea"/>
              <a:cs typeface="+mn-cs"/>
            </a:rPr>
            <a:t>Enter the resident name. Once the name is entered into the “Resident Name” field, all other fields will turn red until information is added. This is to ensure the integrity of your data and your reports by highlighting missing information.</a:t>
          </a:r>
        </a:p>
        <a:p>
          <a:pPr marL="228600" lvl="0" indent="-228600">
            <a:buFont typeface="+mj-lt"/>
            <a:buAutoNum type="arabicPeriod"/>
          </a:pPr>
          <a:r>
            <a:rPr lang="en-US" sz="1100">
              <a:solidFill>
                <a:schemeClr val="tx1"/>
              </a:solidFill>
              <a:effectLst/>
              <a:latin typeface="+mn-lt"/>
              <a:ea typeface="+mn-ea"/>
              <a:cs typeface="+mn-cs"/>
            </a:rPr>
            <a:t>Enter the date of the incident.</a:t>
          </a:r>
        </a:p>
        <a:p>
          <a:pPr marL="228600" lvl="0" indent="-228600">
            <a:buFont typeface="+mj-lt"/>
            <a:buAutoNum type="arabicPeriod"/>
          </a:pPr>
          <a:r>
            <a:rPr lang="en-US" sz="1100">
              <a:solidFill>
                <a:schemeClr val="tx1"/>
              </a:solidFill>
              <a:effectLst/>
              <a:latin typeface="+mn-lt"/>
              <a:ea typeface="+mn-ea"/>
              <a:cs typeface="+mn-cs"/>
            </a:rPr>
            <a:t>Enter the date of the post-fall evaluation.</a:t>
          </a:r>
        </a:p>
        <a:p>
          <a:pPr marL="228600" lvl="0" indent="-228600">
            <a:buFont typeface="+mj-lt"/>
            <a:buAutoNum type="arabicPeriod"/>
          </a:pPr>
          <a:r>
            <a:rPr lang="en-US" sz="1100">
              <a:solidFill>
                <a:schemeClr val="tx1"/>
              </a:solidFill>
              <a:effectLst/>
              <a:latin typeface="+mn-lt"/>
              <a:ea typeface="+mn-ea"/>
              <a:cs typeface="+mn-cs"/>
            </a:rPr>
            <a:t>Choose the fall circumstances from the drop-down. The options are “Overwhelming Force” (e.g., resident was pushed by another resident); “Intercepted” (e.g., fall was intercepted by staff); and “N/A”.</a:t>
          </a:r>
        </a:p>
        <a:p>
          <a:pPr marL="228600" lvl="0" indent="-228600">
            <a:buFont typeface="+mj-lt"/>
            <a:buAutoNum type="arabicPeriod"/>
          </a:pPr>
          <a:r>
            <a:rPr lang="en-US" sz="1100">
              <a:solidFill>
                <a:schemeClr val="tx1"/>
              </a:solidFill>
              <a:effectLst/>
              <a:latin typeface="+mn-lt"/>
              <a:ea typeface="+mn-ea"/>
              <a:cs typeface="+mn-cs"/>
            </a:rPr>
            <a:t>Choose the injury type from the drop-down.</a:t>
          </a:r>
        </a:p>
        <a:p>
          <a:pPr marL="228600" lvl="0" indent="-228600">
            <a:buFont typeface="+mj-lt"/>
            <a:buAutoNum type="arabicPeriod"/>
          </a:pPr>
          <a:r>
            <a:rPr lang="en-US" sz="1100">
              <a:solidFill>
                <a:schemeClr val="tx1"/>
              </a:solidFill>
              <a:effectLst/>
              <a:latin typeface="+mn-lt"/>
              <a:ea typeface="+mn-ea"/>
              <a:cs typeface="+mn-cs"/>
            </a:rPr>
            <a:t>Choose the fall location from</a:t>
          </a:r>
          <a:r>
            <a:rPr lang="en-US" sz="1100" baseline="0">
              <a:solidFill>
                <a:schemeClr val="tx1"/>
              </a:solidFill>
              <a:effectLst/>
              <a:latin typeface="+mn-lt"/>
              <a:ea typeface="+mn-ea"/>
              <a:cs typeface="+mn-cs"/>
            </a:rPr>
            <a:t> the</a:t>
          </a:r>
          <a:r>
            <a:rPr lang="en-US" sz="1100">
              <a:solidFill>
                <a:schemeClr val="tx1"/>
              </a:solidFill>
              <a:effectLst/>
              <a:latin typeface="+mn-lt"/>
              <a:ea typeface="+mn-ea"/>
              <a:cs typeface="+mn-cs"/>
            </a:rPr>
            <a:t> drop-down. Options for this field can be edited in the “Data Validation” tab.</a:t>
          </a:r>
        </a:p>
        <a:p>
          <a:pPr marL="228600" lvl="0" indent="-228600">
            <a:buFont typeface="+mj-lt"/>
            <a:buAutoNum type="arabicPeriod"/>
          </a:pPr>
          <a:r>
            <a:rPr lang="en-US" sz="1100">
              <a:solidFill>
                <a:schemeClr val="tx1"/>
              </a:solidFill>
              <a:effectLst/>
              <a:latin typeface="+mn-lt"/>
              <a:ea typeface="+mn-ea"/>
              <a:cs typeface="+mn-cs"/>
            </a:rPr>
            <a:t>Choose the nursing station relevant to the fall from the drop-down. Options for this field can be edited in the “Data Validation” tab.</a:t>
          </a:r>
        </a:p>
        <a:p>
          <a:pPr marL="228600" lvl="0" indent="-228600">
            <a:buFont typeface="+mj-lt"/>
            <a:buAutoNum type="arabicPeriod"/>
          </a:pPr>
          <a:r>
            <a:rPr lang="en-US" sz="1100">
              <a:solidFill>
                <a:schemeClr val="tx1"/>
              </a:solidFill>
              <a:effectLst/>
              <a:latin typeface="+mn-lt"/>
              <a:ea typeface="+mn-ea"/>
              <a:cs typeface="+mn-cs"/>
            </a:rPr>
            <a:t>The “Day” will auto populate from the “Date of Incident” field.</a:t>
          </a:r>
        </a:p>
        <a:p>
          <a:pPr marL="228600" lvl="0" indent="-228600">
            <a:buFont typeface="+mj-lt"/>
            <a:buAutoNum type="arabicPeriod"/>
          </a:pPr>
          <a:r>
            <a:rPr lang="en-US" sz="1100">
              <a:solidFill>
                <a:schemeClr val="tx1"/>
              </a:solidFill>
              <a:effectLst/>
              <a:latin typeface="+mn-lt"/>
              <a:ea typeface="+mn-ea"/>
              <a:cs typeface="+mn-cs"/>
            </a:rPr>
            <a:t>Choose the hour relevant for the fall from the drop-down.</a:t>
          </a:r>
        </a:p>
        <a:p>
          <a:pPr marL="228600" lvl="0" indent="-228600">
            <a:buFont typeface="+mj-lt"/>
            <a:buAutoNum type="arabicPeriod"/>
          </a:pPr>
          <a:r>
            <a:rPr lang="en-US" sz="1100">
              <a:solidFill>
                <a:schemeClr val="tx1"/>
              </a:solidFill>
              <a:effectLst/>
              <a:latin typeface="+mn-lt"/>
              <a:ea typeface="+mn-ea"/>
              <a:cs typeface="+mn-cs"/>
            </a:rPr>
            <a:t>The</a:t>
          </a:r>
          <a:r>
            <a:rPr lang="en-US" sz="1100" baseline="0">
              <a:solidFill>
                <a:schemeClr val="tx1"/>
              </a:solidFill>
              <a:effectLst/>
              <a:latin typeface="+mn-lt"/>
              <a:ea typeface="+mn-ea"/>
              <a:cs typeface="+mn-cs"/>
            </a:rPr>
            <a:t> </a:t>
          </a:r>
          <a:r>
            <a:rPr lang="en-US" sz="1100">
              <a:solidFill>
                <a:schemeClr val="tx1"/>
              </a:solidFill>
              <a:effectLst/>
              <a:latin typeface="+mn-lt"/>
              <a:ea typeface="+mn-ea"/>
              <a:cs typeface="+mn-cs"/>
            </a:rPr>
            <a:t>“Shift” will auto populate based on the “Hour” field. Options for the shift field can be edited in the “Data Validation” tab.</a:t>
          </a:r>
        </a:p>
        <a:p>
          <a:pPr marL="228600" lvl="0" indent="-228600">
            <a:buFont typeface="+mj-lt"/>
            <a:buAutoNum type="arabicPeriod"/>
          </a:pPr>
          <a:r>
            <a:rPr lang="en-US" sz="1100">
              <a:solidFill>
                <a:schemeClr val="tx1"/>
              </a:solidFill>
              <a:effectLst/>
              <a:latin typeface="+mn-lt"/>
              <a:ea typeface="+mn-ea"/>
              <a:cs typeface="+mn-cs"/>
            </a:rPr>
            <a:t>Choose the resident Brief</a:t>
          </a:r>
          <a:r>
            <a:rPr lang="en-US" sz="1100" baseline="0">
              <a:solidFill>
                <a:schemeClr val="tx1"/>
              </a:solidFill>
              <a:effectLst/>
              <a:latin typeface="+mn-lt"/>
              <a:ea typeface="+mn-ea"/>
              <a:cs typeface="+mn-cs"/>
            </a:rPr>
            <a:t> Interview for Mental Status </a:t>
          </a:r>
          <a:r>
            <a:rPr lang="en-US" sz="1100">
              <a:solidFill>
                <a:schemeClr val="tx1"/>
              </a:solidFill>
              <a:effectLst/>
              <a:latin typeface="+mn-lt"/>
              <a:ea typeface="+mn-ea"/>
              <a:cs typeface="+mn-cs"/>
            </a:rPr>
            <a:t>(BIMS) score from the drop-down.</a:t>
          </a:r>
        </a:p>
        <a:p>
          <a:pPr marL="228600" lvl="0" indent="-228600">
            <a:buFont typeface="+mj-lt"/>
            <a:buAutoNum type="arabicPeriod"/>
          </a:pPr>
          <a:r>
            <a:rPr lang="en-US" sz="1100">
              <a:solidFill>
                <a:schemeClr val="tx1"/>
              </a:solidFill>
              <a:effectLst/>
              <a:latin typeface="+mn-lt"/>
              <a:ea typeface="+mn-ea"/>
              <a:cs typeface="+mn-cs"/>
            </a:rPr>
            <a:t>“Cognitive Impairment” will auto populate based on resident BIMS score.</a:t>
          </a:r>
        </a:p>
        <a:p>
          <a:pPr marL="228600" lvl="0" indent="-228600">
            <a:buFont typeface="+mj-lt"/>
            <a:buAutoNum type="arabicPeriod"/>
          </a:pPr>
          <a:r>
            <a:rPr lang="en-US" sz="1100">
              <a:solidFill>
                <a:schemeClr val="tx1"/>
              </a:solidFill>
              <a:effectLst/>
              <a:latin typeface="+mn-lt"/>
              <a:ea typeface="+mn-ea"/>
              <a:cs typeface="+mn-cs"/>
            </a:rPr>
            <a:t>Choose the drop-down options for “What was the resident doing prior to fall?” The options for this field can be edited in the “Data Validation” tab.</a:t>
          </a:r>
        </a:p>
        <a:p>
          <a:pPr marL="228600" lvl="0" indent="-228600">
            <a:buFont typeface="+mj-lt"/>
            <a:buAutoNum type="arabicPeriod"/>
          </a:pPr>
          <a:r>
            <a:rPr lang="en-US" sz="1100">
              <a:solidFill>
                <a:schemeClr val="tx1"/>
              </a:solidFill>
              <a:effectLst/>
              <a:latin typeface="+mn-lt"/>
              <a:ea typeface="+mn-ea"/>
              <a:cs typeface="+mn-cs"/>
            </a:rPr>
            <a:t>Enter notes on resident activity prior to fall. This is a free text field and is not entered in graphs.</a:t>
          </a:r>
        </a:p>
        <a:p>
          <a:pPr marL="228600" lvl="0" indent="-228600">
            <a:buFont typeface="+mj-lt"/>
            <a:buAutoNum type="arabicPeriod"/>
          </a:pPr>
          <a:r>
            <a:rPr lang="en-US" sz="1100">
              <a:solidFill>
                <a:schemeClr val="tx1"/>
              </a:solidFill>
              <a:effectLst/>
              <a:latin typeface="+mn-lt"/>
              <a:ea typeface="+mn-ea"/>
              <a:cs typeface="+mn-cs"/>
            </a:rPr>
            <a:t>Choose whether the root cause analysis (RCA) was completed or not from the drop-down options.</a:t>
          </a:r>
        </a:p>
        <a:p>
          <a:pPr marL="228600" lvl="0" indent="-228600">
            <a:buFont typeface="+mj-lt"/>
            <a:buAutoNum type="arabicPeriod"/>
          </a:pPr>
          <a:r>
            <a:rPr lang="en-US" sz="1100">
              <a:solidFill>
                <a:schemeClr val="tx1"/>
              </a:solidFill>
              <a:effectLst/>
              <a:latin typeface="+mn-lt"/>
              <a:ea typeface="+mn-ea"/>
              <a:cs typeface="+mn-cs"/>
            </a:rPr>
            <a:t>Choose the contributing factors related to the fall from the drop-down. The</a:t>
          </a:r>
          <a:r>
            <a:rPr lang="en-US" sz="1100" baseline="0">
              <a:solidFill>
                <a:schemeClr val="tx1"/>
              </a:solidFill>
              <a:effectLst/>
              <a:latin typeface="+mn-lt"/>
              <a:ea typeface="+mn-ea"/>
              <a:cs typeface="+mn-cs"/>
            </a:rPr>
            <a:t> o</a:t>
          </a:r>
          <a:r>
            <a:rPr lang="en-US" sz="1100">
              <a:solidFill>
                <a:schemeClr val="tx1"/>
              </a:solidFill>
              <a:effectLst/>
              <a:latin typeface="+mn-lt"/>
              <a:ea typeface="+mn-ea"/>
              <a:cs typeface="+mn-cs"/>
            </a:rPr>
            <a:t>ptions for this field can be edited in the “Data Validation” tab.</a:t>
          </a:r>
        </a:p>
        <a:p>
          <a:pPr marL="228600" lvl="0" indent="-228600">
            <a:buFont typeface="+mj-lt"/>
            <a:buAutoNum type="arabicPeriod"/>
          </a:pPr>
          <a:r>
            <a:rPr lang="en-US" sz="1100">
              <a:solidFill>
                <a:schemeClr val="tx1"/>
              </a:solidFill>
              <a:effectLst/>
              <a:latin typeface="+mn-lt"/>
              <a:ea typeface="+mn-ea"/>
              <a:cs typeface="+mn-cs"/>
            </a:rPr>
            <a:t>The last three columns labeled “Nurse,” “Certified Nurse Assistant,” and “Witness Name” are all free text fields. The titles of these fields can also be edited (e.g., if you wanted to change the titles to “RN,” “CNA,” or “Charge Nurse”). These columns are not included in any graphs or calculations. </a:t>
          </a:r>
        </a:p>
        <a:p>
          <a:pPr marL="228600" lvl="0" indent="-228600">
            <a:buFont typeface="+mj-lt"/>
            <a:buAutoNum type="arabicPeriod"/>
          </a:pPr>
          <a:r>
            <a:rPr lang="en-US" sz="1100"/>
            <a:t>Graphs for each month can</a:t>
          </a:r>
          <a:r>
            <a:rPr lang="en-US" sz="1100" baseline="0"/>
            <a:t> be found by scrolling down past the data entry portion of the sheet. Graphs and monthly data entry charts can be printed </a:t>
          </a:r>
          <a:r>
            <a:rPr lang="en-US" sz="1100" i="1" baseline="0"/>
            <a:t>(you need to be in the month tab you would like to print).</a:t>
          </a:r>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tx1"/>
              </a:solidFill>
              <a:effectLst/>
              <a:latin typeface="+mn-lt"/>
              <a:ea typeface="+mn-ea"/>
              <a:cs typeface="+mn-cs"/>
            </a:rPr>
            <a:t>Example: </a:t>
          </a:r>
          <a:r>
            <a:rPr lang="en-US" sz="1100">
              <a:solidFill>
                <a:schemeClr val="tx1"/>
              </a:solidFill>
              <a:effectLst/>
              <a:latin typeface="+mn-lt"/>
              <a:ea typeface="+mn-ea"/>
              <a:cs typeface="+mn-cs"/>
            </a:rPr>
            <a:t>See the "Example" tab</a:t>
          </a:r>
          <a:r>
            <a:rPr lang="en-US" sz="1100" baseline="0">
              <a:solidFill>
                <a:schemeClr val="tx1"/>
              </a:solidFill>
              <a:effectLst/>
              <a:latin typeface="+mn-lt"/>
              <a:ea typeface="+mn-ea"/>
              <a:cs typeface="+mn-cs"/>
            </a:rPr>
            <a:t> for additional context based on the provided directions above.</a:t>
          </a:r>
          <a:endParaRPr lang="en-US" sz="1000">
            <a:effectLst/>
          </a:endParaRPr>
        </a:p>
        <a:p>
          <a:pPr marL="0" lvl="0" indent="0">
            <a:buFontTx/>
            <a:buNone/>
          </a:pPr>
          <a:endParaRPr lang="en-US" sz="1000" baseline="0"/>
        </a:p>
      </xdr:txBody>
    </xdr:sp>
    <xdr:clientData/>
  </xdr:twoCellAnchor>
  <xdr:oneCellAnchor>
    <xdr:from>
      <xdr:col>6</xdr:col>
      <xdr:colOff>120641</xdr:colOff>
      <xdr:row>0</xdr:row>
      <xdr:rowOff>65803</xdr:rowOff>
    </xdr:from>
    <xdr:ext cx="6709651" cy="263216"/>
    <xdr:sp macro="" textlink="">
      <xdr:nvSpPr>
        <xdr:cNvPr id="15" name="TextBox 14">
          <a:extLst>
            <a:ext uri="{FF2B5EF4-FFF2-40B4-BE49-F238E27FC236}">
              <a16:creationId xmlns:a16="http://schemas.microsoft.com/office/drawing/2014/main" id="{6056A75B-7693-409E-993E-837C3123C225}"/>
            </a:ext>
          </a:extLst>
        </xdr:cNvPr>
        <xdr:cNvSpPr txBox="1"/>
      </xdr:nvSpPr>
      <xdr:spPr>
        <a:xfrm>
          <a:off x="3186006" y="65803"/>
          <a:ext cx="6709651" cy="263216"/>
        </a:xfrm>
        <a:prstGeom prst="rect">
          <a:avLst/>
        </a:prstGeom>
        <a:solidFill>
          <a:schemeClr val="accent5">
            <a:lumMod val="75000"/>
          </a:schemeClr>
        </a:solidFill>
        <a:ln w="19050">
          <a:solidFill>
            <a:schemeClr val="accent5">
              <a:lumMod val="75000"/>
            </a:schemeClr>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r>
            <a:rPr lang="en-US" sz="1400" b="1">
              <a:solidFill>
                <a:schemeClr val="bg1"/>
              </a:solidFill>
            </a:rPr>
            <a:t>Data Entry Overview</a:t>
          </a:r>
          <a:endParaRPr lang="en-US" sz="1200">
            <a:solidFill>
              <a:schemeClr val="bg1"/>
            </a:solidFill>
          </a:endParaRPr>
        </a:p>
      </xdr:txBody>
    </xdr:sp>
    <xdr:clientData/>
  </xdr:oneCellAnchor>
  <xdr:oneCellAnchor>
    <xdr:from>
      <xdr:col>17</xdr:col>
      <xdr:colOff>11635</xdr:colOff>
      <xdr:row>0</xdr:row>
      <xdr:rowOff>65938</xdr:rowOff>
    </xdr:from>
    <xdr:ext cx="6427265" cy="268018"/>
    <xdr:sp macro="" textlink="">
      <xdr:nvSpPr>
        <xdr:cNvPr id="16" name="TextBox 15">
          <a:extLst>
            <a:ext uri="{FF2B5EF4-FFF2-40B4-BE49-F238E27FC236}">
              <a16:creationId xmlns:a16="http://schemas.microsoft.com/office/drawing/2014/main" id="{4EF0F42B-0A2B-47AC-B7EF-53E9F275C42C}"/>
            </a:ext>
          </a:extLst>
        </xdr:cNvPr>
        <xdr:cNvSpPr txBox="1"/>
      </xdr:nvSpPr>
      <xdr:spPr>
        <a:xfrm>
          <a:off x="10081167" y="65938"/>
          <a:ext cx="6427265" cy="268018"/>
        </a:xfrm>
        <a:prstGeom prst="rect">
          <a:avLst/>
        </a:prstGeom>
        <a:solidFill>
          <a:schemeClr val="accent5">
            <a:lumMod val="75000"/>
          </a:schemeClr>
        </a:solidFill>
        <a:ln w="19050">
          <a:solidFill>
            <a:schemeClr val="accent5">
              <a:lumMod val="75000"/>
            </a:schemeClr>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400" b="1">
              <a:solidFill>
                <a:schemeClr val="bg1"/>
              </a:solidFill>
              <a:effectLst/>
              <a:latin typeface="+mn-lt"/>
              <a:ea typeface="+mn-ea"/>
              <a:cs typeface="+mn-cs"/>
            </a:rPr>
            <a:t>Consolidated</a:t>
          </a:r>
          <a:r>
            <a:rPr lang="en-US" sz="1400" b="1" baseline="0">
              <a:solidFill>
                <a:schemeClr val="bg1"/>
              </a:solidFill>
              <a:effectLst/>
              <a:latin typeface="+mn-lt"/>
              <a:ea typeface="+mn-ea"/>
              <a:cs typeface="+mn-cs"/>
            </a:rPr>
            <a:t> </a:t>
          </a:r>
          <a:r>
            <a:rPr lang="en-US" sz="1400" b="1">
              <a:solidFill>
                <a:schemeClr val="bg1"/>
              </a:solidFill>
              <a:effectLst/>
              <a:latin typeface="+mn-lt"/>
              <a:ea typeface="+mn-ea"/>
              <a:cs typeface="+mn-cs"/>
            </a:rPr>
            <a:t>Graphs, Fall Rate, and Census</a:t>
          </a:r>
          <a:endParaRPr lang="en-US" sz="1400">
            <a:solidFill>
              <a:schemeClr val="bg1"/>
            </a:solidFill>
          </a:endParaRPr>
        </a:p>
        <a:p>
          <a:endParaRPr lang="en-US" sz="1100">
            <a:solidFill>
              <a:schemeClr val="bg1"/>
            </a:solidFill>
          </a:endParaRPr>
        </a:p>
      </xdr:txBody>
    </xdr:sp>
    <xdr:clientData/>
  </xdr:oneCellAnchor>
  <xdr:twoCellAnchor editAs="oneCell">
    <xdr:from>
      <xdr:col>17</xdr:col>
      <xdr:colOff>331241</xdr:colOff>
      <xdr:row>20</xdr:row>
      <xdr:rowOff>115405</xdr:rowOff>
    </xdr:from>
    <xdr:to>
      <xdr:col>22</xdr:col>
      <xdr:colOff>266949</xdr:colOff>
      <xdr:row>24</xdr:row>
      <xdr:rowOff>118812</xdr:rowOff>
    </xdr:to>
    <xdr:pic>
      <xdr:nvPicPr>
        <xdr:cNvPr id="17" name="Picture 16" descr="Sample of falls rate formula.">
          <a:extLst>
            <a:ext uri="{FF2B5EF4-FFF2-40B4-BE49-F238E27FC236}">
              <a16:creationId xmlns:a16="http://schemas.microsoft.com/office/drawing/2014/main" id="{12AA654A-4012-C1A1-C7BF-ECEBC7F4487B}"/>
            </a:ext>
          </a:extLst>
        </xdr:cNvPr>
        <xdr:cNvPicPr>
          <a:picLocks noChangeAspect="1"/>
        </xdr:cNvPicPr>
      </xdr:nvPicPr>
      <xdr:blipFill rotWithShape="1">
        <a:blip xmlns:r="http://schemas.openxmlformats.org/officeDocument/2006/relationships" r:embed="rId1"/>
        <a:srcRect t="9053"/>
        <a:stretch>
          <a:fillRect/>
        </a:stretch>
      </xdr:blipFill>
      <xdr:spPr>
        <a:xfrm>
          <a:off x="9957841" y="3919055"/>
          <a:ext cx="2983708" cy="765407"/>
        </a:xfrm>
        <a:prstGeom prst="rect">
          <a:avLst/>
        </a:prstGeom>
        <a:ln w="57150">
          <a:solidFill>
            <a:schemeClr val="tx1"/>
          </a:solidFill>
        </a:ln>
        <a:effectLst>
          <a:softEdge rad="112500"/>
        </a:effectLst>
      </xdr:spPr>
    </xdr:pic>
    <xdr:clientData/>
  </xdr:twoCellAnchor>
  <xdr:twoCellAnchor editAs="oneCell">
    <xdr:from>
      <xdr:col>17</xdr:col>
      <xdr:colOff>15585</xdr:colOff>
      <xdr:row>33</xdr:row>
      <xdr:rowOff>123908</xdr:rowOff>
    </xdr:from>
    <xdr:to>
      <xdr:col>22</xdr:col>
      <xdr:colOff>409574</xdr:colOff>
      <xdr:row>36</xdr:row>
      <xdr:rowOff>57232</xdr:rowOff>
    </xdr:to>
    <xdr:pic>
      <xdr:nvPicPr>
        <xdr:cNvPr id="4" name="Picture 3" descr="HSAG corporate image">
          <a:extLst>
            <a:ext uri="{FF2B5EF4-FFF2-40B4-BE49-F238E27FC236}">
              <a16:creationId xmlns:a16="http://schemas.microsoft.com/office/drawing/2014/main" id="{041A34D0-2078-BFCF-9265-199F218F108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081936" y="6540611"/>
          <a:ext cx="3574511" cy="505818"/>
        </a:xfrm>
        <a:prstGeom prst="rect">
          <a:avLst/>
        </a:prstGeom>
      </xdr:spPr>
    </xdr:pic>
    <xdr:clientData/>
  </xdr:twoCellAnchor>
  <xdr:twoCellAnchor editAs="oneCell">
    <xdr:from>
      <xdr:col>6</xdr:col>
      <xdr:colOff>459862</xdr:colOff>
      <xdr:row>13</xdr:row>
      <xdr:rowOff>78439</xdr:rowOff>
    </xdr:from>
    <xdr:to>
      <xdr:col>9</xdr:col>
      <xdr:colOff>200025</xdr:colOff>
      <xdr:row>17</xdr:row>
      <xdr:rowOff>80535</xdr:rowOff>
    </xdr:to>
    <xdr:pic>
      <xdr:nvPicPr>
        <xdr:cNvPr id="2" name="Picture 1" descr="Sample of facility name and year entry.">
          <a:extLst>
            <a:ext uri="{FF2B5EF4-FFF2-40B4-BE49-F238E27FC236}">
              <a16:creationId xmlns:a16="http://schemas.microsoft.com/office/drawing/2014/main" id="{863503B9-9078-194E-4BB8-15430DE12521}"/>
            </a:ext>
          </a:extLst>
        </xdr:cNvPr>
        <xdr:cNvPicPr>
          <a:picLocks noChangeAspect="1"/>
        </xdr:cNvPicPr>
      </xdr:nvPicPr>
      <xdr:blipFill rotWithShape="1">
        <a:blip xmlns:r="http://schemas.openxmlformats.org/officeDocument/2006/relationships" r:embed="rId3"/>
        <a:srcRect r="20406"/>
        <a:stretch>
          <a:fillRect/>
        </a:stretch>
      </xdr:blipFill>
      <xdr:spPr>
        <a:xfrm>
          <a:off x="3374512" y="2526364"/>
          <a:ext cx="1568963" cy="773621"/>
        </a:xfrm>
        <a:prstGeom prst="rect">
          <a:avLst/>
        </a:prstGeom>
      </xdr:spPr>
    </xdr:pic>
    <xdr:clientData/>
  </xdr:twoCellAnchor>
  <xdr:twoCellAnchor editAs="oneCell">
    <xdr:from>
      <xdr:col>9</xdr:col>
      <xdr:colOff>597306</xdr:colOff>
      <xdr:row>12</xdr:row>
      <xdr:rowOff>136711</xdr:rowOff>
    </xdr:from>
    <xdr:to>
      <xdr:col>12</xdr:col>
      <xdr:colOff>178012</xdr:colOff>
      <xdr:row>17</xdr:row>
      <xdr:rowOff>105085</xdr:rowOff>
    </xdr:to>
    <xdr:pic>
      <xdr:nvPicPr>
        <xdr:cNvPr id="6" name="Picture 5" descr="Sample of location and nurses station entry.">
          <a:extLst>
            <a:ext uri="{FF2B5EF4-FFF2-40B4-BE49-F238E27FC236}">
              <a16:creationId xmlns:a16="http://schemas.microsoft.com/office/drawing/2014/main" id="{5C2B0F98-79DC-BDBF-947D-BE8826CD8C95}"/>
            </a:ext>
          </a:extLst>
        </xdr:cNvPr>
        <xdr:cNvPicPr>
          <a:picLocks noChangeAspect="1"/>
        </xdr:cNvPicPr>
      </xdr:nvPicPr>
      <xdr:blipFill rotWithShape="1">
        <a:blip xmlns:r="http://schemas.openxmlformats.org/officeDocument/2006/relationships" r:embed="rId4"/>
        <a:srcRect l="4698" b="2098"/>
        <a:stretch>
          <a:fillRect/>
        </a:stretch>
      </xdr:blipFill>
      <xdr:spPr>
        <a:xfrm>
          <a:off x="5340756" y="2394136"/>
          <a:ext cx="1409506" cy="930399"/>
        </a:xfrm>
        <a:prstGeom prst="rect">
          <a:avLst/>
        </a:prstGeom>
      </xdr:spPr>
    </xdr:pic>
    <xdr:clientData/>
  </xdr:twoCellAnchor>
  <xdr:twoCellAnchor editAs="oneCell">
    <xdr:from>
      <xdr:col>12</xdr:col>
      <xdr:colOff>506457</xdr:colOff>
      <xdr:row>12</xdr:row>
      <xdr:rowOff>141333</xdr:rowOff>
    </xdr:from>
    <xdr:to>
      <xdr:col>15</xdr:col>
      <xdr:colOff>73805</xdr:colOff>
      <xdr:row>17</xdr:row>
      <xdr:rowOff>101032</xdr:rowOff>
    </xdr:to>
    <xdr:pic>
      <xdr:nvPicPr>
        <xdr:cNvPr id="7" name="Picture 6" descr="Sample of hour and shift entry.">
          <a:extLst>
            <a:ext uri="{FF2B5EF4-FFF2-40B4-BE49-F238E27FC236}">
              <a16:creationId xmlns:a16="http://schemas.microsoft.com/office/drawing/2014/main" id="{A3C728DF-E755-DE18-2FA7-5E6A2E0B6043}"/>
            </a:ext>
          </a:extLst>
        </xdr:cNvPr>
        <xdr:cNvPicPr>
          <a:picLocks noChangeAspect="1"/>
        </xdr:cNvPicPr>
      </xdr:nvPicPr>
      <xdr:blipFill rotWithShape="1">
        <a:blip xmlns:r="http://schemas.openxmlformats.org/officeDocument/2006/relationships" r:embed="rId5"/>
        <a:srcRect b="1849"/>
        <a:stretch>
          <a:fillRect/>
        </a:stretch>
      </xdr:blipFill>
      <xdr:spPr>
        <a:xfrm>
          <a:off x="7078707" y="2398758"/>
          <a:ext cx="1396148" cy="921724"/>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5</xdr:col>
      <xdr:colOff>159</xdr:colOff>
      <xdr:row>91</xdr:row>
      <xdr:rowOff>185727</xdr:rowOff>
    </xdr:from>
    <xdr:to>
      <xdr:col>17</xdr:col>
      <xdr:colOff>469849</xdr:colOff>
      <xdr:row>106</xdr:row>
      <xdr:rowOff>0</xdr:rowOff>
    </xdr:to>
    <xdr:graphicFrame macro="">
      <xdr:nvGraphicFramePr>
        <xdr:cNvPr id="2" name="Chart 1" descr="September falls by location graph.">
          <a:extLst>
            <a:ext uri="{FF2B5EF4-FFF2-40B4-BE49-F238E27FC236}">
              <a16:creationId xmlns:a16="http://schemas.microsoft.com/office/drawing/2014/main" id="{824697A9-063D-4033-9EC1-D0A1FD9B8C7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7228</xdr:colOff>
      <xdr:row>122</xdr:row>
      <xdr:rowOff>9542</xdr:rowOff>
    </xdr:from>
    <xdr:to>
      <xdr:col>14</xdr:col>
      <xdr:colOff>761156</xdr:colOff>
      <xdr:row>131</xdr:row>
      <xdr:rowOff>190830</xdr:rowOff>
    </xdr:to>
    <xdr:graphicFrame macro="">
      <xdr:nvGraphicFramePr>
        <xdr:cNvPr id="3" name="Chart 2" descr="September falls by day of the week graph.">
          <a:extLst>
            <a:ext uri="{FF2B5EF4-FFF2-40B4-BE49-F238E27FC236}">
              <a16:creationId xmlns:a16="http://schemas.microsoft.com/office/drawing/2014/main" id="{CA95E1F1-CC9B-47AA-A74F-B970E7B525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0</xdr:colOff>
      <xdr:row>106</xdr:row>
      <xdr:rowOff>198782</xdr:rowOff>
    </xdr:from>
    <xdr:to>
      <xdr:col>15</xdr:col>
      <xdr:colOff>731520</xdr:colOff>
      <xdr:row>120</xdr:row>
      <xdr:rowOff>190831</xdr:rowOff>
    </xdr:to>
    <xdr:graphicFrame macro="">
      <xdr:nvGraphicFramePr>
        <xdr:cNvPr id="4" name="Chart 3" descr="September falls by nursing station graph.">
          <a:extLst>
            <a:ext uri="{FF2B5EF4-FFF2-40B4-BE49-F238E27FC236}">
              <a16:creationId xmlns:a16="http://schemas.microsoft.com/office/drawing/2014/main" id="{26B6ED91-D5EB-4E87-9C0B-B8DD3454F2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2910</xdr:colOff>
      <xdr:row>57</xdr:row>
      <xdr:rowOff>757</xdr:rowOff>
    </xdr:from>
    <xdr:to>
      <xdr:col>15</xdr:col>
      <xdr:colOff>1196809</xdr:colOff>
      <xdr:row>63</xdr:row>
      <xdr:rowOff>54433</xdr:rowOff>
    </xdr:to>
    <xdr:graphicFrame macro="">
      <xdr:nvGraphicFramePr>
        <xdr:cNvPr id="5" name="Chart 4" descr="September falls by BIMS score graph.">
          <a:extLst>
            <a:ext uri="{FF2B5EF4-FFF2-40B4-BE49-F238E27FC236}">
              <a16:creationId xmlns:a16="http://schemas.microsoft.com/office/drawing/2014/main" id="{710F56EC-C0BE-4B1C-B40E-E2D91F68E99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10967</xdr:colOff>
      <xdr:row>142</xdr:row>
      <xdr:rowOff>1</xdr:rowOff>
    </xdr:from>
    <xdr:to>
      <xdr:col>18</xdr:col>
      <xdr:colOff>3245</xdr:colOff>
      <xdr:row>168</xdr:row>
      <xdr:rowOff>186613</xdr:rowOff>
    </xdr:to>
    <xdr:graphicFrame macro="">
      <xdr:nvGraphicFramePr>
        <xdr:cNvPr id="7" name="Chart 6" descr="September falls by hour graph.">
          <a:extLst>
            <a:ext uri="{FF2B5EF4-FFF2-40B4-BE49-F238E27FC236}">
              <a16:creationId xmlns:a16="http://schemas.microsoft.com/office/drawing/2014/main" id="{64450EDC-9567-4F0F-8D46-DC39CEB380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503041</xdr:colOff>
      <xdr:row>64</xdr:row>
      <xdr:rowOff>0</xdr:rowOff>
    </xdr:from>
    <xdr:to>
      <xdr:col>20</xdr:col>
      <xdr:colOff>73021</xdr:colOff>
      <xdr:row>91</xdr:row>
      <xdr:rowOff>0</xdr:rowOff>
    </xdr:to>
    <xdr:graphicFrame macro="">
      <xdr:nvGraphicFramePr>
        <xdr:cNvPr id="8" name="Chart 7" descr="September falls by activity graph.">
          <a:extLst>
            <a:ext uri="{FF2B5EF4-FFF2-40B4-BE49-F238E27FC236}">
              <a16:creationId xmlns:a16="http://schemas.microsoft.com/office/drawing/2014/main" id="{1E454167-9767-40A1-B23F-987CF45BDBB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5062</xdr:colOff>
      <xdr:row>55</xdr:row>
      <xdr:rowOff>87464</xdr:rowOff>
    </xdr:from>
    <xdr:to>
      <xdr:col>4</xdr:col>
      <xdr:colOff>0</xdr:colOff>
      <xdr:row>63</xdr:row>
      <xdr:rowOff>56879</xdr:rowOff>
    </xdr:to>
    <xdr:graphicFrame macro="">
      <xdr:nvGraphicFramePr>
        <xdr:cNvPr id="9" name="Chart 8" descr="September witnessed falls graph.">
          <a:extLst>
            <a:ext uri="{FF2B5EF4-FFF2-40B4-BE49-F238E27FC236}">
              <a16:creationId xmlns:a16="http://schemas.microsoft.com/office/drawing/2014/main" id="{A211361E-0BA0-40D1-9A67-ADE0C118A4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8</xdr:col>
      <xdr:colOff>9511</xdr:colOff>
      <xdr:row>169</xdr:row>
      <xdr:rowOff>194729</xdr:rowOff>
    </xdr:from>
    <xdr:to>
      <xdr:col>20</xdr:col>
      <xdr:colOff>215596</xdr:colOff>
      <xdr:row>197</xdr:row>
      <xdr:rowOff>0</xdr:rowOff>
    </xdr:to>
    <xdr:graphicFrame macro="">
      <xdr:nvGraphicFramePr>
        <xdr:cNvPr id="10" name="Chart 9" descr="September falls by contributing factors graph.">
          <a:extLst>
            <a:ext uri="{FF2B5EF4-FFF2-40B4-BE49-F238E27FC236}">
              <a16:creationId xmlns:a16="http://schemas.microsoft.com/office/drawing/2014/main" id="{99864821-7F55-4B6F-B296-2EC05F9EDA7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9</xdr:col>
      <xdr:colOff>6666</xdr:colOff>
      <xdr:row>49</xdr:row>
      <xdr:rowOff>195113</xdr:rowOff>
    </xdr:from>
    <xdr:to>
      <xdr:col>15</xdr:col>
      <xdr:colOff>1222581</xdr:colOff>
      <xdr:row>56</xdr:row>
      <xdr:rowOff>2447</xdr:rowOff>
    </xdr:to>
    <xdr:graphicFrame macro="">
      <xdr:nvGraphicFramePr>
        <xdr:cNvPr id="11" name="Chart 10" descr="September falls by circumstances graph.">
          <a:extLst>
            <a:ext uri="{FF2B5EF4-FFF2-40B4-BE49-F238E27FC236}">
              <a16:creationId xmlns:a16="http://schemas.microsoft.com/office/drawing/2014/main" id="{9037CCB5-CB00-4854-9B77-86B3204F0D8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5</xdr:col>
      <xdr:colOff>0</xdr:colOff>
      <xdr:row>132</xdr:row>
      <xdr:rowOff>197411</xdr:rowOff>
    </xdr:from>
    <xdr:to>
      <xdr:col>14</xdr:col>
      <xdr:colOff>2914</xdr:colOff>
      <xdr:row>140</xdr:row>
      <xdr:rowOff>194012</xdr:rowOff>
    </xdr:to>
    <xdr:graphicFrame macro="">
      <xdr:nvGraphicFramePr>
        <xdr:cNvPr id="12" name="Chart 11" descr="September falls by shift.">
          <a:extLst>
            <a:ext uri="{FF2B5EF4-FFF2-40B4-BE49-F238E27FC236}">
              <a16:creationId xmlns:a16="http://schemas.microsoft.com/office/drawing/2014/main" id="{4EC0577E-7553-4D17-9BC9-6E8866982F6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5</xdr:col>
      <xdr:colOff>159</xdr:colOff>
      <xdr:row>91</xdr:row>
      <xdr:rowOff>185727</xdr:rowOff>
    </xdr:from>
    <xdr:to>
      <xdr:col>17</xdr:col>
      <xdr:colOff>469849</xdr:colOff>
      <xdr:row>106</xdr:row>
      <xdr:rowOff>0</xdr:rowOff>
    </xdr:to>
    <xdr:graphicFrame macro="">
      <xdr:nvGraphicFramePr>
        <xdr:cNvPr id="2" name="Chart 1" descr="October falls by location graph.">
          <a:extLst>
            <a:ext uri="{FF2B5EF4-FFF2-40B4-BE49-F238E27FC236}">
              <a16:creationId xmlns:a16="http://schemas.microsoft.com/office/drawing/2014/main" id="{EC317D8D-2EEF-450B-BF97-FAE6C2E998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7228</xdr:colOff>
      <xdr:row>122</xdr:row>
      <xdr:rowOff>9542</xdr:rowOff>
    </xdr:from>
    <xdr:to>
      <xdr:col>14</xdr:col>
      <xdr:colOff>761156</xdr:colOff>
      <xdr:row>131</xdr:row>
      <xdr:rowOff>190830</xdr:rowOff>
    </xdr:to>
    <xdr:graphicFrame macro="">
      <xdr:nvGraphicFramePr>
        <xdr:cNvPr id="3" name="Chart 2" descr="October falls by day of the week graph.">
          <a:extLst>
            <a:ext uri="{FF2B5EF4-FFF2-40B4-BE49-F238E27FC236}">
              <a16:creationId xmlns:a16="http://schemas.microsoft.com/office/drawing/2014/main" id="{4A9F7EAC-70E2-47B5-9D50-A8AC1B89D0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0</xdr:colOff>
      <xdr:row>106</xdr:row>
      <xdr:rowOff>198782</xdr:rowOff>
    </xdr:from>
    <xdr:to>
      <xdr:col>15</xdr:col>
      <xdr:colOff>731520</xdr:colOff>
      <xdr:row>120</xdr:row>
      <xdr:rowOff>190831</xdr:rowOff>
    </xdr:to>
    <xdr:graphicFrame macro="">
      <xdr:nvGraphicFramePr>
        <xdr:cNvPr id="4" name="Chart 3" descr="October falls by nursing station graph.">
          <a:extLst>
            <a:ext uri="{FF2B5EF4-FFF2-40B4-BE49-F238E27FC236}">
              <a16:creationId xmlns:a16="http://schemas.microsoft.com/office/drawing/2014/main" id="{49283B2C-C3BE-49C4-AA10-5E3A74E25E7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2910</xdr:colOff>
      <xdr:row>57</xdr:row>
      <xdr:rowOff>757</xdr:rowOff>
    </xdr:from>
    <xdr:to>
      <xdr:col>15</xdr:col>
      <xdr:colOff>1196809</xdr:colOff>
      <xdr:row>63</xdr:row>
      <xdr:rowOff>54433</xdr:rowOff>
    </xdr:to>
    <xdr:graphicFrame macro="">
      <xdr:nvGraphicFramePr>
        <xdr:cNvPr id="5" name="Chart 4" descr="October falls by BIMS score graph.">
          <a:extLst>
            <a:ext uri="{FF2B5EF4-FFF2-40B4-BE49-F238E27FC236}">
              <a16:creationId xmlns:a16="http://schemas.microsoft.com/office/drawing/2014/main" id="{028ABC97-413C-4B60-9ADF-B7EE8464D0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10967</xdr:colOff>
      <xdr:row>142</xdr:row>
      <xdr:rowOff>1</xdr:rowOff>
    </xdr:from>
    <xdr:to>
      <xdr:col>18</xdr:col>
      <xdr:colOff>3245</xdr:colOff>
      <xdr:row>168</xdr:row>
      <xdr:rowOff>186613</xdr:rowOff>
    </xdr:to>
    <xdr:graphicFrame macro="">
      <xdr:nvGraphicFramePr>
        <xdr:cNvPr id="7" name="Chart 6" descr="October falls by hour graph.">
          <a:extLst>
            <a:ext uri="{FF2B5EF4-FFF2-40B4-BE49-F238E27FC236}">
              <a16:creationId xmlns:a16="http://schemas.microsoft.com/office/drawing/2014/main" id="{EC27F18B-38AF-4459-B238-CF13FE477F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503041</xdr:colOff>
      <xdr:row>64</xdr:row>
      <xdr:rowOff>0</xdr:rowOff>
    </xdr:from>
    <xdr:to>
      <xdr:col>20</xdr:col>
      <xdr:colOff>73021</xdr:colOff>
      <xdr:row>91</xdr:row>
      <xdr:rowOff>0</xdr:rowOff>
    </xdr:to>
    <xdr:graphicFrame macro="">
      <xdr:nvGraphicFramePr>
        <xdr:cNvPr id="8" name="Chart 7" descr="October falls by activity graph.">
          <a:extLst>
            <a:ext uri="{FF2B5EF4-FFF2-40B4-BE49-F238E27FC236}">
              <a16:creationId xmlns:a16="http://schemas.microsoft.com/office/drawing/2014/main" id="{384CC47F-3204-45A4-80C9-78647A271C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5062</xdr:colOff>
      <xdr:row>55</xdr:row>
      <xdr:rowOff>87464</xdr:rowOff>
    </xdr:from>
    <xdr:to>
      <xdr:col>4</xdr:col>
      <xdr:colOff>0</xdr:colOff>
      <xdr:row>63</xdr:row>
      <xdr:rowOff>56879</xdr:rowOff>
    </xdr:to>
    <xdr:graphicFrame macro="">
      <xdr:nvGraphicFramePr>
        <xdr:cNvPr id="9" name="Chart 8" descr="October witnessed falls graph.">
          <a:extLst>
            <a:ext uri="{FF2B5EF4-FFF2-40B4-BE49-F238E27FC236}">
              <a16:creationId xmlns:a16="http://schemas.microsoft.com/office/drawing/2014/main" id="{40E62C23-0152-49A0-8E77-4A1F844E546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8</xdr:col>
      <xdr:colOff>9511</xdr:colOff>
      <xdr:row>169</xdr:row>
      <xdr:rowOff>194729</xdr:rowOff>
    </xdr:from>
    <xdr:to>
      <xdr:col>20</xdr:col>
      <xdr:colOff>215596</xdr:colOff>
      <xdr:row>197</xdr:row>
      <xdr:rowOff>0</xdr:rowOff>
    </xdr:to>
    <xdr:graphicFrame macro="">
      <xdr:nvGraphicFramePr>
        <xdr:cNvPr id="10" name="Chart 9" descr="October falls by contributing factors graph.">
          <a:extLst>
            <a:ext uri="{FF2B5EF4-FFF2-40B4-BE49-F238E27FC236}">
              <a16:creationId xmlns:a16="http://schemas.microsoft.com/office/drawing/2014/main" id="{10A1BB0F-2C12-43A0-A014-46309C6ABF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9</xdr:col>
      <xdr:colOff>6666</xdr:colOff>
      <xdr:row>49</xdr:row>
      <xdr:rowOff>195113</xdr:rowOff>
    </xdr:from>
    <xdr:to>
      <xdr:col>15</xdr:col>
      <xdr:colOff>1222581</xdr:colOff>
      <xdr:row>56</xdr:row>
      <xdr:rowOff>2447</xdr:rowOff>
    </xdr:to>
    <xdr:graphicFrame macro="">
      <xdr:nvGraphicFramePr>
        <xdr:cNvPr id="11" name="Chart 10" descr="October falls by circumstances graph.">
          <a:extLst>
            <a:ext uri="{FF2B5EF4-FFF2-40B4-BE49-F238E27FC236}">
              <a16:creationId xmlns:a16="http://schemas.microsoft.com/office/drawing/2014/main" id="{4D11F099-9BE2-4E59-A563-33B6D112C78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5</xdr:col>
      <xdr:colOff>0</xdr:colOff>
      <xdr:row>132</xdr:row>
      <xdr:rowOff>197411</xdr:rowOff>
    </xdr:from>
    <xdr:to>
      <xdr:col>14</xdr:col>
      <xdr:colOff>2914</xdr:colOff>
      <xdr:row>140</xdr:row>
      <xdr:rowOff>194012</xdr:rowOff>
    </xdr:to>
    <xdr:graphicFrame macro="">
      <xdr:nvGraphicFramePr>
        <xdr:cNvPr id="12" name="Chart 11" descr="October falls by shift graph.">
          <a:extLst>
            <a:ext uri="{FF2B5EF4-FFF2-40B4-BE49-F238E27FC236}">
              <a16:creationId xmlns:a16="http://schemas.microsoft.com/office/drawing/2014/main" id="{0B8C33A6-8963-4EDD-BD81-86C20158889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5</xdr:col>
      <xdr:colOff>159</xdr:colOff>
      <xdr:row>91</xdr:row>
      <xdr:rowOff>185727</xdr:rowOff>
    </xdr:from>
    <xdr:to>
      <xdr:col>17</xdr:col>
      <xdr:colOff>469849</xdr:colOff>
      <xdr:row>106</xdr:row>
      <xdr:rowOff>0</xdr:rowOff>
    </xdr:to>
    <xdr:graphicFrame macro="">
      <xdr:nvGraphicFramePr>
        <xdr:cNvPr id="2" name="Chart 1" descr="November falls by location graph.">
          <a:extLst>
            <a:ext uri="{FF2B5EF4-FFF2-40B4-BE49-F238E27FC236}">
              <a16:creationId xmlns:a16="http://schemas.microsoft.com/office/drawing/2014/main" id="{AC4872A2-29BB-4E5F-B44B-B42034FE96E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7228</xdr:colOff>
      <xdr:row>122</xdr:row>
      <xdr:rowOff>9542</xdr:rowOff>
    </xdr:from>
    <xdr:to>
      <xdr:col>14</xdr:col>
      <xdr:colOff>761156</xdr:colOff>
      <xdr:row>131</xdr:row>
      <xdr:rowOff>190830</xdr:rowOff>
    </xdr:to>
    <xdr:graphicFrame macro="">
      <xdr:nvGraphicFramePr>
        <xdr:cNvPr id="3" name="Chart 2" descr="November falls by day of the week graph.">
          <a:extLst>
            <a:ext uri="{FF2B5EF4-FFF2-40B4-BE49-F238E27FC236}">
              <a16:creationId xmlns:a16="http://schemas.microsoft.com/office/drawing/2014/main" id="{B97CDF2C-3104-403B-9604-4761ACAB8D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0</xdr:colOff>
      <xdr:row>106</xdr:row>
      <xdr:rowOff>198782</xdr:rowOff>
    </xdr:from>
    <xdr:to>
      <xdr:col>15</xdr:col>
      <xdr:colOff>731520</xdr:colOff>
      <xdr:row>120</xdr:row>
      <xdr:rowOff>190831</xdr:rowOff>
    </xdr:to>
    <xdr:graphicFrame macro="">
      <xdr:nvGraphicFramePr>
        <xdr:cNvPr id="4" name="Chart 3" descr="November falls by nursing station graph.">
          <a:extLst>
            <a:ext uri="{FF2B5EF4-FFF2-40B4-BE49-F238E27FC236}">
              <a16:creationId xmlns:a16="http://schemas.microsoft.com/office/drawing/2014/main" id="{7DE7B4BB-C039-4FC2-B1B9-C283881985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2910</xdr:colOff>
      <xdr:row>57</xdr:row>
      <xdr:rowOff>757</xdr:rowOff>
    </xdr:from>
    <xdr:to>
      <xdr:col>15</xdr:col>
      <xdr:colOff>1196809</xdr:colOff>
      <xdr:row>63</xdr:row>
      <xdr:rowOff>54433</xdr:rowOff>
    </xdr:to>
    <xdr:graphicFrame macro="">
      <xdr:nvGraphicFramePr>
        <xdr:cNvPr id="5" name="Chart 4" descr="November falls by BIMS score graph.">
          <a:extLst>
            <a:ext uri="{FF2B5EF4-FFF2-40B4-BE49-F238E27FC236}">
              <a16:creationId xmlns:a16="http://schemas.microsoft.com/office/drawing/2014/main" id="{F48B4A18-6D8D-4E7F-B7EB-2F8BA7C56E8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10967</xdr:colOff>
      <xdr:row>142</xdr:row>
      <xdr:rowOff>1</xdr:rowOff>
    </xdr:from>
    <xdr:to>
      <xdr:col>18</xdr:col>
      <xdr:colOff>3245</xdr:colOff>
      <xdr:row>168</xdr:row>
      <xdr:rowOff>186613</xdr:rowOff>
    </xdr:to>
    <xdr:graphicFrame macro="">
      <xdr:nvGraphicFramePr>
        <xdr:cNvPr id="7" name="Chart 6" descr="November falls by hour graph.">
          <a:extLst>
            <a:ext uri="{FF2B5EF4-FFF2-40B4-BE49-F238E27FC236}">
              <a16:creationId xmlns:a16="http://schemas.microsoft.com/office/drawing/2014/main" id="{D56DC9DF-AB26-4120-8630-2F67467F5F7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503041</xdr:colOff>
      <xdr:row>64</xdr:row>
      <xdr:rowOff>0</xdr:rowOff>
    </xdr:from>
    <xdr:to>
      <xdr:col>20</xdr:col>
      <xdr:colOff>73021</xdr:colOff>
      <xdr:row>91</xdr:row>
      <xdr:rowOff>0</xdr:rowOff>
    </xdr:to>
    <xdr:graphicFrame macro="">
      <xdr:nvGraphicFramePr>
        <xdr:cNvPr id="8" name="Chart 7" descr="November falls by activity graph.">
          <a:extLst>
            <a:ext uri="{FF2B5EF4-FFF2-40B4-BE49-F238E27FC236}">
              <a16:creationId xmlns:a16="http://schemas.microsoft.com/office/drawing/2014/main" id="{4EA8A492-8C70-4025-A50E-8A996769082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5062</xdr:colOff>
      <xdr:row>55</xdr:row>
      <xdr:rowOff>87464</xdr:rowOff>
    </xdr:from>
    <xdr:to>
      <xdr:col>4</xdr:col>
      <xdr:colOff>0</xdr:colOff>
      <xdr:row>63</xdr:row>
      <xdr:rowOff>56879</xdr:rowOff>
    </xdr:to>
    <xdr:graphicFrame macro="">
      <xdr:nvGraphicFramePr>
        <xdr:cNvPr id="9" name="Chart 8" descr="November witnessed falls graph.">
          <a:extLst>
            <a:ext uri="{FF2B5EF4-FFF2-40B4-BE49-F238E27FC236}">
              <a16:creationId xmlns:a16="http://schemas.microsoft.com/office/drawing/2014/main" id="{B1A18663-A12F-419D-A088-3D63C06E6B6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8</xdr:col>
      <xdr:colOff>9511</xdr:colOff>
      <xdr:row>169</xdr:row>
      <xdr:rowOff>194729</xdr:rowOff>
    </xdr:from>
    <xdr:to>
      <xdr:col>20</xdr:col>
      <xdr:colOff>215596</xdr:colOff>
      <xdr:row>197</xdr:row>
      <xdr:rowOff>0</xdr:rowOff>
    </xdr:to>
    <xdr:graphicFrame macro="">
      <xdr:nvGraphicFramePr>
        <xdr:cNvPr id="10" name="Chart 9" descr="November falls by contributing factors graph.">
          <a:extLst>
            <a:ext uri="{FF2B5EF4-FFF2-40B4-BE49-F238E27FC236}">
              <a16:creationId xmlns:a16="http://schemas.microsoft.com/office/drawing/2014/main" id="{6AAE3A00-6B66-4BFF-BD7F-F5DDE9E6EC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9</xdr:col>
      <xdr:colOff>6666</xdr:colOff>
      <xdr:row>49</xdr:row>
      <xdr:rowOff>195113</xdr:rowOff>
    </xdr:from>
    <xdr:to>
      <xdr:col>15</xdr:col>
      <xdr:colOff>1222581</xdr:colOff>
      <xdr:row>56</xdr:row>
      <xdr:rowOff>2447</xdr:rowOff>
    </xdr:to>
    <xdr:graphicFrame macro="">
      <xdr:nvGraphicFramePr>
        <xdr:cNvPr id="11" name="Chart 10" descr="November falls by circumstances graph.">
          <a:extLst>
            <a:ext uri="{FF2B5EF4-FFF2-40B4-BE49-F238E27FC236}">
              <a16:creationId xmlns:a16="http://schemas.microsoft.com/office/drawing/2014/main" id="{8E063A43-77C9-41DA-831A-220B7FE9F14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5</xdr:col>
      <xdr:colOff>0</xdr:colOff>
      <xdr:row>132</xdr:row>
      <xdr:rowOff>197411</xdr:rowOff>
    </xdr:from>
    <xdr:to>
      <xdr:col>14</xdr:col>
      <xdr:colOff>2914</xdr:colOff>
      <xdr:row>140</xdr:row>
      <xdr:rowOff>194012</xdr:rowOff>
    </xdr:to>
    <xdr:graphicFrame macro="">
      <xdr:nvGraphicFramePr>
        <xdr:cNvPr id="12" name="Chart 11" descr="November falls by shift graph.">
          <a:extLst>
            <a:ext uri="{FF2B5EF4-FFF2-40B4-BE49-F238E27FC236}">
              <a16:creationId xmlns:a16="http://schemas.microsoft.com/office/drawing/2014/main" id="{7982A2BA-F267-427F-87A1-ABA56345D5B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5</xdr:col>
      <xdr:colOff>159</xdr:colOff>
      <xdr:row>91</xdr:row>
      <xdr:rowOff>185727</xdr:rowOff>
    </xdr:from>
    <xdr:to>
      <xdr:col>17</xdr:col>
      <xdr:colOff>469849</xdr:colOff>
      <xdr:row>106</xdr:row>
      <xdr:rowOff>0</xdr:rowOff>
    </xdr:to>
    <xdr:graphicFrame macro="">
      <xdr:nvGraphicFramePr>
        <xdr:cNvPr id="2" name="Chart 1" descr="December falls by location graph.">
          <a:extLst>
            <a:ext uri="{FF2B5EF4-FFF2-40B4-BE49-F238E27FC236}">
              <a16:creationId xmlns:a16="http://schemas.microsoft.com/office/drawing/2014/main" id="{23B2839B-C1AC-4755-97A9-EC7EBDFC3C3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7228</xdr:colOff>
      <xdr:row>122</xdr:row>
      <xdr:rowOff>9542</xdr:rowOff>
    </xdr:from>
    <xdr:to>
      <xdr:col>14</xdr:col>
      <xdr:colOff>761156</xdr:colOff>
      <xdr:row>131</xdr:row>
      <xdr:rowOff>190830</xdr:rowOff>
    </xdr:to>
    <xdr:graphicFrame macro="">
      <xdr:nvGraphicFramePr>
        <xdr:cNvPr id="3" name="Chart 2" descr="December falls by day of the week graph.">
          <a:extLst>
            <a:ext uri="{FF2B5EF4-FFF2-40B4-BE49-F238E27FC236}">
              <a16:creationId xmlns:a16="http://schemas.microsoft.com/office/drawing/2014/main" id="{E9EEC4A8-9052-4F6F-BF67-A6E28B3A842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0</xdr:colOff>
      <xdr:row>106</xdr:row>
      <xdr:rowOff>198782</xdr:rowOff>
    </xdr:from>
    <xdr:to>
      <xdr:col>15</xdr:col>
      <xdr:colOff>731520</xdr:colOff>
      <xdr:row>120</xdr:row>
      <xdr:rowOff>190831</xdr:rowOff>
    </xdr:to>
    <xdr:graphicFrame macro="">
      <xdr:nvGraphicFramePr>
        <xdr:cNvPr id="4" name="Chart 3" descr="December falls by nursing station graph.">
          <a:extLst>
            <a:ext uri="{FF2B5EF4-FFF2-40B4-BE49-F238E27FC236}">
              <a16:creationId xmlns:a16="http://schemas.microsoft.com/office/drawing/2014/main" id="{F2D64064-6837-4E83-A308-6262354C6A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2910</xdr:colOff>
      <xdr:row>57</xdr:row>
      <xdr:rowOff>757</xdr:rowOff>
    </xdr:from>
    <xdr:to>
      <xdr:col>15</xdr:col>
      <xdr:colOff>1196809</xdr:colOff>
      <xdr:row>63</xdr:row>
      <xdr:rowOff>54433</xdr:rowOff>
    </xdr:to>
    <xdr:graphicFrame macro="">
      <xdr:nvGraphicFramePr>
        <xdr:cNvPr id="5" name="Chart 4" descr="December falls by BIMS score graph.">
          <a:extLst>
            <a:ext uri="{FF2B5EF4-FFF2-40B4-BE49-F238E27FC236}">
              <a16:creationId xmlns:a16="http://schemas.microsoft.com/office/drawing/2014/main" id="{5034C690-D219-4E03-BF36-326FBFBF4C9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10967</xdr:colOff>
      <xdr:row>142</xdr:row>
      <xdr:rowOff>1</xdr:rowOff>
    </xdr:from>
    <xdr:to>
      <xdr:col>18</xdr:col>
      <xdr:colOff>3245</xdr:colOff>
      <xdr:row>168</xdr:row>
      <xdr:rowOff>186613</xdr:rowOff>
    </xdr:to>
    <xdr:graphicFrame macro="">
      <xdr:nvGraphicFramePr>
        <xdr:cNvPr id="7" name="Chart 6" descr="December falls by hour graph.">
          <a:extLst>
            <a:ext uri="{FF2B5EF4-FFF2-40B4-BE49-F238E27FC236}">
              <a16:creationId xmlns:a16="http://schemas.microsoft.com/office/drawing/2014/main" id="{665F9FB0-4564-4F41-B09C-FD9B5990F9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503041</xdr:colOff>
      <xdr:row>64</xdr:row>
      <xdr:rowOff>0</xdr:rowOff>
    </xdr:from>
    <xdr:to>
      <xdr:col>20</xdr:col>
      <xdr:colOff>73021</xdr:colOff>
      <xdr:row>91</xdr:row>
      <xdr:rowOff>0</xdr:rowOff>
    </xdr:to>
    <xdr:graphicFrame macro="">
      <xdr:nvGraphicFramePr>
        <xdr:cNvPr id="8" name="Chart 7" descr="December falls by activity graph.">
          <a:extLst>
            <a:ext uri="{FF2B5EF4-FFF2-40B4-BE49-F238E27FC236}">
              <a16:creationId xmlns:a16="http://schemas.microsoft.com/office/drawing/2014/main" id="{C9374D27-4F16-4443-B240-4098C8707F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5062</xdr:colOff>
      <xdr:row>55</xdr:row>
      <xdr:rowOff>87464</xdr:rowOff>
    </xdr:from>
    <xdr:to>
      <xdr:col>4</xdr:col>
      <xdr:colOff>0</xdr:colOff>
      <xdr:row>63</xdr:row>
      <xdr:rowOff>56879</xdr:rowOff>
    </xdr:to>
    <xdr:graphicFrame macro="">
      <xdr:nvGraphicFramePr>
        <xdr:cNvPr id="9" name="Chart 8" descr="December witnessed falls graph.">
          <a:extLst>
            <a:ext uri="{FF2B5EF4-FFF2-40B4-BE49-F238E27FC236}">
              <a16:creationId xmlns:a16="http://schemas.microsoft.com/office/drawing/2014/main" id="{8D373ED6-FCD2-497F-B44D-CCCF6560FC7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8</xdr:col>
      <xdr:colOff>9511</xdr:colOff>
      <xdr:row>169</xdr:row>
      <xdr:rowOff>194729</xdr:rowOff>
    </xdr:from>
    <xdr:to>
      <xdr:col>20</xdr:col>
      <xdr:colOff>215596</xdr:colOff>
      <xdr:row>197</xdr:row>
      <xdr:rowOff>0</xdr:rowOff>
    </xdr:to>
    <xdr:graphicFrame macro="">
      <xdr:nvGraphicFramePr>
        <xdr:cNvPr id="10" name="Chart 9" descr="December falls by contributing factors graph.">
          <a:extLst>
            <a:ext uri="{FF2B5EF4-FFF2-40B4-BE49-F238E27FC236}">
              <a16:creationId xmlns:a16="http://schemas.microsoft.com/office/drawing/2014/main" id="{994A9BD1-07F0-4A16-9D05-C5D448E9C3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9</xdr:col>
      <xdr:colOff>6666</xdr:colOff>
      <xdr:row>49</xdr:row>
      <xdr:rowOff>195113</xdr:rowOff>
    </xdr:from>
    <xdr:to>
      <xdr:col>15</xdr:col>
      <xdr:colOff>1222581</xdr:colOff>
      <xdr:row>56</xdr:row>
      <xdr:rowOff>2447</xdr:rowOff>
    </xdr:to>
    <xdr:graphicFrame macro="">
      <xdr:nvGraphicFramePr>
        <xdr:cNvPr id="11" name="Chart 10" descr="December falls by circumstances graph.">
          <a:extLst>
            <a:ext uri="{FF2B5EF4-FFF2-40B4-BE49-F238E27FC236}">
              <a16:creationId xmlns:a16="http://schemas.microsoft.com/office/drawing/2014/main" id="{E0D65ED0-52A3-447A-A161-3F503D88C25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5</xdr:col>
      <xdr:colOff>0</xdr:colOff>
      <xdr:row>132</xdr:row>
      <xdr:rowOff>197411</xdr:rowOff>
    </xdr:from>
    <xdr:to>
      <xdr:col>14</xdr:col>
      <xdr:colOff>2914</xdr:colOff>
      <xdr:row>140</xdr:row>
      <xdr:rowOff>194012</xdr:rowOff>
    </xdr:to>
    <xdr:graphicFrame macro="">
      <xdr:nvGraphicFramePr>
        <xdr:cNvPr id="12" name="Chart 11" descr="December falls by shift graph.">
          <a:extLst>
            <a:ext uri="{FF2B5EF4-FFF2-40B4-BE49-F238E27FC236}">
              <a16:creationId xmlns:a16="http://schemas.microsoft.com/office/drawing/2014/main" id="{DCACC4E7-348A-4D2D-9D2F-E640A8E975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xdr:col>
      <xdr:colOff>8114</xdr:colOff>
      <xdr:row>8</xdr:row>
      <xdr:rowOff>88051</xdr:rowOff>
    </xdr:from>
    <xdr:to>
      <xdr:col>15</xdr:col>
      <xdr:colOff>16228</xdr:colOff>
      <xdr:row>19</xdr:row>
      <xdr:rowOff>61604</xdr:rowOff>
    </xdr:to>
    <xdr:graphicFrame macro="">
      <xdr:nvGraphicFramePr>
        <xdr:cNvPr id="2" name="Chart 1" descr="Total number of falls by month graph.">
          <a:extLst>
            <a:ext uri="{FF2B5EF4-FFF2-40B4-BE49-F238E27FC236}">
              <a16:creationId xmlns:a16="http://schemas.microsoft.com/office/drawing/2014/main" id="{3A4FCF47-140C-4365-AE2C-426ACF24715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150037</xdr:colOff>
      <xdr:row>35</xdr:row>
      <xdr:rowOff>63278</xdr:rowOff>
    </xdr:from>
    <xdr:to>
      <xdr:col>14</xdr:col>
      <xdr:colOff>571619</xdr:colOff>
      <xdr:row>43</xdr:row>
      <xdr:rowOff>31805</xdr:rowOff>
    </xdr:to>
    <xdr:graphicFrame macro="">
      <xdr:nvGraphicFramePr>
        <xdr:cNvPr id="10" name="Chart 9" descr="Fall rate by month graph.">
          <a:extLst>
            <a:ext uri="{FF2B5EF4-FFF2-40B4-BE49-F238E27FC236}">
              <a16:creationId xmlns:a16="http://schemas.microsoft.com/office/drawing/2014/main" id="{28618A7E-5AD7-46F9-BEEB-E31A51AB87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276567</xdr:colOff>
      <xdr:row>19</xdr:row>
      <xdr:rowOff>138283</xdr:rowOff>
    </xdr:from>
    <xdr:to>
      <xdr:col>15</xdr:col>
      <xdr:colOff>1200</xdr:colOff>
      <xdr:row>30</xdr:row>
      <xdr:rowOff>111836</xdr:rowOff>
    </xdr:to>
    <xdr:graphicFrame macro="">
      <xdr:nvGraphicFramePr>
        <xdr:cNvPr id="12" name="Chart 11" descr="Number of falls per month by category graph.">
          <a:extLst>
            <a:ext uri="{FF2B5EF4-FFF2-40B4-BE49-F238E27FC236}">
              <a16:creationId xmlns:a16="http://schemas.microsoft.com/office/drawing/2014/main" id="{BAE3EDC8-209C-4072-AA60-63F320B56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5</xdr:col>
      <xdr:colOff>13828</xdr:colOff>
      <xdr:row>7</xdr:row>
      <xdr:rowOff>48399</xdr:rowOff>
    </xdr:from>
    <xdr:to>
      <xdr:col>9</xdr:col>
      <xdr:colOff>297310</xdr:colOff>
      <xdr:row>14</xdr:row>
      <xdr:rowOff>110626</xdr:rowOff>
    </xdr:to>
    <xdr:graphicFrame macro="">
      <xdr:nvGraphicFramePr>
        <xdr:cNvPr id="8" name="Chart 7" descr="BIMS score graph.">
          <a:extLst>
            <a:ext uri="{FF2B5EF4-FFF2-40B4-BE49-F238E27FC236}">
              <a16:creationId xmlns:a16="http://schemas.microsoft.com/office/drawing/2014/main" id="{845FB257-FF7D-4784-89EB-B5C064C075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5059</xdr:colOff>
      <xdr:row>21</xdr:row>
      <xdr:rowOff>76054</xdr:rowOff>
    </xdr:from>
    <xdr:to>
      <xdr:col>9</xdr:col>
      <xdr:colOff>62228</xdr:colOff>
      <xdr:row>28</xdr:row>
      <xdr:rowOff>124453</xdr:rowOff>
    </xdr:to>
    <xdr:graphicFrame macro="">
      <xdr:nvGraphicFramePr>
        <xdr:cNvPr id="11" name="Chart 10" descr="Fall circumstances graph.">
          <a:extLst>
            <a:ext uri="{FF2B5EF4-FFF2-40B4-BE49-F238E27FC236}">
              <a16:creationId xmlns:a16="http://schemas.microsoft.com/office/drawing/2014/main" id="{365A9E61-0BD3-46DA-BB2E-F330EFEC20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606594</xdr:colOff>
      <xdr:row>34</xdr:row>
      <xdr:rowOff>76055</xdr:rowOff>
    </xdr:from>
    <xdr:to>
      <xdr:col>8</xdr:col>
      <xdr:colOff>629189</xdr:colOff>
      <xdr:row>41</xdr:row>
      <xdr:rowOff>117541</xdr:rowOff>
    </xdr:to>
    <xdr:graphicFrame macro="">
      <xdr:nvGraphicFramePr>
        <xdr:cNvPr id="12" name="Chart 11" descr="Witnessed falls graph.">
          <a:extLst>
            <a:ext uri="{FF2B5EF4-FFF2-40B4-BE49-F238E27FC236}">
              <a16:creationId xmlns:a16="http://schemas.microsoft.com/office/drawing/2014/main" id="{A38E8BAA-DCBA-4C52-85C0-84851AFCD33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198241</xdr:colOff>
      <xdr:row>69</xdr:row>
      <xdr:rowOff>162924</xdr:rowOff>
    </xdr:from>
    <xdr:to>
      <xdr:col>19</xdr:col>
      <xdr:colOff>26504</xdr:colOff>
      <xdr:row>96</xdr:row>
      <xdr:rowOff>172280</xdr:rowOff>
    </xdr:to>
    <xdr:graphicFrame macro="">
      <xdr:nvGraphicFramePr>
        <xdr:cNvPr id="14" name="Chart 13" descr="Falls by activity graph.">
          <a:extLst>
            <a:ext uri="{FF2B5EF4-FFF2-40B4-BE49-F238E27FC236}">
              <a16:creationId xmlns:a16="http://schemas.microsoft.com/office/drawing/2014/main" id="{11DC2061-1037-4DB9-A9B4-23AFB2368E7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183260</xdr:colOff>
      <xdr:row>125</xdr:row>
      <xdr:rowOff>134230</xdr:rowOff>
    </xdr:from>
    <xdr:to>
      <xdr:col>19</xdr:col>
      <xdr:colOff>26504</xdr:colOff>
      <xdr:row>153</xdr:row>
      <xdr:rowOff>21203</xdr:rowOff>
    </xdr:to>
    <xdr:graphicFrame macro="">
      <xdr:nvGraphicFramePr>
        <xdr:cNvPr id="15" name="Chart 14" descr="Falls by contributing factors graphs.">
          <a:extLst>
            <a:ext uri="{FF2B5EF4-FFF2-40B4-BE49-F238E27FC236}">
              <a16:creationId xmlns:a16="http://schemas.microsoft.com/office/drawing/2014/main" id="{F10EDEE6-072F-4166-B0EA-BCBFD11DA5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3</xdr:col>
      <xdr:colOff>716888</xdr:colOff>
      <xdr:row>15</xdr:row>
      <xdr:rowOff>176735</xdr:rowOff>
    </xdr:from>
    <xdr:to>
      <xdr:col>13</xdr:col>
      <xdr:colOff>270994</xdr:colOff>
      <xdr:row>29</xdr:row>
      <xdr:rowOff>186610</xdr:rowOff>
    </xdr:to>
    <xdr:graphicFrame macro="">
      <xdr:nvGraphicFramePr>
        <xdr:cNvPr id="2" name="Chart 1" descr="Number of falls by nurses station graph.">
          <a:extLst>
            <a:ext uri="{FF2B5EF4-FFF2-40B4-BE49-F238E27FC236}">
              <a16:creationId xmlns:a16="http://schemas.microsoft.com/office/drawing/2014/main" id="{DA988FC2-B54D-40CA-8834-DAE33187A4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723566</xdr:colOff>
      <xdr:row>72</xdr:row>
      <xdr:rowOff>161595</xdr:rowOff>
    </xdr:from>
    <xdr:to>
      <xdr:col>14</xdr:col>
      <xdr:colOff>429370</xdr:colOff>
      <xdr:row>83</xdr:row>
      <xdr:rowOff>19797</xdr:rowOff>
    </xdr:to>
    <xdr:graphicFrame macro="">
      <xdr:nvGraphicFramePr>
        <xdr:cNvPr id="3" name="Chart 2" descr="Falls by day of the week graph.">
          <a:extLst>
            <a:ext uri="{FF2B5EF4-FFF2-40B4-BE49-F238E27FC236}">
              <a16:creationId xmlns:a16="http://schemas.microsoft.com/office/drawing/2014/main" id="{00747DEF-A1A6-4743-854B-DCE952AA74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10112</xdr:colOff>
      <xdr:row>92</xdr:row>
      <xdr:rowOff>134979</xdr:rowOff>
    </xdr:from>
    <xdr:to>
      <xdr:col>11</xdr:col>
      <xdr:colOff>257037</xdr:colOff>
      <xdr:row>101</xdr:row>
      <xdr:rowOff>23853</xdr:rowOff>
    </xdr:to>
    <xdr:graphicFrame macro="">
      <xdr:nvGraphicFramePr>
        <xdr:cNvPr id="4" name="Chart 3" descr="Cumulative number of falls by shift graph.">
          <a:extLst>
            <a:ext uri="{FF2B5EF4-FFF2-40B4-BE49-F238E27FC236}">
              <a16:creationId xmlns:a16="http://schemas.microsoft.com/office/drawing/2014/main" id="{AACB6290-336C-4EA3-BDE6-4B07705280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255825</xdr:colOff>
      <xdr:row>131</xdr:row>
      <xdr:rowOff>66260</xdr:rowOff>
    </xdr:from>
    <xdr:to>
      <xdr:col>13</xdr:col>
      <xdr:colOff>48682</xdr:colOff>
      <xdr:row>157</xdr:row>
      <xdr:rowOff>167949</xdr:rowOff>
    </xdr:to>
    <xdr:graphicFrame macro="">
      <xdr:nvGraphicFramePr>
        <xdr:cNvPr id="5" name="Chart 4" descr="Number of falls by hour graph.">
          <a:extLst>
            <a:ext uri="{FF2B5EF4-FFF2-40B4-BE49-F238E27FC236}">
              <a16:creationId xmlns:a16="http://schemas.microsoft.com/office/drawing/2014/main" id="{E3E8DB8D-B002-4CB5-A947-7FA210E5DA3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708315</xdr:colOff>
      <xdr:row>47</xdr:row>
      <xdr:rowOff>3246</xdr:rowOff>
    </xdr:from>
    <xdr:to>
      <xdr:col>15</xdr:col>
      <xdr:colOff>7951</xdr:colOff>
      <xdr:row>61</xdr:row>
      <xdr:rowOff>7951</xdr:rowOff>
    </xdr:to>
    <xdr:graphicFrame macro="">
      <xdr:nvGraphicFramePr>
        <xdr:cNvPr id="6" name="Chart 5" descr="Location of falls by month graph.">
          <a:extLst>
            <a:ext uri="{FF2B5EF4-FFF2-40B4-BE49-F238E27FC236}">
              <a16:creationId xmlns:a16="http://schemas.microsoft.com/office/drawing/2014/main" id="{44943207-B8ED-47F2-B8BE-9FFC3AC367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17</xdr:col>
      <xdr:colOff>187548</xdr:colOff>
      <xdr:row>52</xdr:row>
      <xdr:rowOff>908</xdr:rowOff>
    </xdr:from>
    <xdr:to>
      <xdr:col>18</xdr:col>
      <xdr:colOff>231058</xdr:colOff>
      <xdr:row>56</xdr:row>
      <xdr:rowOff>105638</xdr:rowOff>
    </xdr:to>
    <xdr:sp macro="" textlink="">
      <xdr:nvSpPr>
        <xdr:cNvPr id="36" name="Right Brace 35">
          <a:extLst>
            <a:ext uri="{FF2B5EF4-FFF2-40B4-BE49-F238E27FC236}">
              <a16:creationId xmlns:a16="http://schemas.microsoft.com/office/drawing/2014/main" id="{AAA16B19-0C70-4E70-8125-1D7A597584EB}"/>
            </a:ext>
            <a:ext uri="{C183D7F6-B498-43B3-948B-1728B52AA6E4}">
              <adec:decorative xmlns:adec="http://schemas.microsoft.com/office/drawing/2017/decorative" val="1"/>
            </a:ext>
          </a:extLst>
        </xdr:cNvPr>
        <xdr:cNvSpPr/>
      </xdr:nvSpPr>
      <xdr:spPr>
        <a:xfrm>
          <a:off x="9029398" y="11665471"/>
          <a:ext cx="401319" cy="868056"/>
        </a:xfrm>
        <a:prstGeom prst="rightBrace">
          <a:avLst/>
        </a:prstGeom>
        <a:ln w="1270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twoCellAnchor editAs="oneCell">
    <xdr:from>
      <xdr:col>0</xdr:col>
      <xdr:colOff>84056</xdr:colOff>
      <xdr:row>52</xdr:row>
      <xdr:rowOff>176402</xdr:rowOff>
    </xdr:from>
    <xdr:to>
      <xdr:col>17</xdr:col>
      <xdr:colOff>197534</xdr:colOff>
      <xdr:row>57</xdr:row>
      <xdr:rowOff>24731</xdr:rowOff>
    </xdr:to>
    <xdr:pic>
      <xdr:nvPicPr>
        <xdr:cNvPr id="3" name="Picture 2" descr="Example of fall rate by month.">
          <a:extLst>
            <a:ext uri="{FF2B5EF4-FFF2-40B4-BE49-F238E27FC236}">
              <a16:creationId xmlns:a16="http://schemas.microsoft.com/office/drawing/2014/main" id="{1601E814-63AE-449C-8DC0-C7468C48E497}"/>
            </a:ext>
          </a:extLst>
        </xdr:cNvPr>
        <xdr:cNvPicPr>
          <a:picLocks noChangeAspect="1"/>
        </xdr:cNvPicPr>
      </xdr:nvPicPr>
      <xdr:blipFill rotWithShape="1">
        <a:blip xmlns:r="http://schemas.openxmlformats.org/officeDocument/2006/relationships" r:embed="rId1"/>
        <a:srcRect l="1489" t="9174" r="1421" b="7791"/>
        <a:stretch>
          <a:fillRect/>
        </a:stretch>
      </xdr:blipFill>
      <xdr:spPr>
        <a:xfrm>
          <a:off x="84056" y="11702007"/>
          <a:ext cx="8945743" cy="794911"/>
        </a:xfrm>
        <a:prstGeom prst="rect">
          <a:avLst/>
        </a:prstGeom>
        <a:effectLst/>
      </xdr:spPr>
    </xdr:pic>
    <xdr:clientData/>
  </xdr:twoCellAnchor>
  <xdr:twoCellAnchor editAs="oneCell">
    <xdr:from>
      <xdr:col>0</xdr:col>
      <xdr:colOff>91291</xdr:colOff>
      <xdr:row>45</xdr:row>
      <xdr:rowOff>6816</xdr:rowOff>
    </xdr:from>
    <xdr:to>
      <xdr:col>17</xdr:col>
      <xdr:colOff>192213</xdr:colOff>
      <xdr:row>52</xdr:row>
      <xdr:rowOff>82262</xdr:rowOff>
    </xdr:to>
    <xdr:pic>
      <xdr:nvPicPr>
        <xdr:cNvPr id="4" name="Picture 3" descr="Example of number of falls per month by category.">
          <a:extLst>
            <a:ext uri="{FF2B5EF4-FFF2-40B4-BE49-F238E27FC236}">
              <a16:creationId xmlns:a16="http://schemas.microsoft.com/office/drawing/2014/main" id="{37C94C37-4ACC-43F7-AC75-7987975825D8}"/>
            </a:ext>
          </a:extLst>
        </xdr:cNvPr>
        <xdr:cNvPicPr>
          <a:picLocks noChangeAspect="1"/>
        </xdr:cNvPicPr>
      </xdr:nvPicPr>
      <xdr:blipFill rotWithShape="1">
        <a:blip xmlns:r="http://schemas.openxmlformats.org/officeDocument/2006/relationships" r:embed="rId2"/>
        <a:srcRect l="1474" t="3699" r="1173" b="8055"/>
        <a:stretch>
          <a:fillRect/>
        </a:stretch>
      </xdr:blipFill>
      <xdr:spPr>
        <a:xfrm>
          <a:off x="91291" y="10328452"/>
          <a:ext cx="8344377" cy="1408946"/>
        </a:xfrm>
        <a:prstGeom prst="rect">
          <a:avLst/>
        </a:prstGeom>
        <a:effectLst/>
      </xdr:spPr>
    </xdr:pic>
    <xdr:clientData/>
  </xdr:twoCellAnchor>
  <xdr:twoCellAnchor>
    <xdr:from>
      <xdr:col>1</xdr:col>
      <xdr:colOff>4910</xdr:colOff>
      <xdr:row>11</xdr:row>
      <xdr:rowOff>7951</xdr:rowOff>
    </xdr:from>
    <xdr:to>
      <xdr:col>2</xdr:col>
      <xdr:colOff>28575</xdr:colOff>
      <xdr:row>22</xdr:row>
      <xdr:rowOff>15903</xdr:rowOff>
    </xdr:to>
    <xdr:sp macro="" textlink="">
      <xdr:nvSpPr>
        <xdr:cNvPr id="10" name="Rectangle 9">
          <a:extLst>
            <a:ext uri="{FF2B5EF4-FFF2-40B4-BE49-F238E27FC236}">
              <a16:creationId xmlns:a16="http://schemas.microsoft.com/office/drawing/2014/main" id="{58FF75EB-439D-4D38-B330-45F81B8C5A32}"/>
            </a:ext>
            <a:ext uri="{C183D7F6-B498-43B3-948B-1728B52AA6E4}">
              <adec:decorative xmlns:adec="http://schemas.microsoft.com/office/drawing/2017/decorative" val="1"/>
            </a:ext>
          </a:extLst>
        </xdr:cNvPr>
        <xdr:cNvSpPr/>
      </xdr:nvSpPr>
      <xdr:spPr>
        <a:xfrm>
          <a:off x="100160" y="2227276"/>
          <a:ext cx="899965" cy="3446477"/>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138304</xdr:colOff>
      <xdr:row>11</xdr:row>
      <xdr:rowOff>0</xdr:rowOff>
    </xdr:from>
    <xdr:to>
      <xdr:col>4</xdr:col>
      <xdr:colOff>23853</xdr:colOff>
      <xdr:row>22</xdr:row>
      <xdr:rowOff>0</xdr:rowOff>
    </xdr:to>
    <xdr:sp macro="" textlink="">
      <xdr:nvSpPr>
        <xdr:cNvPr id="11" name="Rectangle 10">
          <a:extLst>
            <a:ext uri="{FF2B5EF4-FFF2-40B4-BE49-F238E27FC236}">
              <a16:creationId xmlns:a16="http://schemas.microsoft.com/office/drawing/2014/main" id="{9C4714C5-16A7-4E63-B79F-991A491692A4}"/>
            </a:ext>
            <a:ext uri="{C183D7F6-B498-43B3-948B-1728B52AA6E4}">
              <adec:decorative xmlns:adec="http://schemas.microsoft.com/office/drawing/2017/decorative" val="1"/>
            </a:ext>
          </a:extLst>
        </xdr:cNvPr>
        <xdr:cNvSpPr/>
      </xdr:nvSpPr>
      <xdr:spPr>
        <a:xfrm>
          <a:off x="989094" y="2226365"/>
          <a:ext cx="720436" cy="2973788"/>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911</xdr:colOff>
      <xdr:row>10</xdr:row>
      <xdr:rowOff>363489</xdr:rowOff>
    </xdr:from>
    <xdr:to>
      <xdr:col>7</xdr:col>
      <xdr:colOff>15146</xdr:colOff>
      <xdr:row>22</xdr:row>
      <xdr:rowOff>1136</xdr:rowOff>
    </xdr:to>
    <xdr:sp macro="" textlink="">
      <xdr:nvSpPr>
        <xdr:cNvPr id="12" name="Rectangle 11">
          <a:extLst>
            <a:ext uri="{FF2B5EF4-FFF2-40B4-BE49-F238E27FC236}">
              <a16:creationId xmlns:a16="http://schemas.microsoft.com/office/drawing/2014/main" id="{5C180396-B547-4EC2-BA97-2CDED2C3B1D5}"/>
            </a:ext>
            <a:ext uri="{C183D7F6-B498-43B3-948B-1728B52AA6E4}">
              <adec:decorative xmlns:adec="http://schemas.microsoft.com/office/drawing/2017/decorative" val="1"/>
            </a:ext>
          </a:extLst>
        </xdr:cNvPr>
        <xdr:cNvSpPr/>
      </xdr:nvSpPr>
      <xdr:spPr>
        <a:xfrm>
          <a:off x="2081881" y="2212735"/>
          <a:ext cx="1804414" cy="2718210"/>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16</xdr:col>
      <xdr:colOff>24337</xdr:colOff>
      <xdr:row>11</xdr:row>
      <xdr:rowOff>29125</xdr:rowOff>
    </xdr:from>
    <xdr:to>
      <xdr:col>16</xdr:col>
      <xdr:colOff>595212</xdr:colOff>
      <xdr:row>22</xdr:row>
      <xdr:rowOff>1135</xdr:rowOff>
    </xdr:to>
    <xdr:sp macro="" textlink="">
      <xdr:nvSpPr>
        <xdr:cNvPr id="14" name="Right Brace 13">
          <a:extLst>
            <a:ext uri="{FF2B5EF4-FFF2-40B4-BE49-F238E27FC236}">
              <a16:creationId xmlns:a16="http://schemas.microsoft.com/office/drawing/2014/main" id="{7B2AAF93-2A85-42B4-AD67-21D5C3831F56}"/>
            </a:ext>
            <a:ext uri="{C183D7F6-B498-43B3-948B-1728B52AA6E4}">
              <adec:decorative xmlns:adec="http://schemas.microsoft.com/office/drawing/2017/decorative" val="1"/>
            </a:ext>
          </a:extLst>
        </xdr:cNvPr>
        <xdr:cNvSpPr/>
      </xdr:nvSpPr>
      <xdr:spPr>
        <a:xfrm>
          <a:off x="7957467" y="2260034"/>
          <a:ext cx="570875" cy="2670910"/>
        </a:xfrm>
        <a:prstGeom prst="rightBrace">
          <a:avLst>
            <a:gd name="adj1" fmla="val 8333"/>
            <a:gd name="adj2" fmla="val 48723"/>
          </a:avLst>
        </a:prstGeom>
        <a:ln w="1270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twoCellAnchor>
    <xdr:from>
      <xdr:col>16</xdr:col>
      <xdr:colOff>585260</xdr:colOff>
      <xdr:row>12</xdr:row>
      <xdr:rowOff>241452</xdr:rowOff>
    </xdr:from>
    <xdr:to>
      <xdr:col>20</xdr:col>
      <xdr:colOff>448829</xdr:colOff>
      <xdr:row>19</xdr:row>
      <xdr:rowOff>209835</xdr:rowOff>
    </xdr:to>
    <xdr:sp macro="" textlink="">
      <xdr:nvSpPr>
        <xdr:cNvPr id="15" name="TextBox 17">
          <a:extLst>
            <a:ext uri="{FF2B5EF4-FFF2-40B4-BE49-F238E27FC236}">
              <a16:creationId xmlns:a16="http://schemas.microsoft.com/office/drawing/2014/main" id="{5F897F61-445E-47C5-92CD-978DA0EF0CDB}"/>
            </a:ext>
          </a:extLst>
        </xdr:cNvPr>
        <xdr:cNvSpPr txBox="1"/>
      </xdr:nvSpPr>
      <xdr:spPr>
        <a:xfrm>
          <a:off x="8518390" y="2717715"/>
          <a:ext cx="1512897" cy="1685865"/>
        </a:xfrm>
        <a:prstGeom prst="rect">
          <a:avLst/>
        </a:prstGeom>
        <a:solidFill>
          <a:schemeClr val="lt1"/>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a:solidFill>
                <a:sysClr val="windowText" lastClr="000000"/>
              </a:solidFill>
            </a:rPr>
            <a:t>These</a:t>
          </a:r>
          <a:r>
            <a:rPr lang="en-US" sz="1100" baseline="0">
              <a:solidFill>
                <a:sysClr val="windowText" lastClr="000000"/>
              </a:solidFill>
            </a:rPr>
            <a:t> fields can be edited to make the tracker more useful for your facility. All entries here will become dropdowns in all months and integrated into graphs.</a:t>
          </a:r>
          <a:endParaRPr lang="en-US" sz="1100">
            <a:solidFill>
              <a:sysClr val="windowText" lastClr="000000"/>
            </a:solidFill>
          </a:endParaRPr>
        </a:p>
      </xdr:txBody>
    </xdr:sp>
    <xdr:clientData/>
  </xdr:twoCellAnchor>
  <xdr:twoCellAnchor>
    <xdr:from>
      <xdr:col>15</xdr:col>
      <xdr:colOff>14385</xdr:colOff>
      <xdr:row>10</xdr:row>
      <xdr:rowOff>371385</xdr:rowOff>
    </xdr:from>
    <xdr:to>
      <xdr:col>16</xdr:col>
      <xdr:colOff>23854</xdr:colOff>
      <xdr:row>22</xdr:row>
      <xdr:rowOff>0</xdr:rowOff>
    </xdr:to>
    <xdr:sp macro="" textlink="">
      <xdr:nvSpPr>
        <xdr:cNvPr id="16" name="Rectangle 15">
          <a:extLst>
            <a:ext uri="{FF2B5EF4-FFF2-40B4-BE49-F238E27FC236}">
              <a16:creationId xmlns:a16="http://schemas.microsoft.com/office/drawing/2014/main" id="{820F56F3-FAA7-4F15-8CFF-BF477B3004C7}"/>
            </a:ext>
            <a:ext uri="{C183D7F6-B498-43B3-948B-1728B52AA6E4}">
              <adec:decorative xmlns:adec="http://schemas.microsoft.com/office/drawing/2017/decorative" val="1"/>
            </a:ext>
          </a:extLst>
        </xdr:cNvPr>
        <xdr:cNvSpPr/>
      </xdr:nvSpPr>
      <xdr:spPr>
        <a:xfrm>
          <a:off x="6240256" y="2216088"/>
          <a:ext cx="399083" cy="2984065"/>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1439</xdr:colOff>
      <xdr:row>30</xdr:row>
      <xdr:rowOff>1613</xdr:rowOff>
    </xdr:from>
    <xdr:to>
      <xdr:col>6</xdr:col>
      <xdr:colOff>1090465</xdr:colOff>
      <xdr:row>32</xdr:row>
      <xdr:rowOff>242704</xdr:rowOff>
    </xdr:to>
    <xdr:sp macro="" textlink="">
      <xdr:nvSpPr>
        <xdr:cNvPr id="18" name="Rectangle 17">
          <a:extLst>
            <a:ext uri="{FF2B5EF4-FFF2-40B4-BE49-F238E27FC236}">
              <a16:creationId xmlns:a16="http://schemas.microsoft.com/office/drawing/2014/main" id="{DB7492BA-E945-476D-A0B3-BA8B17ECDAFD}"/>
            </a:ext>
            <a:ext uri="{C183D7F6-B498-43B3-948B-1728B52AA6E4}">
              <adec:decorative xmlns:adec="http://schemas.microsoft.com/office/drawing/2017/decorative" val="1"/>
            </a:ext>
          </a:extLst>
        </xdr:cNvPr>
        <xdr:cNvSpPr/>
      </xdr:nvSpPr>
      <xdr:spPr>
        <a:xfrm>
          <a:off x="2659446" y="6669350"/>
          <a:ext cx="1089026" cy="740887"/>
        </a:xfrm>
        <a:prstGeom prst="rect">
          <a:avLst/>
        </a:prstGeom>
        <a:noFill/>
        <a:ln w="28575">
          <a:solidFill>
            <a:srgbClr val="FF99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408521</xdr:colOff>
      <xdr:row>33</xdr:row>
      <xdr:rowOff>8562</xdr:rowOff>
    </xdr:from>
    <xdr:to>
      <xdr:col>15</xdr:col>
      <xdr:colOff>399837</xdr:colOff>
      <xdr:row>35</xdr:row>
      <xdr:rowOff>50047</xdr:rowOff>
    </xdr:to>
    <xdr:sp macro="" textlink="">
      <xdr:nvSpPr>
        <xdr:cNvPr id="19" name="Arrow: Curved Up 18">
          <a:extLst>
            <a:ext uri="{FF2B5EF4-FFF2-40B4-BE49-F238E27FC236}">
              <a16:creationId xmlns:a16="http://schemas.microsoft.com/office/drawing/2014/main" id="{34863205-1C61-4F0A-ADB3-0064D537AAFF}"/>
            </a:ext>
            <a:ext uri="{C183D7F6-B498-43B3-948B-1728B52AA6E4}">
              <adec:decorative xmlns:adec="http://schemas.microsoft.com/office/drawing/2017/decorative" val="1"/>
            </a:ext>
          </a:extLst>
        </xdr:cNvPr>
        <xdr:cNvSpPr/>
      </xdr:nvSpPr>
      <xdr:spPr>
        <a:xfrm>
          <a:off x="3275534" y="7328305"/>
          <a:ext cx="4643965" cy="423148"/>
        </a:xfrm>
        <a:prstGeom prst="curvedUpArrow">
          <a:avLst>
            <a:gd name="adj1" fmla="val 38093"/>
            <a:gd name="adj2" fmla="val 95859"/>
            <a:gd name="adj3" fmla="val 29694"/>
          </a:avLst>
        </a:prstGeom>
        <a:solidFill>
          <a:srgbClr val="FF99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chemeClr val="tx1"/>
            </a:solidFill>
          </a:endParaRPr>
        </a:p>
      </xdr:txBody>
    </xdr:sp>
    <xdr:clientData/>
  </xdr:twoCellAnchor>
  <xdr:twoCellAnchor>
    <xdr:from>
      <xdr:col>17</xdr:col>
      <xdr:colOff>0</xdr:colOff>
      <xdr:row>30</xdr:row>
      <xdr:rowOff>12874</xdr:rowOff>
    </xdr:from>
    <xdr:to>
      <xdr:col>17</xdr:col>
      <xdr:colOff>2004</xdr:colOff>
      <xdr:row>33</xdr:row>
      <xdr:rowOff>0</xdr:rowOff>
    </xdr:to>
    <xdr:sp macro="" textlink="">
      <xdr:nvSpPr>
        <xdr:cNvPr id="20" name="Rectangle 19">
          <a:extLst>
            <a:ext uri="{FF2B5EF4-FFF2-40B4-BE49-F238E27FC236}">
              <a16:creationId xmlns:a16="http://schemas.microsoft.com/office/drawing/2014/main" id="{A39572D7-5E46-4309-B8CC-CAD8985EE9B2}"/>
            </a:ext>
            <a:ext uri="{C183D7F6-B498-43B3-948B-1728B52AA6E4}">
              <adec:decorative xmlns:adec="http://schemas.microsoft.com/office/drawing/2017/decorative" val="1"/>
            </a:ext>
          </a:extLst>
        </xdr:cNvPr>
        <xdr:cNvSpPr/>
      </xdr:nvSpPr>
      <xdr:spPr>
        <a:xfrm>
          <a:off x="7425562" y="6618904"/>
          <a:ext cx="581471" cy="728531"/>
        </a:xfrm>
        <a:prstGeom prst="rect">
          <a:avLst/>
        </a:prstGeom>
        <a:noFill/>
        <a:ln w="28575">
          <a:solidFill>
            <a:srgbClr val="FF99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17</xdr:col>
      <xdr:colOff>8049</xdr:colOff>
      <xdr:row>30</xdr:row>
      <xdr:rowOff>12874</xdr:rowOff>
    </xdr:from>
    <xdr:to>
      <xdr:col>18</xdr:col>
      <xdr:colOff>16098</xdr:colOff>
      <xdr:row>32</xdr:row>
      <xdr:rowOff>246233</xdr:rowOff>
    </xdr:to>
    <xdr:sp macro="" textlink="">
      <xdr:nvSpPr>
        <xdr:cNvPr id="21" name="Rectangle 20">
          <a:extLst>
            <a:ext uri="{FF2B5EF4-FFF2-40B4-BE49-F238E27FC236}">
              <a16:creationId xmlns:a16="http://schemas.microsoft.com/office/drawing/2014/main" id="{9D77A8BC-9C10-4727-B877-CAC805E31D0E}"/>
            </a:ext>
            <a:ext uri="{C183D7F6-B498-43B3-948B-1728B52AA6E4}">
              <adec:decorative xmlns:adec="http://schemas.microsoft.com/office/drawing/2017/decorative" val="1"/>
            </a:ext>
          </a:extLst>
        </xdr:cNvPr>
        <xdr:cNvSpPr/>
      </xdr:nvSpPr>
      <xdr:spPr>
        <a:xfrm>
          <a:off x="8247845" y="7318951"/>
          <a:ext cx="340753" cy="727050"/>
        </a:xfrm>
        <a:prstGeom prst="rect">
          <a:avLst/>
        </a:prstGeom>
        <a:noFill/>
        <a:ln w="28575">
          <a:solidFill>
            <a:srgbClr val="FF99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16</xdr:col>
      <xdr:colOff>258985</xdr:colOff>
      <xdr:row>33</xdr:row>
      <xdr:rowOff>10339</xdr:rowOff>
    </xdr:from>
    <xdr:to>
      <xdr:col>17</xdr:col>
      <xdr:colOff>313509</xdr:colOff>
      <xdr:row>35</xdr:row>
      <xdr:rowOff>50732</xdr:rowOff>
    </xdr:to>
    <xdr:sp macro="" textlink="">
      <xdr:nvSpPr>
        <xdr:cNvPr id="22" name="Arrow: Curved Up 21">
          <a:extLst>
            <a:ext uri="{FF2B5EF4-FFF2-40B4-BE49-F238E27FC236}">
              <a16:creationId xmlns:a16="http://schemas.microsoft.com/office/drawing/2014/main" id="{65413638-6832-4CBE-B280-2D2E4AA15BDE}"/>
            </a:ext>
            <a:ext uri="{C183D7F6-B498-43B3-948B-1728B52AA6E4}">
              <adec:decorative xmlns:adec="http://schemas.microsoft.com/office/drawing/2017/decorative" val="1"/>
            </a:ext>
          </a:extLst>
        </xdr:cNvPr>
        <xdr:cNvSpPr/>
      </xdr:nvSpPr>
      <xdr:spPr>
        <a:xfrm>
          <a:off x="8192115" y="7330082"/>
          <a:ext cx="658823" cy="422056"/>
        </a:xfrm>
        <a:prstGeom prst="curvedUpArrow">
          <a:avLst>
            <a:gd name="adj1" fmla="val 18649"/>
            <a:gd name="adj2" fmla="val 66408"/>
            <a:gd name="adj3" fmla="val 28598"/>
          </a:avLst>
        </a:prstGeom>
        <a:solidFill>
          <a:srgbClr val="FF99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chemeClr val="tx1"/>
            </a:solidFill>
          </a:endParaRPr>
        </a:p>
      </xdr:txBody>
    </xdr:sp>
    <xdr:clientData/>
  </xdr:twoCellAnchor>
  <xdr:twoCellAnchor>
    <xdr:from>
      <xdr:col>19</xdr:col>
      <xdr:colOff>8659</xdr:colOff>
      <xdr:row>30</xdr:row>
      <xdr:rowOff>13416</xdr:rowOff>
    </xdr:from>
    <xdr:to>
      <xdr:col>20</xdr:col>
      <xdr:colOff>1</xdr:colOff>
      <xdr:row>32</xdr:row>
      <xdr:rowOff>246784</xdr:rowOff>
    </xdr:to>
    <xdr:sp macro="" textlink="">
      <xdr:nvSpPr>
        <xdr:cNvPr id="28" name="Rectangle 27">
          <a:extLst>
            <a:ext uri="{FF2B5EF4-FFF2-40B4-BE49-F238E27FC236}">
              <a16:creationId xmlns:a16="http://schemas.microsoft.com/office/drawing/2014/main" id="{A7DA2F6E-99D6-4ED8-9A8E-B1BA324115F1}"/>
            </a:ext>
            <a:ext uri="{C183D7F6-B498-43B3-948B-1728B52AA6E4}">
              <adec:decorative xmlns:adec="http://schemas.microsoft.com/office/drawing/2017/decorative" val="1"/>
            </a:ext>
          </a:extLst>
        </xdr:cNvPr>
        <xdr:cNvSpPr/>
      </xdr:nvSpPr>
      <xdr:spPr>
        <a:xfrm>
          <a:off x="8991673" y="7319493"/>
          <a:ext cx="705046" cy="727059"/>
        </a:xfrm>
        <a:prstGeom prst="rect">
          <a:avLst/>
        </a:prstGeom>
        <a:noFill/>
        <a:ln w="28575">
          <a:solidFill>
            <a:srgbClr val="FF99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140479</xdr:colOff>
      <xdr:row>33</xdr:row>
      <xdr:rowOff>146044</xdr:rowOff>
    </xdr:from>
    <xdr:to>
      <xdr:col>13</xdr:col>
      <xdr:colOff>272664</xdr:colOff>
      <xdr:row>36</xdr:row>
      <xdr:rowOff>71304</xdr:rowOff>
    </xdr:to>
    <xdr:sp macro="" textlink="">
      <xdr:nvSpPr>
        <xdr:cNvPr id="23" name="TextBox 43">
          <a:extLst>
            <a:ext uri="{FF2B5EF4-FFF2-40B4-BE49-F238E27FC236}">
              <a16:creationId xmlns:a16="http://schemas.microsoft.com/office/drawing/2014/main" id="{033274A5-64C9-4733-8C5E-78709117FEA1}"/>
            </a:ext>
          </a:extLst>
        </xdr:cNvPr>
        <xdr:cNvSpPr txBox="1"/>
      </xdr:nvSpPr>
      <xdr:spPr>
        <a:xfrm>
          <a:off x="4412498" y="7479315"/>
          <a:ext cx="1682689" cy="499923"/>
        </a:xfrm>
        <a:prstGeom prst="flowChartProcess">
          <a:avLst/>
        </a:prstGeom>
        <a:solidFill>
          <a:schemeClr val="lt1"/>
        </a:solidFill>
        <a:ln w="12700" cmpd="sng">
          <a:solidFill>
            <a:srgbClr val="FF99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900">
              <a:solidFill>
                <a:sysClr val="windowText" lastClr="000000"/>
              </a:solidFill>
            </a:rPr>
            <a:t>Incident date will auto populate day</a:t>
          </a:r>
          <a:r>
            <a:rPr lang="en-US" sz="900" baseline="0">
              <a:solidFill>
                <a:sysClr val="windowText" lastClr="000000"/>
              </a:solidFill>
            </a:rPr>
            <a:t> of the week.</a:t>
          </a:r>
          <a:endParaRPr lang="en-US" sz="900">
            <a:solidFill>
              <a:sysClr val="windowText" lastClr="000000"/>
            </a:solidFill>
          </a:endParaRPr>
        </a:p>
      </xdr:txBody>
    </xdr:sp>
    <xdr:clientData/>
  </xdr:twoCellAnchor>
  <xdr:twoCellAnchor>
    <xdr:from>
      <xdr:col>15</xdr:col>
      <xdr:colOff>399838</xdr:colOff>
      <xdr:row>35</xdr:row>
      <xdr:rowOff>37993</xdr:rowOff>
    </xdr:from>
    <xdr:to>
      <xdr:col>17</xdr:col>
      <xdr:colOff>354401</xdr:colOff>
      <xdr:row>38</xdr:row>
      <xdr:rowOff>103931</xdr:rowOff>
    </xdr:to>
    <xdr:sp macro="" textlink="">
      <xdr:nvSpPr>
        <xdr:cNvPr id="24" name="TextBox 45">
          <a:extLst>
            <a:ext uri="{FF2B5EF4-FFF2-40B4-BE49-F238E27FC236}">
              <a16:creationId xmlns:a16="http://schemas.microsoft.com/office/drawing/2014/main" id="{7D51EAC6-307A-4F8F-B739-B199AA0F30A2}"/>
            </a:ext>
          </a:extLst>
        </xdr:cNvPr>
        <xdr:cNvSpPr txBox="1"/>
      </xdr:nvSpPr>
      <xdr:spPr>
        <a:xfrm>
          <a:off x="7919500" y="7739399"/>
          <a:ext cx="972330" cy="638432"/>
        </a:xfrm>
        <a:prstGeom prst="flowChartProcess">
          <a:avLst/>
        </a:prstGeom>
        <a:solidFill>
          <a:schemeClr val="lt1"/>
        </a:solidFill>
        <a:ln w="12700" cmpd="sng">
          <a:solidFill>
            <a:srgbClr val="FF99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900">
              <a:solidFill>
                <a:sysClr val="windowText" lastClr="000000"/>
              </a:solidFill>
            </a:rPr>
            <a:t>Hour will</a:t>
          </a:r>
          <a:r>
            <a:rPr lang="en-US" sz="900" baseline="0">
              <a:solidFill>
                <a:sysClr val="windowText" lastClr="000000"/>
              </a:solidFill>
            </a:rPr>
            <a:t> auto populate shift.</a:t>
          </a:r>
          <a:endParaRPr lang="en-US" sz="900">
            <a:solidFill>
              <a:sysClr val="windowText" lastClr="000000"/>
            </a:solidFill>
          </a:endParaRPr>
        </a:p>
      </xdr:txBody>
    </xdr:sp>
    <xdr:clientData/>
  </xdr:twoCellAnchor>
  <xdr:twoCellAnchor>
    <xdr:from>
      <xdr:col>18</xdr:col>
      <xdr:colOff>115440</xdr:colOff>
      <xdr:row>33</xdr:row>
      <xdr:rowOff>9677</xdr:rowOff>
    </xdr:from>
    <xdr:to>
      <xdr:col>19</xdr:col>
      <xdr:colOff>554320</xdr:colOff>
      <xdr:row>35</xdr:row>
      <xdr:rowOff>45254</xdr:rowOff>
    </xdr:to>
    <xdr:sp macro="" textlink="">
      <xdr:nvSpPr>
        <xdr:cNvPr id="25" name="Arrow: Curved Up 24">
          <a:extLst>
            <a:ext uri="{FF2B5EF4-FFF2-40B4-BE49-F238E27FC236}">
              <a16:creationId xmlns:a16="http://schemas.microsoft.com/office/drawing/2014/main" id="{864ECA61-FD37-422F-8F4F-A02EB0022584}"/>
            </a:ext>
            <a:ext uri="{C183D7F6-B498-43B3-948B-1728B52AA6E4}">
              <adec:decorative xmlns:adec="http://schemas.microsoft.com/office/drawing/2017/decorative" val="1"/>
            </a:ext>
          </a:extLst>
        </xdr:cNvPr>
        <xdr:cNvSpPr/>
      </xdr:nvSpPr>
      <xdr:spPr>
        <a:xfrm>
          <a:off x="9011814" y="7329420"/>
          <a:ext cx="756932" cy="417240"/>
        </a:xfrm>
        <a:prstGeom prst="curvedUpArrow">
          <a:avLst>
            <a:gd name="adj1" fmla="val 18649"/>
            <a:gd name="adj2" fmla="val 66408"/>
            <a:gd name="adj3" fmla="val 28598"/>
          </a:avLst>
        </a:prstGeom>
        <a:solidFill>
          <a:srgbClr val="FF99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chemeClr val="tx1"/>
            </a:solidFill>
          </a:endParaRPr>
        </a:p>
      </xdr:txBody>
    </xdr:sp>
    <xdr:clientData/>
  </xdr:twoCellAnchor>
  <xdr:twoCellAnchor>
    <xdr:from>
      <xdr:col>18</xdr:col>
      <xdr:colOff>65501</xdr:colOff>
      <xdr:row>35</xdr:row>
      <xdr:rowOff>32356</xdr:rowOff>
    </xdr:from>
    <xdr:to>
      <xdr:col>20</xdr:col>
      <xdr:colOff>140852</xdr:colOff>
      <xdr:row>38</xdr:row>
      <xdr:rowOff>99123</xdr:rowOff>
    </xdr:to>
    <xdr:sp macro="" textlink="">
      <xdr:nvSpPr>
        <xdr:cNvPr id="26" name="TextBox 49">
          <a:extLst>
            <a:ext uri="{FF2B5EF4-FFF2-40B4-BE49-F238E27FC236}">
              <a16:creationId xmlns:a16="http://schemas.microsoft.com/office/drawing/2014/main" id="{5C052B23-DD7D-4EF2-B16C-970FAF68A5F3}"/>
            </a:ext>
          </a:extLst>
        </xdr:cNvPr>
        <xdr:cNvSpPr txBox="1"/>
      </xdr:nvSpPr>
      <xdr:spPr>
        <a:xfrm>
          <a:off x="8961875" y="7733762"/>
          <a:ext cx="1156728" cy="639261"/>
        </a:xfrm>
        <a:prstGeom prst="flowChartProcess">
          <a:avLst/>
        </a:prstGeom>
        <a:solidFill>
          <a:schemeClr val="lt1"/>
        </a:solidFill>
        <a:ln w="12700" cmpd="sng">
          <a:solidFill>
            <a:srgbClr val="FF99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900">
              <a:solidFill>
                <a:sysClr val="windowText" lastClr="000000"/>
              </a:solidFill>
            </a:rPr>
            <a:t>BIMS Score will auto</a:t>
          </a:r>
          <a:r>
            <a:rPr lang="en-US" sz="900" baseline="0">
              <a:solidFill>
                <a:sysClr val="windowText" lastClr="000000"/>
              </a:solidFill>
            </a:rPr>
            <a:t> populate Cognitive Impairment.</a:t>
          </a:r>
          <a:endParaRPr lang="en-US" sz="900">
            <a:solidFill>
              <a:sysClr val="windowText" lastClr="000000"/>
            </a:solidFill>
          </a:endParaRPr>
        </a:p>
      </xdr:txBody>
    </xdr:sp>
    <xdr:clientData/>
  </xdr:twoCellAnchor>
  <xdr:twoCellAnchor>
    <xdr:from>
      <xdr:col>18</xdr:col>
      <xdr:colOff>13416</xdr:colOff>
      <xdr:row>30</xdr:row>
      <xdr:rowOff>12231</xdr:rowOff>
    </xdr:from>
    <xdr:to>
      <xdr:col>19</xdr:col>
      <xdr:colOff>2576</xdr:colOff>
      <xdr:row>32</xdr:row>
      <xdr:rowOff>245767</xdr:rowOff>
    </xdr:to>
    <xdr:sp macro="" textlink="">
      <xdr:nvSpPr>
        <xdr:cNvPr id="27" name="Rectangle 26">
          <a:extLst>
            <a:ext uri="{FF2B5EF4-FFF2-40B4-BE49-F238E27FC236}">
              <a16:creationId xmlns:a16="http://schemas.microsoft.com/office/drawing/2014/main" id="{5B76B123-43CC-49FE-96DA-AF8CE798B323}"/>
            </a:ext>
            <a:ext uri="{C183D7F6-B498-43B3-948B-1728B52AA6E4}">
              <adec:decorative xmlns:adec="http://schemas.microsoft.com/office/drawing/2017/decorative" val="1"/>
            </a:ext>
          </a:extLst>
        </xdr:cNvPr>
        <xdr:cNvSpPr/>
      </xdr:nvSpPr>
      <xdr:spPr>
        <a:xfrm>
          <a:off x="8585916" y="7318308"/>
          <a:ext cx="399674" cy="727227"/>
        </a:xfrm>
        <a:prstGeom prst="rect">
          <a:avLst/>
        </a:prstGeom>
        <a:noFill/>
        <a:ln w="28575">
          <a:solidFill>
            <a:srgbClr val="FF99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23</xdr:col>
      <xdr:colOff>1470990</xdr:colOff>
      <xdr:row>29</xdr:row>
      <xdr:rowOff>0</xdr:rowOff>
    </xdr:from>
    <xdr:to>
      <xdr:col>27</xdr:col>
      <xdr:colOff>7951</xdr:colOff>
      <xdr:row>30</xdr:row>
      <xdr:rowOff>7951</xdr:rowOff>
    </xdr:to>
    <xdr:sp macro="" textlink="">
      <xdr:nvSpPr>
        <xdr:cNvPr id="29" name="Rectangle 28">
          <a:extLst>
            <a:ext uri="{FF2B5EF4-FFF2-40B4-BE49-F238E27FC236}">
              <a16:creationId xmlns:a16="http://schemas.microsoft.com/office/drawing/2014/main" id="{DBC027E1-BB63-489B-BA56-485628DA0459}"/>
            </a:ext>
            <a:ext uri="{C183D7F6-B498-43B3-948B-1728B52AA6E4}">
              <adec:decorative xmlns:adec="http://schemas.microsoft.com/office/drawing/2017/decorative" val="1"/>
            </a:ext>
          </a:extLst>
        </xdr:cNvPr>
        <xdr:cNvSpPr/>
      </xdr:nvSpPr>
      <xdr:spPr>
        <a:xfrm>
          <a:off x="14352103" y="7116417"/>
          <a:ext cx="2337685" cy="318052"/>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21</xdr:col>
      <xdr:colOff>31197</xdr:colOff>
      <xdr:row>32</xdr:row>
      <xdr:rowOff>219887</xdr:rowOff>
    </xdr:from>
    <xdr:to>
      <xdr:col>21</xdr:col>
      <xdr:colOff>1336902</xdr:colOff>
      <xdr:row>34</xdr:row>
      <xdr:rowOff>178056</xdr:rowOff>
    </xdr:to>
    <xdr:sp macro="" textlink="">
      <xdr:nvSpPr>
        <xdr:cNvPr id="32" name="Right Brace 31">
          <a:extLst>
            <a:ext uri="{FF2B5EF4-FFF2-40B4-BE49-F238E27FC236}">
              <a16:creationId xmlns:a16="http://schemas.microsoft.com/office/drawing/2014/main" id="{B3FCE74B-B1AC-4974-A551-595FCEA76776}"/>
            </a:ext>
            <a:ext uri="{C183D7F6-B498-43B3-948B-1728B52AA6E4}">
              <adec:decorative xmlns:adec="http://schemas.microsoft.com/office/drawing/2017/decorative" val="1"/>
            </a:ext>
          </a:extLst>
        </xdr:cNvPr>
        <xdr:cNvSpPr/>
      </xdr:nvSpPr>
      <xdr:spPr>
        <a:xfrm rot="5400000">
          <a:off x="11563465" y="7566169"/>
          <a:ext cx="396319" cy="1305705"/>
        </a:xfrm>
        <a:prstGeom prst="rightBrace">
          <a:avLst/>
        </a:prstGeom>
        <a:ln w="1270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twoCellAnchor>
    <xdr:from>
      <xdr:col>20</xdr:col>
      <xdr:colOff>1321192</xdr:colOff>
      <xdr:row>35</xdr:row>
      <xdr:rowOff>1648</xdr:rowOff>
    </xdr:from>
    <xdr:to>
      <xdr:col>22</xdr:col>
      <xdr:colOff>18906</xdr:colOff>
      <xdr:row>42</xdr:row>
      <xdr:rowOff>9525</xdr:rowOff>
    </xdr:to>
    <xdr:sp macro="" textlink="">
      <xdr:nvSpPr>
        <xdr:cNvPr id="33" name="TextBox 32">
          <a:extLst>
            <a:ext uri="{FF2B5EF4-FFF2-40B4-BE49-F238E27FC236}">
              <a16:creationId xmlns:a16="http://schemas.microsoft.com/office/drawing/2014/main" id="{990AAE7F-64B4-4794-A94D-A0AAE7D15C2F}"/>
            </a:ext>
          </a:extLst>
        </xdr:cNvPr>
        <xdr:cNvSpPr txBox="1"/>
      </xdr:nvSpPr>
      <xdr:spPr>
        <a:xfrm>
          <a:off x="11017642" y="8431273"/>
          <a:ext cx="1459964" cy="1341377"/>
        </a:xfrm>
        <a:prstGeom prst="rect">
          <a:avLst/>
        </a:prstGeom>
        <a:solidFill>
          <a:schemeClr val="lt1"/>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solidFill>
                <a:sysClr val="windowText" lastClr="000000"/>
              </a:solidFill>
            </a:rPr>
            <a:t>This is free text for more</a:t>
          </a:r>
          <a:r>
            <a:rPr lang="en-US" sz="1100" baseline="0">
              <a:solidFill>
                <a:sysClr val="windowText" lastClr="000000"/>
              </a:solidFill>
            </a:rPr>
            <a:t> detailed information on resident fall.  This information is not integrated in graphs.</a:t>
          </a:r>
          <a:endParaRPr lang="en-US" sz="1100">
            <a:solidFill>
              <a:sysClr val="windowText" lastClr="000000"/>
            </a:solidFill>
          </a:endParaRPr>
        </a:p>
      </xdr:txBody>
    </xdr:sp>
    <xdr:clientData/>
  </xdr:twoCellAnchor>
  <xdr:twoCellAnchor>
    <xdr:from>
      <xdr:col>1</xdr:col>
      <xdr:colOff>790575</xdr:colOff>
      <xdr:row>55</xdr:row>
      <xdr:rowOff>171450</xdr:rowOff>
    </xdr:from>
    <xdr:to>
      <xdr:col>17</xdr:col>
      <xdr:colOff>180975</xdr:colOff>
      <xdr:row>56</xdr:row>
      <xdr:rowOff>161925</xdr:rowOff>
    </xdr:to>
    <xdr:sp macro="" textlink="">
      <xdr:nvSpPr>
        <xdr:cNvPr id="34" name="Rectangle 33">
          <a:extLst>
            <a:ext uri="{FF2B5EF4-FFF2-40B4-BE49-F238E27FC236}">
              <a16:creationId xmlns:a16="http://schemas.microsoft.com/office/drawing/2014/main" id="{8808630B-B28D-4653-B2D6-AD3D22BF1B4D}"/>
            </a:ext>
            <a:ext uri="{C183D7F6-B498-43B3-948B-1728B52AA6E4}">
              <adec:decorative xmlns:adec="http://schemas.microsoft.com/office/drawing/2017/decorative" val="1"/>
            </a:ext>
          </a:extLst>
        </xdr:cNvPr>
        <xdr:cNvSpPr/>
      </xdr:nvSpPr>
      <xdr:spPr>
        <a:xfrm>
          <a:off x="885825" y="12411075"/>
          <a:ext cx="7534275" cy="180975"/>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809625</xdr:colOff>
      <xdr:row>51</xdr:row>
      <xdr:rowOff>94423</xdr:rowOff>
    </xdr:from>
    <xdr:to>
      <xdr:col>17</xdr:col>
      <xdr:colOff>164521</xdr:colOff>
      <xdr:row>52</xdr:row>
      <xdr:rowOff>82262</xdr:rowOff>
    </xdr:to>
    <xdr:sp macro="" textlink="">
      <xdr:nvSpPr>
        <xdr:cNvPr id="35" name="Rectangle 34">
          <a:extLst>
            <a:ext uri="{FF2B5EF4-FFF2-40B4-BE49-F238E27FC236}">
              <a16:creationId xmlns:a16="http://schemas.microsoft.com/office/drawing/2014/main" id="{FD140EFA-17BC-4D90-83D0-74473EB0BED9}"/>
            </a:ext>
            <a:ext uri="{C183D7F6-B498-43B3-948B-1728B52AA6E4}">
              <adec:decorative xmlns:adec="http://schemas.microsoft.com/office/drawing/2017/decorative" val="1"/>
            </a:ext>
          </a:extLst>
        </xdr:cNvPr>
        <xdr:cNvSpPr/>
      </xdr:nvSpPr>
      <xdr:spPr>
        <a:xfrm>
          <a:off x="904875" y="11559059"/>
          <a:ext cx="7503101" cy="178339"/>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239572</xdr:colOff>
      <xdr:row>51</xdr:row>
      <xdr:rowOff>158755</xdr:rowOff>
    </xdr:from>
    <xdr:to>
      <xdr:col>20</xdr:col>
      <xdr:colOff>659958</xdr:colOff>
      <xdr:row>56</xdr:row>
      <xdr:rowOff>111983</xdr:rowOff>
    </xdr:to>
    <xdr:sp macro="" textlink="">
      <xdr:nvSpPr>
        <xdr:cNvPr id="37" name="TextBox 36">
          <a:extLst>
            <a:ext uri="{FF2B5EF4-FFF2-40B4-BE49-F238E27FC236}">
              <a16:creationId xmlns:a16="http://schemas.microsoft.com/office/drawing/2014/main" id="{20F173B0-82FB-43EF-A045-F192470B28CE}"/>
            </a:ext>
          </a:extLst>
        </xdr:cNvPr>
        <xdr:cNvSpPr txBox="1"/>
      </xdr:nvSpPr>
      <xdr:spPr>
        <a:xfrm>
          <a:off x="9439231" y="11632487"/>
          <a:ext cx="1621033" cy="907385"/>
        </a:xfrm>
        <a:prstGeom prst="rect">
          <a:avLst/>
        </a:prstGeom>
        <a:solidFill>
          <a:schemeClr val="lt1"/>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a:solidFill>
                <a:sysClr val="windowText" lastClr="000000"/>
              </a:solidFill>
            </a:rPr>
            <a:t>Facility Fall</a:t>
          </a:r>
          <a:r>
            <a:rPr lang="en-US" sz="1100" baseline="0">
              <a:solidFill>
                <a:sysClr val="windowText" lastClr="000000"/>
              </a:solidFill>
            </a:rPr>
            <a:t> goals can be entered here for each month and will populate graphs.</a:t>
          </a:r>
          <a:endParaRPr lang="en-US" sz="1100">
            <a:solidFill>
              <a:sysClr val="windowText" lastClr="000000"/>
            </a:solidFill>
          </a:endParaRPr>
        </a:p>
      </xdr:txBody>
    </xdr:sp>
    <xdr:clientData/>
  </xdr:twoCellAnchor>
  <xdr:twoCellAnchor>
    <xdr:from>
      <xdr:col>2</xdr:col>
      <xdr:colOff>13754</xdr:colOff>
      <xdr:row>61</xdr:row>
      <xdr:rowOff>194591</xdr:rowOff>
    </xdr:from>
    <xdr:to>
      <xdr:col>3</xdr:col>
      <xdr:colOff>891928</xdr:colOff>
      <xdr:row>89</xdr:row>
      <xdr:rowOff>195551</xdr:rowOff>
    </xdr:to>
    <xdr:sp macro="" textlink="">
      <xdr:nvSpPr>
        <xdr:cNvPr id="38" name="Rectangle 37">
          <a:extLst>
            <a:ext uri="{FF2B5EF4-FFF2-40B4-BE49-F238E27FC236}">
              <a16:creationId xmlns:a16="http://schemas.microsoft.com/office/drawing/2014/main" id="{920FF014-6DB2-4741-856B-B31825075D63}"/>
            </a:ext>
            <a:ext uri="{C183D7F6-B498-43B3-948B-1728B52AA6E4}">
              <adec:decorative xmlns:adec="http://schemas.microsoft.com/office/drawing/2017/decorative" val="1"/>
            </a:ext>
          </a:extLst>
        </xdr:cNvPr>
        <xdr:cNvSpPr/>
      </xdr:nvSpPr>
      <xdr:spPr>
        <a:xfrm>
          <a:off x="857284" y="13034219"/>
          <a:ext cx="1023372" cy="5428589"/>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12225</xdr:colOff>
      <xdr:row>92</xdr:row>
      <xdr:rowOff>20049</xdr:rowOff>
    </xdr:from>
    <xdr:to>
      <xdr:col>7</xdr:col>
      <xdr:colOff>16451</xdr:colOff>
      <xdr:row>92</xdr:row>
      <xdr:rowOff>180961</xdr:rowOff>
    </xdr:to>
    <xdr:sp macro="" textlink="">
      <xdr:nvSpPr>
        <xdr:cNvPr id="39" name="Rectangle 38">
          <a:extLst>
            <a:ext uri="{FF2B5EF4-FFF2-40B4-BE49-F238E27FC236}">
              <a16:creationId xmlns:a16="http://schemas.microsoft.com/office/drawing/2014/main" id="{1F744DE7-AAC6-4227-AA60-C753C3B4930D}"/>
            </a:ext>
            <a:ext uri="{C183D7F6-B498-43B3-948B-1728B52AA6E4}">
              <adec:decorative xmlns:adec="http://schemas.microsoft.com/office/drawing/2017/decorative" val="1"/>
            </a:ext>
          </a:extLst>
        </xdr:cNvPr>
        <xdr:cNvSpPr/>
      </xdr:nvSpPr>
      <xdr:spPr>
        <a:xfrm>
          <a:off x="2993964" y="18363708"/>
          <a:ext cx="640330" cy="160912"/>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30399</xdr:colOff>
      <xdr:row>85</xdr:row>
      <xdr:rowOff>147529</xdr:rowOff>
    </xdr:from>
    <xdr:to>
      <xdr:col>10</xdr:col>
      <xdr:colOff>331367</xdr:colOff>
      <xdr:row>89</xdr:row>
      <xdr:rowOff>168298</xdr:rowOff>
    </xdr:to>
    <xdr:sp macro="" textlink="">
      <xdr:nvSpPr>
        <xdr:cNvPr id="40" name="TextBox 39">
          <a:extLst>
            <a:ext uri="{FF2B5EF4-FFF2-40B4-BE49-F238E27FC236}">
              <a16:creationId xmlns:a16="http://schemas.microsoft.com/office/drawing/2014/main" id="{894AEC4C-6A22-4A26-8721-71D2CFAB51D2}"/>
            </a:ext>
          </a:extLst>
        </xdr:cNvPr>
        <xdr:cNvSpPr txBox="1"/>
      </xdr:nvSpPr>
      <xdr:spPr>
        <a:xfrm>
          <a:off x="3648242" y="17147418"/>
          <a:ext cx="2328551" cy="784094"/>
        </a:xfrm>
        <a:prstGeom prst="rect">
          <a:avLst/>
        </a:prstGeom>
        <a:solidFill>
          <a:schemeClr val="lt1"/>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solidFill>
                <a:sysClr val="windowText" lastClr="000000"/>
              </a:solidFill>
            </a:rPr>
            <a:t>Census numbers can be entered per day</a:t>
          </a:r>
          <a:r>
            <a:rPr lang="en-US" sz="1100" baseline="0">
              <a:solidFill>
                <a:sysClr val="windowText" lastClr="000000"/>
              </a:solidFill>
            </a:rPr>
            <a:t> or consolidated.</a:t>
          </a:r>
          <a:endParaRPr lang="en-US" sz="1100">
            <a:solidFill>
              <a:sysClr val="windowText" lastClr="000000"/>
            </a:solidFill>
          </a:endParaRPr>
        </a:p>
      </xdr:txBody>
    </xdr:sp>
    <xdr:clientData/>
  </xdr:twoCellAnchor>
  <xdr:twoCellAnchor>
    <xdr:from>
      <xdr:col>6</xdr:col>
      <xdr:colOff>253235</xdr:colOff>
      <xdr:row>92</xdr:row>
      <xdr:rowOff>198567</xdr:rowOff>
    </xdr:from>
    <xdr:to>
      <xdr:col>9</xdr:col>
      <xdr:colOff>228170</xdr:colOff>
      <xdr:row>95</xdr:row>
      <xdr:rowOff>193597</xdr:rowOff>
    </xdr:to>
    <xdr:sp macro="" textlink="">
      <xdr:nvSpPr>
        <xdr:cNvPr id="43" name="Arrow: Curved Up 42">
          <a:extLst>
            <a:ext uri="{FF2B5EF4-FFF2-40B4-BE49-F238E27FC236}">
              <a16:creationId xmlns:a16="http://schemas.microsoft.com/office/drawing/2014/main" id="{E87FE489-0B62-4836-87EB-3101C2FC2568}"/>
            </a:ext>
            <a:ext uri="{C183D7F6-B498-43B3-948B-1728B52AA6E4}">
              <adec:decorative xmlns:adec="http://schemas.microsoft.com/office/drawing/2017/decorative" val="1"/>
            </a:ext>
          </a:extLst>
        </xdr:cNvPr>
        <xdr:cNvSpPr/>
      </xdr:nvSpPr>
      <xdr:spPr>
        <a:xfrm>
          <a:off x="3122618" y="19053530"/>
          <a:ext cx="1724222" cy="582735"/>
        </a:xfrm>
        <a:prstGeom prst="curvedUpArrow">
          <a:avLst>
            <a:gd name="adj1" fmla="val 31848"/>
            <a:gd name="adj2" fmla="val 50000"/>
            <a:gd name="adj3" fmla="val 0"/>
          </a:avLst>
        </a:prstGeom>
        <a:solidFill>
          <a:srgbClr val="FF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chemeClr val="tx1"/>
            </a:solidFill>
          </a:endParaRPr>
        </a:p>
      </xdr:txBody>
    </xdr:sp>
    <xdr:clientData/>
  </xdr:twoCellAnchor>
  <xdr:twoCellAnchor>
    <xdr:from>
      <xdr:col>3</xdr:col>
      <xdr:colOff>254702</xdr:colOff>
      <xdr:row>89</xdr:row>
      <xdr:rowOff>190487</xdr:rowOff>
    </xdr:from>
    <xdr:to>
      <xdr:col>9</xdr:col>
      <xdr:colOff>601534</xdr:colOff>
      <xdr:row>98</xdr:row>
      <xdr:rowOff>108078</xdr:rowOff>
    </xdr:to>
    <xdr:sp macro="" textlink="">
      <xdr:nvSpPr>
        <xdr:cNvPr id="44" name="Arrow: Curved Up 43">
          <a:extLst>
            <a:ext uri="{FF2B5EF4-FFF2-40B4-BE49-F238E27FC236}">
              <a16:creationId xmlns:a16="http://schemas.microsoft.com/office/drawing/2014/main" id="{8185003B-FE54-42F4-9155-F3922FE108AF}"/>
            </a:ext>
            <a:ext uri="{C183D7F6-B498-43B3-948B-1728B52AA6E4}">
              <adec:decorative xmlns:adec="http://schemas.microsoft.com/office/drawing/2017/decorative" val="1"/>
            </a:ext>
          </a:extLst>
        </xdr:cNvPr>
        <xdr:cNvSpPr/>
      </xdr:nvSpPr>
      <xdr:spPr>
        <a:xfrm>
          <a:off x="1243430" y="18457744"/>
          <a:ext cx="3976774" cy="1680707"/>
        </a:xfrm>
        <a:prstGeom prst="curvedUpArrow">
          <a:avLst>
            <a:gd name="adj1" fmla="val 15027"/>
            <a:gd name="adj2" fmla="val 43283"/>
            <a:gd name="adj3" fmla="val 23260"/>
          </a:avLst>
        </a:prstGeom>
        <a:solidFill>
          <a:srgbClr val="FF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chemeClr val="tx1"/>
            </a:solidFill>
          </a:endParaRPr>
        </a:p>
      </xdr:txBody>
    </xdr:sp>
    <xdr:clientData/>
  </xdr:twoCellAnchor>
  <xdr:twoCellAnchor>
    <xdr:from>
      <xdr:col>7</xdr:col>
      <xdr:colOff>83300</xdr:colOff>
      <xdr:row>4</xdr:row>
      <xdr:rowOff>138579</xdr:rowOff>
    </xdr:from>
    <xdr:to>
      <xdr:col>8</xdr:col>
      <xdr:colOff>480488</xdr:colOff>
      <xdr:row>6</xdr:row>
      <xdr:rowOff>60165</xdr:rowOff>
    </xdr:to>
    <xdr:sp macro="" textlink="">
      <xdr:nvSpPr>
        <xdr:cNvPr id="45" name="Arrow: Left 44" descr="Red arrow pointing left.">
          <a:extLst>
            <a:ext uri="{FF2B5EF4-FFF2-40B4-BE49-F238E27FC236}">
              <a16:creationId xmlns:a16="http://schemas.microsoft.com/office/drawing/2014/main" id="{250755B5-1121-4E74-8666-C8ABD200016F}"/>
            </a:ext>
          </a:extLst>
        </xdr:cNvPr>
        <xdr:cNvSpPr/>
      </xdr:nvSpPr>
      <xdr:spPr>
        <a:xfrm>
          <a:off x="3954449" y="674724"/>
          <a:ext cx="574389" cy="421382"/>
        </a:xfrm>
        <a:prstGeom prst="leftArrow">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19</xdr:col>
      <xdr:colOff>779228</xdr:colOff>
      <xdr:row>26</xdr:row>
      <xdr:rowOff>7952</xdr:rowOff>
    </xdr:from>
    <xdr:to>
      <xdr:col>19</xdr:col>
      <xdr:colOff>1455088</xdr:colOff>
      <xdr:row>31</xdr:row>
      <xdr:rowOff>39758</xdr:rowOff>
    </xdr:to>
    <xdr:sp macro="" textlink="">
      <xdr:nvSpPr>
        <xdr:cNvPr id="17" name="Arrow: Curved Right 16">
          <a:extLst>
            <a:ext uri="{FF2B5EF4-FFF2-40B4-BE49-F238E27FC236}">
              <a16:creationId xmlns:a16="http://schemas.microsoft.com/office/drawing/2014/main" id="{3F137471-2F4F-4B59-A7B1-E0E9FCB87915}"/>
            </a:ext>
            <a:ext uri="{C183D7F6-B498-43B3-948B-1728B52AA6E4}">
              <adec:decorative xmlns:adec="http://schemas.microsoft.com/office/drawing/2017/decorative" val="1"/>
            </a:ext>
          </a:extLst>
        </xdr:cNvPr>
        <xdr:cNvSpPr/>
      </xdr:nvSpPr>
      <xdr:spPr>
        <a:xfrm>
          <a:off x="10050449" y="6543924"/>
          <a:ext cx="675860" cy="1168843"/>
        </a:xfrm>
        <a:prstGeom prst="curvedRightArrow">
          <a:avLst>
            <a:gd name="adj1" fmla="val 16151"/>
            <a:gd name="adj2" fmla="val 45617"/>
            <a:gd name="adj3" fmla="val 26087"/>
          </a:avLst>
        </a:prstGeom>
        <a:solidFill>
          <a:srgbClr val="FF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chemeClr val="tx1"/>
            </a:solidFill>
          </a:endParaRPr>
        </a:p>
      </xdr:txBody>
    </xdr:sp>
    <xdr:clientData/>
  </xdr:twoCellAnchor>
  <xdr:twoCellAnchor>
    <xdr:from>
      <xdr:col>8</xdr:col>
      <xdr:colOff>5186</xdr:colOff>
      <xdr:row>10</xdr:row>
      <xdr:rowOff>363489</xdr:rowOff>
    </xdr:from>
    <xdr:to>
      <xdr:col>12</xdr:col>
      <xdr:colOff>20743</xdr:colOff>
      <xdr:row>22</xdr:row>
      <xdr:rowOff>1136</xdr:rowOff>
    </xdr:to>
    <xdr:sp macro="" textlink="">
      <xdr:nvSpPr>
        <xdr:cNvPr id="46" name="Rectangle 45">
          <a:extLst>
            <a:ext uri="{FF2B5EF4-FFF2-40B4-BE49-F238E27FC236}">
              <a16:creationId xmlns:a16="http://schemas.microsoft.com/office/drawing/2014/main" id="{EEB829C2-1049-40B1-AC35-E647C5AE6C4D}"/>
            </a:ext>
            <a:ext uri="{C183D7F6-B498-43B3-948B-1728B52AA6E4}">
              <adec:decorative xmlns:adec="http://schemas.microsoft.com/office/drawing/2017/decorative" val="1"/>
            </a:ext>
          </a:extLst>
        </xdr:cNvPr>
        <xdr:cNvSpPr/>
      </xdr:nvSpPr>
      <xdr:spPr>
        <a:xfrm>
          <a:off x="4053536" y="2212735"/>
          <a:ext cx="2296445" cy="2718210"/>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92388</xdr:colOff>
      <xdr:row>6</xdr:row>
      <xdr:rowOff>113590</xdr:rowOff>
    </xdr:from>
    <xdr:to>
      <xdr:col>8</xdr:col>
      <xdr:colOff>489576</xdr:colOff>
      <xdr:row>8</xdr:row>
      <xdr:rowOff>103329</xdr:rowOff>
    </xdr:to>
    <xdr:sp macro="" textlink="">
      <xdr:nvSpPr>
        <xdr:cNvPr id="2" name="Arrow: Left 1" descr="Red arrow pointing left.">
          <a:extLst>
            <a:ext uri="{FF2B5EF4-FFF2-40B4-BE49-F238E27FC236}">
              <a16:creationId xmlns:a16="http://schemas.microsoft.com/office/drawing/2014/main" id="{25ECF716-D02C-46BB-9DCB-EBE07556F124}"/>
            </a:ext>
          </a:extLst>
        </xdr:cNvPr>
        <xdr:cNvSpPr/>
      </xdr:nvSpPr>
      <xdr:spPr>
        <a:xfrm>
          <a:off x="3963537" y="1149531"/>
          <a:ext cx="574389" cy="421381"/>
        </a:xfrm>
        <a:prstGeom prst="leftArrow">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752720</xdr:colOff>
      <xdr:row>24</xdr:row>
      <xdr:rowOff>154119</xdr:rowOff>
    </xdr:from>
    <xdr:to>
      <xdr:col>21</xdr:col>
      <xdr:colOff>151</xdr:colOff>
      <xdr:row>31</xdr:row>
      <xdr:rowOff>121592</xdr:rowOff>
    </xdr:to>
    <xdr:sp macro="" textlink="">
      <xdr:nvSpPr>
        <xdr:cNvPr id="5" name="Arrow: Curved Right 4">
          <a:extLst>
            <a:ext uri="{FF2B5EF4-FFF2-40B4-BE49-F238E27FC236}">
              <a16:creationId xmlns:a16="http://schemas.microsoft.com/office/drawing/2014/main" id="{E320F842-9FB2-40DB-8C9B-0C7645869966}"/>
            </a:ext>
            <a:ext uri="{C183D7F6-B498-43B3-948B-1728B52AA6E4}">
              <adec:decorative xmlns:adec="http://schemas.microsoft.com/office/drawing/2017/decorative" val="1"/>
            </a:ext>
          </a:extLst>
        </xdr:cNvPr>
        <xdr:cNvSpPr/>
      </xdr:nvSpPr>
      <xdr:spPr>
        <a:xfrm rot="21193833">
          <a:off x="10153895" y="6192969"/>
          <a:ext cx="628556" cy="1481948"/>
        </a:xfrm>
        <a:prstGeom prst="curvedRightArrow">
          <a:avLst>
            <a:gd name="adj1" fmla="val 17502"/>
            <a:gd name="adj2" fmla="val 53590"/>
            <a:gd name="adj3" fmla="val 27527"/>
          </a:avLst>
        </a:prstGeom>
        <a:solidFill>
          <a:srgbClr val="FF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chemeClr val="tx1"/>
            </a:solidFill>
          </a:endParaRPr>
        </a:p>
      </xdr:txBody>
    </xdr:sp>
    <xdr:clientData/>
  </xdr:twoCellAnchor>
  <xdr:twoCellAnchor>
    <xdr:from>
      <xdr:col>20</xdr:col>
      <xdr:colOff>1170883</xdr:colOff>
      <xdr:row>21</xdr:row>
      <xdr:rowOff>159028</xdr:rowOff>
    </xdr:from>
    <xdr:to>
      <xdr:col>23</xdr:col>
      <xdr:colOff>266700</xdr:colOff>
      <xdr:row>28</xdr:row>
      <xdr:rowOff>95273</xdr:rowOff>
    </xdr:to>
    <xdr:sp macro="" textlink="">
      <xdr:nvSpPr>
        <xdr:cNvPr id="42" name="TextBox 41">
          <a:extLst>
            <a:ext uri="{FF2B5EF4-FFF2-40B4-BE49-F238E27FC236}">
              <a16:creationId xmlns:a16="http://schemas.microsoft.com/office/drawing/2014/main" id="{5E25CEDF-9952-4E85-A84E-798DAD718E47}"/>
            </a:ext>
          </a:extLst>
        </xdr:cNvPr>
        <xdr:cNvSpPr txBox="1"/>
      </xdr:nvSpPr>
      <xdr:spPr>
        <a:xfrm>
          <a:off x="10572058" y="5569228"/>
          <a:ext cx="2505767" cy="1326895"/>
        </a:xfrm>
        <a:prstGeom prst="ellipse">
          <a:avLst/>
        </a:prstGeom>
        <a:solidFill>
          <a:schemeClr val="lt1"/>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solidFill>
                <a:sysClr val="windowText" lastClr="000000"/>
              </a:solidFill>
            </a:rPr>
            <a:t>Any fields left blank will turn red once</a:t>
          </a:r>
          <a:r>
            <a:rPr lang="en-US" sz="1100" baseline="0">
              <a:solidFill>
                <a:sysClr val="windowText" lastClr="000000"/>
              </a:solidFill>
            </a:rPr>
            <a:t> a resident name is entered into the "Resident Name" column.</a:t>
          </a:r>
          <a:endParaRPr lang="en-US" sz="1100">
            <a:solidFill>
              <a:sysClr val="windowText" lastClr="000000"/>
            </a:solidFill>
          </a:endParaRPr>
        </a:p>
      </xdr:txBody>
    </xdr:sp>
    <xdr:clientData/>
  </xdr:twoCellAnchor>
  <xdr:twoCellAnchor>
    <xdr:from>
      <xdr:col>5</xdr:col>
      <xdr:colOff>1439</xdr:colOff>
      <xdr:row>30</xdr:row>
      <xdr:rowOff>1613</xdr:rowOff>
    </xdr:from>
    <xdr:to>
      <xdr:col>5</xdr:col>
      <xdr:colOff>1090465</xdr:colOff>
      <xdr:row>32</xdr:row>
      <xdr:rowOff>242704</xdr:rowOff>
    </xdr:to>
    <xdr:sp macro="" textlink="">
      <xdr:nvSpPr>
        <xdr:cNvPr id="7" name="Rectangle 6">
          <a:extLst>
            <a:ext uri="{FF2B5EF4-FFF2-40B4-BE49-F238E27FC236}">
              <a16:creationId xmlns:a16="http://schemas.microsoft.com/office/drawing/2014/main" id="{C8A20764-74B9-4FA3-B3C5-885EF96DD55B}"/>
            </a:ext>
            <a:ext uri="{C183D7F6-B498-43B3-948B-1728B52AA6E4}">
              <adec:decorative xmlns:adec="http://schemas.microsoft.com/office/drawing/2017/decorative" val="1"/>
            </a:ext>
          </a:extLst>
        </xdr:cNvPr>
        <xdr:cNvSpPr/>
      </xdr:nvSpPr>
      <xdr:spPr>
        <a:xfrm>
          <a:off x="2863909" y="6669350"/>
          <a:ext cx="1089026" cy="740887"/>
        </a:xfrm>
        <a:prstGeom prst="rect">
          <a:avLst/>
        </a:prstGeom>
        <a:noFill/>
        <a:ln w="28575">
          <a:solidFill>
            <a:srgbClr val="FF99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16</xdr:col>
      <xdr:colOff>13417</xdr:colOff>
      <xdr:row>30</xdr:row>
      <xdr:rowOff>12874</xdr:rowOff>
    </xdr:from>
    <xdr:to>
      <xdr:col>17</xdr:col>
      <xdr:colOff>8049</xdr:colOff>
      <xdr:row>33</xdr:row>
      <xdr:rowOff>0</xdr:rowOff>
    </xdr:to>
    <xdr:sp macro="" textlink="">
      <xdr:nvSpPr>
        <xdr:cNvPr id="47" name="Rectangle 46">
          <a:extLst>
            <a:ext uri="{FF2B5EF4-FFF2-40B4-BE49-F238E27FC236}">
              <a16:creationId xmlns:a16="http://schemas.microsoft.com/office/drawing/2014/main" id="{5D841D82-AEA0-45D8-9D1E-885BE49C8635}"/>
            </a:ext>
            <a:ext uri="{C183D7F6-B498-43B3-948B-1728B52AA6E4}">
              <adec:decorative xmlns:adec="http://schemas.microsoft.com/office/drawing/2017/decorative" val="1"/>
            </a:ext>
          </a:extLst>
        </xdr:cNvPr>
        <xdr:cNvSpPr/>
      </xdr:nvSpPr>
      <xdr:spPr>
        <a:xfrm>
          <a:off x="7692445" y="7318951"/>
          <a:ext cx="555400" cy="727662"/>
        </a:xfrm>
        <a:prstGeom prst="rect">
          <a:avLst/>
        </a:prstGeom>
        <a:noFill/>
        <a:ln w="28575">
          <a:solidFill>
            <a:srgbClr val="FF99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15</xdr:col>
      <xdr:colOff>15069</xdr:colOff>
      <xdr:row>30</xdr:row>
      <xdr:rowOff>13415</xdr:rowOff>
    </xdr:from>
    <xdr:to>
      <xdr:col>16</xdr:col>
      <xdr:colOff>13416</xdr:colOff>
      <xdr:row>32</xdr:row>
      <xdr:rowOff>245353</xdr:rowOff>
    </xdr:to>
    <xdr:sp macro="" textlink="">
      <xdr:nvSpPr>
        <xdr:cNvPr id="48" name="Rectangle 47">
          <a:extLst>
            <a:ext uri="{FF2B5EF4-FFF2-40B4-BE49-F238E27FC236}">
              <a16:creationId xmlns:a16="http://schemas.microsoft.com/office/drawing/2014/main" id="{C24ECAFE-517C-4554-870C-387C3C613E7A}"/>
            </a:ext>
            <a:ext uri="{C183D7F6-B498-43B3-948B-1728B52AA6E4}">
              <adec:decorative xmlns:adec="http://schemas.microsoft.com/office/drawing/2017/decorative" val="1"/>
            </a:ext>
          </a:extLst>
        </xdr:cNvPr>
        <xdr:cNvSpPr/>
      </xdr:nvSpPr>
      <xdr:spPr>
        <a:xfrm>
          <a:off x="7313097" y="7319492"/>
          <a:ext cx="379347" cy="725629"/>
        </a:xfrm>
        <a:prstGeom prst="rect">
          <a:avLst/>
        </a:prstGeom>
        <a:noFill/>
        <a:ln w="28575">
          <a:solidFill>
            <a:srgbClr val="FF99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23</xdr:col>
      <xdr:colOff>802045</xdr:colOff>
      <xdr:row>25</xdr:row>
      <xdr:rowOff>124454</xdr:rowOff>
    </xdr:from>
    <xdr:to>
      <xdr:col>23</xdr:col>
      <xdr:colOff>1430601</xdr:colOff>
      <xdr:row>30</xdr:row>
      <xdr:rowOff>15871</xdr:rowOff>
    </xdr:to>
    <xdr:sp macro="" textlink="">
      <xdr:nvSpPr>
        <xdr:cNvPr id="50" name="Arrow: Curved Right 49">
          <a:extLst>
            <a:ext uri="{FF2B5EF4-FFF2-40B4-BE49-F238E27FC236}">
              <a16:creationId xmlns:a16="http://schemas.microsoft.com/office/drawing/2014/main" id="{D0A36760-21F4-4E62-B976-57EE8D8F13D1}"/>
            </a:ext>
            <a:ext uri="{C183D7F6-B498-43B3-948B-1728B52AA6E4}">
              <adec:decorative xmlns:adec="http://schemas.microsoft.com/office/drawing/2017/decorative" val="1"/>
            </a:ext>
          </a:extLst>
        </xdr:cNvPr>
        <xdr:cNvSpPr/>
      </xdr:nvSpPr>
      <xdr:spPr>
        <a:xfrm>
          <a:off x="14429889" y="5690367"/>
          <a:ext cx="628556" cy="983857"/>
        </a:xfrm>
        <a:prstGeom prst="curvedRightArrow">
          <a:avLst>
            <a:gd name="adj1" fmla="val 17502"/>
            <a:gd name="adj2" fmla="val 53590"/>
            <a:gd name="adj3" fmla="val 27527"/>
          </a:avLst>
        </a:prstGeom>
        <a:solidFill>
          <a:srgbClr val="FF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chemeClr val="tx1"/>
            </a:solidFill>
          </a:endParaRPr>
        </a:p>
      </xdr:txBody>
    </xdr:sp>
    <xdr:clientData/>
  </xdr:twoCellAnchor>
  <xdr:twoCellAnchor>
    <xdr:from>
      <xdr:col>23</xdr:col>
      <xdr:colOff>1403275</xdr:colOff>
      <xdr:row>23</xdr:row>
      <xdr:rowOff>87687</xdr:rowOff>
    </xdr:from>
    <xdr:to>
      <xdr:col>26</xdr:col>
      <xdr:colOff>172855</xdr:colOff>
      <xdr:row>28</xdr:row>
      <xdr:rowOff>41423</xdr:rowOff>
    </xdr:to>
    <xdr:sp macro="" textlink="">
      <xdr:nvSpPr>
        <xdr:cNvPr id="31" name="TextBox 55">
          <a:extLst>
            <a:ext uri="{FF2B5EF4-FFF2-40B4-BE49-F238E27FC236}">
              <a16:creationId xmlns:a16="http://schemas.microsoft.com/office/drawing/2014/main" id="{B01846EA-E034-4E65-A749-9B4DDE23AEC0}"/>
            </a:ext>
          </a:extLst>
        </xdr:cNvPr>
        <xdr:cNvSpPr txBox="1"/>
      </xdr:nvSpPr>
      <xdr:spPr>
        <a:xfrm>
          <a:off x="15031119" y="5266406"/>
          <a:ext cx="1804904" cy="921721"/>
        </a:xfrm>
        <a:prstGeom prst="ellipse">
          <a:avLst/>
        </a:prstGeom>
        <a:solidFill>
          <a:schemeClr val="lt1"/>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solidFill>
                <a:sysClr val="windowText" lastClr="000000"/>
              </a:solidFill>
            </a:rPr>
            <a:t>These</a:t>
          </a:r>
          <a:r>
            <a:rPr lang="en-US" sz="1100" baseline="0">
              <a:solidFill>
                <a:sysClr val="windowText" lastClr="000000"/>
              </a:solidFill>
            </a:rPr>
            <a:t> are the only column headers can be edited.</a:t>
          </a:r>
          <a:endParaRPr lang="en-US" sz="1100">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159</xdr:colOff>
      <xdr:row>91</xdr:row>
      <xdr:rowOff>185727</xdr:rowOff>
    </xdr:from>
    <xdr:to>
      <xdr:col>17</xdr:col>
      <xdr:colOff>469849</xdr:colOff>
      <xdr:row>106</xdr:row>
      <xdr:rowOff>0</xdr:rowOff>
    </xdr:to>
    <xdr:graphicFrame macro="">
      <xdr:nvGraphicFramePr>
        <xdr:cNvPr id="2" name="Chart 1" descr="January location of falls graph.">
          <a:extLst>
            <a:ext uri="{FF2B5EF4-FFF2-40B4-BE49-F238E27FC236}">
              <a16:creationId xmlns:a16="http://schemas.microsoft.com/office/drawing/2014/main" id="{08012A9D-F829-4C71-BCD5-6494D59A3E7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7228</xdr:colOff>
      <xdr:row>122</xdr:row>
      <xdr:rowOff>9542</xdr:rowOff>
    </xdr:from>
    <xdr:to>
      <xdr:col>14</xdr:col>
      <xdr:colOff>761156</xdr:colOff>
      <xdr:row>131</xdr:row>
      <xdr:rowOff>190830</xdr:rowOff>
    </xdr:to>
    <xdr:graphicFrame macro="">
      <xdr:nvGraphicFramePr>
        <xdr:cNvPr id="3" name="Chart 2" descr="January falls by day of the week graph.">
          <a:extLst>
            <a:ext uri="{FF2B5EF4-FFF2-40B4-BE49-F238E27FC236}">
              <a16:creationId xmlns:a16="http://schemas.microsoft.com/office/drawing/2014/main" id="{EF924412-C747-41C1-8F0E-600EE8CF04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0</xdr:colOff>
      <xdr:row>106</xdr:row>
      <xdr:rowOff>198782</xdr:rowOff>
    </xdr:from>
    <xdr:to>
      <xdr:col>15</xdr:col>
      <xdr:colOff>731520</xdr:colOff>
      <xdr:row>120</xdr:row>
      <xdr:rowOff>190831</xdr:rowOff>
    </xdr:to>
    <xdr:graphicFrame macro="">
      <xdr:nvGraphicFramePr>
        <xdr:cNvPr id="4" name="Chart 3" descr="January falls by nursing station graph.">
          <a:extLst>
            <a:ext uri="{FF2B5EF4-FFF2-40B4-BE49-F238E27FC236}">
              <a16:creationId xmlns:a16="http://schemas.microsoft.com/office/drawing/2014/main" id="{B78B9D8B-B3F0-4F0E-B6CE-C552348D27F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2910</xdr:colOff>
      <xdr:row>57</xdr:row>
      <xdr:rowOff>757</xdr:rowOff>
    </xdr:from>
    <xdr:to>
      <xdr:col>15</xdr:col>
      <xdr:colOff>1196809</xdr:colOff>
      <xdr:row>63</xdr:row>
      <xdr:rowOff>54433</xdr:rowOff>
    </xdr:to>
    <xdr:graphicFrame macro="">
      <xdr:nvGraphicFramePr>
        <xdr:cNvPr id="5" name="Chart 4" descr="January falls by BIMS score.">
          <a:extLst>
            <a:ext uri="{FF2B5EF4-FFF2-40B4-BE49-F238E27FC236}">
              <a16:creationId xmlns:a16="http://schemas.microsoft.com/office/drawing/2014/main" id="{62630B33-54D3-4CC5-AEFE-2EDFD52EAD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0</xdr:colOff>
      <xdr:row>132</xdr:row>
      <xdr:rowOff>197411</xdr:rowOff>
    </xdr:from>
    <xdr:to>
      <xdr:col>14</xdr:col>
      <xdr:colOff>2914</xdr:colOff>
      <xdr:row>140</xdr:row>
      <xdr:rowOff>194012</xdr:rowOff>
    </xdr:to>
    <xdr:graphicFrame macro="">
      <xdr:nvGraphicFramePr>
        <xdr:cNvPr id="6" name="Chart 5" descr="January falls by shift graph.">
          <a:extLst>
            <a:ext uri="{FF2B5EF4-FFF2-40B4-BE49-F238E27FC236}">
              <a16:creationId xmlns:a16="http://schemas.microsoft.com/office/drawing/2014/main" id="{04E7E462-2059-4A3B-A3EF-C66C5B7E8EA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5</xdr:col>
      <xdr:colOff>10967</xdr:colOff>
      <xdr:row>142</xdr:row>
      <xdr:rowOff>1</xdr:rowOff>
    </xdr:from>
    <xdr:to>
      <xdr:col>18</xdr:col>
      <xdr:colOff>3245</xdr:colOff>
      <xdr:row>168</xdr:row>
      <xdr:rowOff>186613</xdr:rowOff>
    </xdr:to>
    <xdr:graphicFrame macro="">
      <xdr:nvGraphicFramePr>
        <xdr:cNvPr id="7" name="Chart 6" descr="January falls by hour graph.">
          <a:extLst>
            <a:ext uri="{FF2B5EF4-FFF2-40B4-BE49-F238E27FC236}">
              <a16:creationId xmlns:a16="http://schemas.microsoft.com/office/drawing/2014/main" id="{CE8A2815-5A5D-486B-A484-936119FFE1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7</xdr:col>
      <xdr:colOff>503041</xdr:colOff>
      <xdr:row>64</xdr:row>
      <xdr:rowOff>0</xdr:rowOff>
    </xdr:from>
    <xdr:to>
      <xdr:col>20</xdr:col>
      <xdr:colOff>73021</xdr:colOff>
      <xdr:row>91</xdr:row>
      <xdr:rowOff>0</xdr:rowOff>
    </xdr:to>
    <xdr:graphicFrame macro="">
      <xdr:nvGraphicFramePr>
        <xdr:cNvPr id="9" name="Chart 8" descr="January falls by activity.">
          <a:extLst>
            <a:ext uri="{FF2B5EF4-FFF2-40B4-BE49-F238E27FC236}">
              <a16:creationId xmlns:a16="http://schemas.microsoft.com/office/drawing/2014/main" id="{85A1DDFE-688B-4EC8-B3A5-48599587C0E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5062</xdr:colOff>
      <xdr:row>55</xdr:row>
      <xdr:rowOff>87464</xdr:rowOff>
    </xdr:from>
    <xdr:to>
      <xdr:col>4</xdr:col>
      <xdr:colOff>0</xdr:colOff>
      <xdr:row>63</xdr:row>
      <xdr:rowOff>56879</xdr:rowOff>
    </xdr:to>
    <xdr:graphicFrame macro="">
      <xdr:nvGraphicFramePr>
        <xdr:cNvPr id="12" name="Chart 11" descr="January witnessed falls graph.">
          <a:extLst>
            <a:ext uri="{FF2B5EF4-FFF2-40B4-BE49-F238E27FC236}">
              <a16:creationId xmlns:a16="http://schemas.microsoft.com/office/drawing/2014/main" id="{C02CFE94-1BC1-45F4-8B5A-67FE185D896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8</xdr:col>
      <xdr:colOff>9511</xdr:colOff>
      <xdr:row>169</xdr:row>
      <xdr:rowOff>194729</xdr:rowOff>
    </xdr:from>
    <xdr:to>
      <xdr:col>20</xdr:col>
      <xdr:colOff>215596</xdr:colOff>
      <xdr:row>197</xdr:row>
      <xdr:rowOff>0</xdr:rowOff>
    </xdr:to>
    <xdr:graphicFrame macro="">
      <xdr:nvGraphicFramePr>
        <xdr:cNvPr id="15" name="Chart 14" descr="January contributing factors graph.">
          <a:extLst>
            <a:ext uri="{FF2B5EF4-FFF2-40B4-BE49-F238E27FC236}">
              <a16:creationId xmlns:a16="http://schemas.microsoft.com/office/drawing/2014/main" id="{41852FBF-F8AE-49DB-8391-0EC91C9440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xdr:col>
      <xdr:colOff>6666</xdr:colOff>
      <xdr:row>49</xdr:row>
      <xdr:rowOff>195113</xdr:rowOff>
    </xdr:from>
    <xdr:to>
      <xdr:col>15</xdr:col>
      <xdr:colOff>1222581</xdr:colOff>
      <xdr:row>56</xdr:row>
      <xdr:rowOff>2447</xdr:rowOff>
    </xdr:to>
    <xdr:graphicFrame macro="">
      <xdr:nvGraphicFramePr>
        <xdr:cNvPr id="17" name="Chart 16" descr="January fall circumstances graph.">
          <a:extLst>
            <a:ext uri="{FF2B5EF4-FFF2-40B4-BE49-F238E27FC236}">
              <a16:creationId xmlns:a16="http://schemas.microsoft.com/office/drawing/2014/main" id="{B4CE01CB-C4C1-4EA5-93DD-A670C80B824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5</xdr:col>
      <xdr:colOff>159</xdr:colOff>
      <xdr:row>91</xdr:row>
      <xdr:rowOff>185727</xdr:rowOff>
    </xdr:from>
    <xdr:to>
      <xdr:col>17</xdr:col>
      <xdr:colOff>469849</xdr:colOff>
      <xdr:row>106</xdr:row>
      <xdr:rowOff>0</xdr:rowOff>
    </xdr:to>
    <xdr:graphicFrame macro="">
      <xdr:nvGraphicFramePr>
        <xdr:cNvPr id="2" name="Chart 1" descr="February falls by location.">
          <a:extLst>
            <a:ext uri="{FF2B5EF4-FFF2-40B4-BE49-F238E27FC236}">
              <a16:creationId xmlns:a16="http://schemas.microsoft.com/office/drawing/2014/main" id="{22F3D654-8343-4E8F-9533-90876F3D4EF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7228</xdr:colOff>
      <xdr:row>122</xdr:row>
      <xdr:rowOff>9542</xdr:rowOff>
    </xdr:from>
    <xdr:to>
      <xdr:col>14</xdr:col>
      <xdr:colOff>761156</xdr:colOff>
      <xdr:row>131</xdr:row>
      <xdr:rowOff>190830</xdr:rowOff>
    </xdr:to>
    <xdr:graphicFrame macro="">
      <xdr:nvGraphicFramePr>
        <xdr:cNvPr id="3" name="Chart 2" descr="February falls by day of the week.">
          <a:extLst>
            <a:ext uri="{FF2B5EF4-FFF2-40B4-BE49-F238E27FC236}">
              <a16:creationId xmlns:a16="http://schemas.microsoft.com/office/drawing/2014/main" id="{1E2C5460-F9EF-47C4-B9DC-E6722CA2AF8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0</xdr:colOff>
      <xdr:row>106</xdr:row>
      <xdr:rowOff>198782</xdr:rowOff>
    </xdr:from>
    <xdr:to>
      <xdr:col>15</xdr:col>
      <xdr:colOff>731520</xdr:colOff>
      <xdr:row>120</xdr:row>
      <xdr:rowOff>190831</xdr:rowOff>
    </xdr:to>
    <xdr:graphicFrame macro="">
      <xdr:nvGraphicFramePr>
        <xdr:cNvPr id="4" name="Chart 3" descr="February falls by nursing station.">
          <a:extLst>
            <a:ext uri="{FF2B5EF4-FFF2-40B4-BE49-F238E27FC236}">
              <a16:creationId xmlns:a16="http://schemas.microsoft.com/office/drawing/2014/main" id="{82771F06-5F26-460F-9546-3242443CD6E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2910</xdr:colOff>
      <xdr:row>57</xdr:row>
      <xdr:rowOff>757</xdr:rowOff>
    </xdr:from>
    <xdr:to>
      <xdr:col>15</xdr:col>
      <xdr:colOff>1196809</xdr:colOff>
      <xdr:row>63</xdr:row>
      <xdr:rowOff>54433</xdr:rowOff>
    </xdr:to>
    <xdr:graphicFrame macro="">
      <xdr:nvGraphicFramePr>
        <xdr:cNvPr id="5" name="Chart 4" descr="February falls by BIMS score.">
          <a:extLst>
            <a:ext uri="{FF2B5EF4-FFF2-40B4-BE49-F238E27FC236}">
              <a16:creationId xmlns:a16="http://schemas.microsoft.com/office/drawing/2014/main" id="{D9EC0B76-EB9F-4E15-AB82-690442ABE4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10967</xdr:colOff>
      <xdr:row>142</xdr:row>
      <xdr:rowOff>1</xdr:rowOff>
    </xdr:from>
    <xdr:to>
      <xdr:col>18</xdr:col>
      <xdr:colOff>3245</xdr:colOff>
      <xdr:row>168</xdr:row>
      <xdr:rowOff>186613</xdr:rowOff>
    </xdr:to>
    <xdr:graphicFrame macro="">
      <xdr:nvGraphicFramePr>
        <xdr:cNvPr id="7" name="Chart 6" descr="February falls by hour.">
          <a:extLst>
            <a:ext uri="{FF2B5EF4-FFF2-40B4-BE49-F238E27FC236}">
              <a16:creationId xmlns:a16="http://schemas.microsoft.com/office/drawing/2014/main" id="{8577EDB4-0B18-4ABF-8D10-2BD8B68BDE9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503041</xdr:colOff>
      <xdr:row>64</xdr:row>
      <xdr:rowOff>0</xdr:rowOff>
    </xdr:from>
    <xdr:to>
      <xdr:col>20</xdr:col>
      <xdr:colOff>73021</xdr:colOff>
      <xdr:row>91</xdr:row>
      <xdr:rowOff>0</xdr:rowOff>
    </xdr:to>
    <xdr:graphicFrame macro="">
      <xdr:nvGraphicFramePr>
        <xdr:cNvPr id="8" name="Chart 7" descr="February falls by activity.">
          <a:extLst>
            <a:ext uri="{FF2B5EF4-FFF2-40B4-BE49-F238E27FC236}">
              <a16:creationId xmlns:a16="http://schemas.microsoft.com/office/drawing/2014/main" id="{8C2841A0-E453-4004-B637-EF70EB3F0FE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5062</xdr:colOff>
      <xdr:row>55</xdr:row>
      <xdr:rowOff>87464</xdr:rowOff>
    </xdr:from>
    <xdr:to>
      <xdr:col>4</xdr:col>
      <xdr:colOff>0</xdr:colOff>
      <xdr:row>63</xdr:row>
      <xdr:rowOff>56879</xdr:rowOff>
    </xdr:to>
    <xdr:graphicFrame macro="">
      <xdr:nvGraphicFramePr>
        <xdr:cNvPr id="9" name="Chart 8" descr="February witnessed falls.">
          <a:extLst>
            <a:ext uri="{FF2B5EF4-FFF2-40B4-BE49-F238E27FC236}">
              <a16:creationId xmlns:a16="http://schemas.microsoft.com/office/drawing/2014/main" id="{2E43C442-4D9C-4111-8C09-6995CA245C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8</xdr:col>
      <xdr:colOff>9511</xdr:colOff>
      <xdr:row>169</xdr:row>
      <xdr:rowOff>194729</xdr:rowOff>
    </xdr:from>
    <xdr:to>
      <xdr:col>20</xdr:col>
      <xdr:colOff>215596</xdr:colOff>
      <xdr:row>197</xdr:row>
      <xdr:rowOff>0</xdr:rowOff>
    </xdr:to>
    <xdr:graphicFrame macro="">
      <xdr:nvGraphicFramePr>
        <xdr:cNvPr id="10" name="Chart 9" descr="February falls by contributing factors.">
          <a:extLst>
            <a:ext uri="{FF2B5EF4-FFF2-40B4-BE49-F238E27FC236}">
              <a16:creationId xmlns:a16="http://schemas.microsoft.com/office/drawing/2014/main" id="{241B7897-EDAD-4CB3-B097-3230F3A70B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9</xdr:col>
      <xdr:colOff>6666</xdr:colOff>
      <xdr:row>49</xdr:row>
      <xdr:rowOff>195113</xdr:rowOff>
    </xdr:from>
    <xdr:to>
      <xdr:col>15</xdr:col>
      <xdr:colOff>1222581</xdr:colOff>
      <xdr:row>56</xdr:row>
      <xdr:rowOff>2447</xdr:rowOff>
    </xdr:to>
    <xdr:graphicFrame macro="">
      <xdr:nvGraphicFramePr>
        <xdr:cNvPr id="11" name="Chart 10" descr="February falls by circumstances.">
          <a:extLst>
            <a:ext uri="{FF2B5EF4-FFF2-40B4-BE49-F238E27FC236}">
              <a16:creationId xmlns:a16="http://schemas.microsoft.com/office/drawing/2014/main" id="{0751811A-814B-4E9E-8681-1116DD33A3C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5</xdr:col>
      <xdr:colOff>0</xdr:colOff>
      <xdr:row>132</xdr:row>
      <xdr:rowOff>197411</xdr:rowOff>
    </xdr:from>
    <xdr:to>
      <xdr:col>14</xdr:col>
      <xdr:colOff>2914</xdr:colOff>
      <xdr:row>140</xdr:row>
      <xdr:rowOff>194012</xdr:rowOff>
    </xdr:to>
    <xdr:graphicFrame macro="">
      <xdr:nvGraphicFramePr>
        <xdr:cNvPr id="15" name="Chart 14" descr="February falls by shift.">
          <a:extLst>
            <a:ext uri="{FF2B5EF4-FFF2-40B4-BE49-F238E27FC236}">
              <a16:creationId xmlns:a16="http://schemas.microsoft.com/office/drawing/2014/main" id="{A5C0D3B5-A20E-4DE6-9483-CABA5CE4536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5</xdr:col>
      <xdr:colOff>159</xdr:colOff>
      <xdr:row>91</xdr:row>
      <xdr:rowOff>185727</xdr:rowOff>
    </xdr:from>
    <xdr:to>
      <xdr:col>17</xdr:col>
      <xdr:colOff>469849</xdr:colOff>
      <xdr:row>106</xdr:row>
      <xdr:rowOff>0</xdr:rowOff>
    </xdr:to>
    <xdr:graphicFrame macro="">
      <xdr:nvGraphicFramePr>
        <xdr:cNvPr id="2" name="Chart 1" descr="March falls by location.">
          <a:extLst>
            <a:ext uri="{FF2B5EF4-FFF2-40B4-BE49-F238E27FC236}">
              <a16:creationId xmlns:a16="http://schemas.microsoft.com/office/drawing/2014/main" id="{0BC32314-4173-4701-B6B4-2C5FF5A152A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7228</xdr:colOff>
      <xdr:row>122</xdr:row>
      <xdr:rowOff>9542</xdr:rowOff>
    </xdr:from>
    <xdr:to>
      <xdr:col>14</xdr:col>
      <xdr:colOff>761156</xdr:colOff>
      <xdr:row>131</xdr:row>
      <xdr:rowOff>190830</xdr:rowOff>
    </xdr:to>
    <xdr:graphicFrame macro="">
      <xdr:nvGraphicFramePr>
        <xdr:cNvPr id="3" name="Chart 2" descr="March falls by day of the week graph.">
          <a:extLst>
            <a:ext uri="{FF2B5EF4-FFF2-40B4-BE49-F238E27FC236}">
              <a16:creationId xmlns:a16="http://schemas.microsoft.com/office/drawing/2014/main" id="{0D8D424D-5150-4C7E-8357-5F5B81DA86E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0</xdr:colOff>
      <xdr:row>106</xdr:row>
      <xdr:rowOff>198782</xdr:rowOff>
    </xdr:from>
    <xdr:to>
      <xdr:col>15</xdr:col>
      <xdr:colOff>731520</xdr:colOff>
      <xdr:row>120</xdr:row>
      <xdr:rowOff>190831</xdr:rowOff>
    </xdr:to>
    <xdr:graphicFrame macro="">
      <xdr:nvGraphicFramePr>
        <xdr:cNvPr id="4" name="Chart 3" descr="March falls by nursing station.">
          <a:extLst>
            <a:ext uri="{FF2B5EF4-FFF2-40B4-BE49-F238E27FC236}">
              <a16:creationId xmlns:a16="http://schemas.microsoft.com/office/drawing/2014/main" id="{85445B3A-2EE3-44AA-AC20-48849283204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2910</xdr:colOff>
      <xdr:row>57</xdr:row>
      <xdr:rowOff>757</xdr:rowOff>
    </xdr:from>
    <xdr:to>
      <xdr:col>15</xdr:col>
      <xdr:colOff>1196809</xdr:colOff>
      <xdr:row>63</xdr:row>
      <xdr:rowOff>54433</xdr:rowOff>
    </xdr:to>
    <xdr:graphicFrame macro="">
      <xdr:nvGraphicFramePr>
        <xdr:cNvPr id="5" name="Chart 4" descr="March falls by falls by BIMS score">
          <a:extLst>
            <a:ext uri="{FF2B5EF4-FFF2-40B4-BE49-F238E27FC236}">
              <a16:creationId xmlns:a16="http://schemas.microsoft.com/office/drawing/2014/main" id="{F0BCA984-6225-4654-B9CA-1319C58882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10967</xdr:colOff>
      <xdr:row>142</xdr:row>
      <xdr:rowOff>1</xdr:rowOff>
    </xdr:from>
    <xdr:to>
      <xdr:col>18</xdr:col>
      <xdr:colOff>3245</xdr:colOff>
      <xdr:row>168</xdr:row>
      <xdr:rowOff>186613</xdr:rowOff>
    </xdr:to>
    <xdr:graphicFrame macro="">
      <xdr:nvGraphicFramePr>
        <xdr:cNvPr id="7" name="Chart 6" descr="March falls by hour.">
          <a:extLst>
            <a:ext uri="{FF2B5EF4-FFF2-40B4-BE49-F238E27FC236}">
              <a16:creationId xmlns:a16="http://schemas.microsoft.com/office/drawing/2014/main" id="{851214B8-6B40-4BA5-9E19-0AB423A985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503041</xdr:colOff>
      <xdr:row>64</xdr:row>
      <xdr:rowOff>0</xdr:rowOff>
    </xdr:from>
    <xdr:to>
      <xdr:col>20</xdr:col>
      <xdr:colOff>73021</xdr:colOff>
      <xdr:row>91</xdr:row>
      <xdr:rowOff>0</xdr:rowOff>
    </xdr:to>
    <xdr:graphicFrame macro="">
      <xdr:nvGraphicFramePr>
        <xdr:cNvPr id="8" name="Chart 7" descr="March falls by activity.">
          <a:extLst>
            <a:ext uri="{FF2B5EF4-FFF2-40B4-BE49-F238E27FC236}">
              <a16:creationId xmlns:a16="http://schemas.microsoft.com/office/drawing/2014/main" id="{4F13BCBD-EB19-43AB-8F46-40C4B5EE2D5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5062</xdr:colOff>
      <xdr:row>55</xdr:row>
      <xdr:rowOff>87464</xdr:rowOff>
    </xdr:from>
    <xdr:to>
      <xdr:col>4</xdr:col>
      <xdr:colOff>0</xdr:colOff>
      <xdr:row>63</xdr:row>
      <xdr:rowOff>56879</xdr:rowOff>
    </xdr:to>
    <xdr:graphicFrame macro="">
      <xdr:nvGraphicFramePr>
        <xdr:cNvPr id="9" name="Chart 8" descr="March witnessed falls graph.">
          <a:extLst>
            <a:ext uri="{FF2B5EF4-FFF2-40B4-BE49-F238E27FC236}">
              <a16:creationId xmlns:a16="http://schemas.microsoft.com/office/drawing/2014/main" id="{C47ACBCC-0713-4386-915B-D9EC0192ED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8</xdr:col>
      <xdr:colOff>9511</xdr:colOff>
      <xdr:row>169</xdr:row>
      <xdr:rowOff>194729</xdr:rowOff>
    </xdr:from>
    <xdr:to>
      <xdr:col>20</xdr:col>
      <xdr:colOff>215596</xdr:colOff>
      <xdr:row>197</xdr:row>
      <xdr:rowOff>0</xdr:rowOff>
    </xdr:to>
    <xdr:graphicFrame macro="">
      <xdr:nvGraphicFramePr>
        <xdr:cNvPr id="10" name="Chart 9" descr="March falls by contributing factors.">
          <a:extLst>
            <a:ext uri="{FF2B5EF4-FFF2-40B4-BE49-F238E27FC236}">
              <a16:creationId xmlns:a16="http://schemas.microsoft.com/office/drawing/2014/main" id="{8DFA9543-CC2D-4088-9E5B-5E9B12FBB67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9</xdr:col>
      <xdr:colOff>6666</xdr:colOff>
      <xdr:row>49</xdr:row>
      <xdr:rowOff>195113</xdr:rowOff>
    </xdr:from>
    <xdr:to>
      <xdr:col>15</xdr:col>
      <xdr:colOff>1222581</xdr:colOff>
      <xdr:row>56</xdr:row>
      <xdr:rowOff>2447</xdr:rowOff>
    </xdr:to>
    <xdr:graphicFrame macro="">
      <xdr:nvGraphicFramePr>
        <xdr:cNvPr id="11" name="Chart 10" descr="March falls by circumstances.">
          <a:extLst>
            <a:ext uri="{FF2B5EF4-FFF2-40B4-BE49-F238E27FC236}">
              <a16:creationId xmlns:a16="http://schemas.microsoft.com/office/drawing/2014/main" id="{EE6DDA26-C603-4EC1-AE17-957E68AAAE4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5</xdr:col>
      <xdr:colOff>0</xdr:colOff>
      <xdr:row>132</xdr:row>
      <xdr:rowOff>197411</xdr:rowOff>
    </xdr:from>
    <xdr:to>
      <xdr:col>14</xdr:col>
      <xdr:colOff>2914</xdr:colOff>
      <xdr:row>140</xdr:row>
      <xdr:rowOff>194012</xdr:rowOff>
    </xdr:to>
    <xdr:graphicFrame macro="">
      <xdr:nvGraphicFramePr>
        <xdr:cNvPr id="12" name="Chart 11" descr="March falls by shift graph.">
          <a:extLst>
            <a:ext uri="{FF2B5EF4-FFF2-40B4-BE49-F238E27FC236}">
              <a16:creationId xmlns:a16="http://schemas.microsoft.com/office/drawing/2014/main" id="{8E8ADD00-6EAC-43F4-96B8-2FC14C4E8FF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5</xdr:col>
      <xdr:colOff>159</xdr:colOff>
      <xdr:row>91</xdr:row>
      <xdr:rowOff>185727</xdr:rowOff>
    </xdr:from>
    <xdr:to>
      <xdr:col>17</xdr:col>
      <xdr:colOff>469849</xdr:colOff>
      <xdr:row>106</xdr:row>
      <xdr:rowOff>0</xdr:rowOff>
    </xdr:to>
    <xdr:graphicFrame macro="">
      <xdr:nvGraphicFramePr>
        <xdr:cNvPr id="2" name="Chart 1" descr="April falls by location graph.">
          <a:extLst>
            <a:ext uri="{FF2B5EF4-FFF2-40B4-BE49-F238E27FC236}">
              <a16:creationId xmlns:a16="http://schemas.microsoft.com/office/drawing/2014/main" id="{A62126E7-4159-467C-9E8B-48C15863C5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7228</xdr:colOff>
      <xdr:row>122</xdr:row>
      <xdr:rowOff>9542</xdr:rowOff>
    </xdr:from>
    <xdr:to>
      <xdr:col>14</xdr:col>
      <xdr:colOff>761156</xdr:colOff>
      <xdr:row>131</xdr:row>
      <xdr:rowOff>190830</xdr:rowOff>
    </xdr:to>
    <xdr:graphicFrame macro="">
      <xdr:nvGraphicFramePr>
        <xdr:cNvPr id="3" name="Chart 2" descr="April falls by day of the week graph.">
          <a:extLst>
            <a:ext uri="{FF2B5EF4-FFF2-40B4-BE49-F238E27FC236}">
              <a16:creationId xmlns:a16="http://schemas.microsoft.com/office/drawing/2014/main" id="{2E43AF0B-1032-4B0C-93BF-90BC2DFCA8A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0</xdr:colOff>
      <xdr:row>106</xdr:row>
      <xdr:rowOff>198782</xdr:rowOff>
    </xdr:from>
    <xdr:to>
      <xdr:col>15</xdr:col>
      <xdr:colOff>731520</xdr:colOff>
      <xdr:row>120</xdr:row>
      <xdr:rowOff>190831</xdr:rowOff>
    </xdr:to>
    <xdr:graphicFrame macro="">
      <xdr:nvGraphicFramePr>
        <xdr:cNvPr id="4" name="Chart 3" descr="April falls by nursing station graph.">
          <a:extLst>
            <a:ext uri="{FF2B5EF4-FFF2-40B4-BE49-F238E27FC236}">
              <a16:creationId xmlns:a16="http://schemas.microsoft.com/office/drawing/2014/main" id="{BA92CBF9-86EC-4EE7-9C81-A6E3968F35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2910</xdr:colOff>
      <xdr:row>57</xdr:row>
      <xdr:rowOff>757</xdr:rowOff>
    </xdr:from>
    <xdr:to>
      <xdr:col>15</xdr:col>
      <xdr:colOff>1196809</xdr:colOff>
      <xdr:row>63</xdr:row>
      <xdr:rowOff>54433</xdr:rowOff>
    </xdr:to>
    <xdr:graphicFrame macro="">
      <xdr:nvGraphicFramePr>
        <xdr:cNvPr id="5" name="Chart 4" descr="April falls by BIMS score graph.">
          <a:extLst>
            <a:ext uri="{FF2B5EF4-FFF2-40B4-BE49-F238E27FC236}">
              <a16:creationId xmlns:a16="http://schemas.microsoft.com/office/drawing/2014/main" id="{C0E7A484-A879-47EC-B5AF-085AA30BA8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10967</xdr:colOff>
      <xdr:row>142</xdr:row>
      <xdr:rowOff>1</xdr:rowOff>
    </xdr:from>
    <xdr:to>
      <xdr:col>18</xdr:col>
      <xdr:colOff>3245</xdr:colOff>
      <xdr:row>168</xdr:row>
      <xdr:rowOff>186613</xdr:rowOff>
    </xdr:to>
    <xdr:graphicFrame macro="">
      <xdr:nvGraphicFramePr>
        <xdr:cNvPr id="7" name="Chart 6" descr="April falls by hour graph.">
          <a:extLst>
            <a:ext uri="{FF2B5EF4-FFF2-40B4-BE49-F238E27FC236}">
              <a16:creationId xmlns:a16="http://schemas.microsoft.com/office/drawing/2014/main" id="{D417EBBC-FA4A-442D-A81D-EAB7FC6426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503041</xdr:colOff>
      <xdr:row>64</xdr:row>
      <xdr:rowOff>0</xdr:rowOff>
    </xdr:from>
    <xdr:to>
      <xdr:col>20</xdr:col>
      <xdr:colOff>73021</xdr:colOff>
      <xdr:row>91</xdr:row>
      <xdr:rowOff>0</xdr:rowOff>
    </xdr:to>
    <xdr:graphicFrame macro="">
      <xdr:nvGraphicFramePr>
        <xdr:cNvPr id="8" name="Chart 7" descr="April falls by activity graph.">
          <a:extLst>
            <a:ext uri="{FF2B5EF4-FFF2-40B4-BE49-F238E27FC236}">
              <a16:creationId xmlns:a16="http://schemas.microsoft.com/office/drawing/2014/main" id="{2D840EF4-C1A1-4C4B-AD16-2675E410B6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5062</xdr:colOff>
      <xdr:row>55</xdr:row>
      <xdr:rowOff>87464</xdr:rowOff>
    </xdr:from>
    <xdr:to>
      <xdr:col>4</xdr:col>
      <xdr:colOff>0</xdr:colOff>
      <xdr:row>63</xdr:row>
      <xdr:rowOff>56879</xdr:rowOff>
    </xdr:to>
    <xdr:graphicFrame macro="">
      <xdr:nvGraphicFramePr>
        <xdr:cNvPr id="9" name="Chart 8" descr="April witnessed falls graph.">
          <a:extLst>
            <a:ext uri="{FF2B5EF4-FFF2-40B4-BE49-F238E27FC236}">
              <a16:creationId xmlns:a16="http://schemas.microsoft.com/office/drawing/2014/main" id="{0CBA8A77-C24B-4635-B758-A80F31C25D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8</xdr:col>
      <xdr:colOff>9511</xdr:colOff>
      <xdr:row>169</xdr:row>
      <xdr:rowOff>194729</xdr:rowOff>
    </xdr:from>
    <xdr:to>
      <xdr:col>20</xdr:col>
      <xdr:colOff>215596</xdr:colOff>
      <xdr:row>197</xdr:row>
      <xdr:rowOff>0</xdr:rowOff>
    </xdr:to>
    <xdr:graphicFrame macro="">
      <xdr:nvGraphicFramePr>
        <xdr:cNvPr id="10" name="Chart 9" descr="April falls by contributing factors graph.">
          <a:extLst>
            <a:ext uri="{FF2B5EF4-FFF2-40B4-BE49-F238E27FC236}">
              <a16:creationId xmlns:a16="http://schemas.microsoft.com/office/drawing/2014/main" id="{E54EC5F8-3CCB-40E0-B51C-E48FA2C280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9</xdr:col>
      <xdr:colOff>6666</xdr:colOff>
      <xdr:row>49</xdr:row>
      <xdr:rowOff>195113</xdr:rowOff>
    </xdr:from>
    <xdr:to>
      <xdr:col>15</xdr:col>
      <xdr:colOff>1222581</xdr:colOff>
      <xdr:row>56</xdr:row>
      <xdr:rowOff>2447</xdr:rowOff>
    </xdr:to>
    <xdr:graphicFrame macro="">
      <xdr:nvGraphicFramePr>
        <xdr:cNvPr id="11" name="Chart 10" descr="April falls by circumstances graph.">
          <a:extLst>
            <a:ext uri="{FF2B5EF4-FFF2-40B4-BE49-F238E27FC236}">
              <a16:creationId xmlns:a16="http://schemas.microsoft.com/office/drawing/2014/main" id="{AEF9DBAC-A017-49C9-B247-1B1545B60FB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5</xdr:col>
      <xdr:colOff>0</xdr:colOff>
      <xdr:row>132</xdr:row>
      <xdr:rowOff>197411</xdr:rowOff>
    </xdr:from>
    <xdr:to>
      <xdr:col>14</xdr:col>
      <xdr:colOff>2914</xdr:colOff>
      <xdr:row>140</xdr:row>
      <xdr:rowOff>194012</xdr:rowOff>
    </xdr:to>
    <xdr:graphicFrame macro="">
      <xdr:nvGraphicFramePr>
        <xdr:cNvPr id="12" name="Chart 11" descr="April falls by shift graph.">
          <a:extLst>
            <a:ext uri="{FF2B5EF4-FFF2-40B4-BE49-F238E27FC236}">
              <a16:creationId xmlns:a16="http://schemas.microsoft.com/office/drawing/2014/main" id="{84CA6FE4-78BC-4FAE-BD74-87D4CF6762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5</xdr:col>
      <xdr:colOff>159</xdr:colOff>
      <xdr:row>91</xdr:row>
      <xdr:rowOff>185727</xdr:rowOff>
    </xdr:from>
    <xdr:to>
      <xdr:col>17</xdr:col>
      <xdr:colOff>469849</xdr:colOff>
      <xdr:row>106</xdr:row>
      <xdr:rowOff>0</xdr:rowOff>
    </xdr:to>
    <xdr:graphicFrame macro="">
      <xdr:nvGraphicFramePr>
        <xdr:cNvPr id="2" name="Chart 1" descr="May falls by location graph.">
          <a:extLst>
            <a:ext uri="{FF2B5EF4-FFF2-40B4-BE49-F238E27FC236}">
              <a16:creationId xmlns:a16="http://schemas.microsoft.com/office/drawing/2014/main" id="{D8BA666E-EA34-4DA0-A484-9F38D0453D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7228</xdr:colOff>
      <xdr:row>122</xdr:row>
      <xdr:rowOff>9542</xdr:rowOff>
    </xdr:from>
    <xdr:to>
      <xdr:col>14</xdr:col>
      <xdr:colOff>761156</xdr:colOff>
      <xdr:row>131</xdr:row>
      <xdr:rowOff>190830</xdr:rowOff>
    </xdr:to>
    <xdr:graphicFrame macro="">
      <xdr:nvGraphicFramePr>
        <xdr:cNvPr id="3" name="Chart 2" descr="May falls by day of the week graph.">
          <a:extLst>
            <a:ext uri="{FF2B5EF4-FFF2-40B4-BE49-F238E27FC236}">
              <a16:creationId xmlns:a16="http://schemas.microsoft.com/office/drawing/2014/main" id="{ED28B41B-0B93-4A4A-A372-922FE9F78B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0</xdr:colOff>
      <xdr:row>106</xdr:row>
      <xdr:rowOff>198782</xdr:rowOff>
    </xdr:from>
    <xdr:to>
      <xdr:col>15</xdr:col>
      <xdr:colOff>731520</xdr:colOff>
      <xdr:row>120</xdr:row>
      <xdr:rowOff>190831</xdr:rowOff>
    </xdr:to>
    <xdr:graphicFrame macro="">
      <xdr:nvGraphicFramePr>
        <xdr:cNvPr id="4" name="Chart 3" descr="May falls by nursing station graph.">
          <a:extLst>
            <a:ext uri="{FF2B5EF4-FFF2-40B4-BE49-F238E27FC236}">
              <a16:creationId xmlns:a16="http://schemas.microsoft.com/office/drawing/2014/main" id="{5FF5AA7B-3251-4907-86BF-A124C5F5E27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2910</xdr:colOff>
      <xdr:row>57</xdr:row>
      <xdr:rowOff>757</xdr:rowOff>
    </xdr:from>
    <xdr:to>
      <xdr:col>15</xdr:col>
      <xdr:colOff>1196809</xdr:colOff>
      <xdr:row>63</xdr:row>
      <xdr:rowOff>54433</xdr:rowOff>
    </xdr:to>
    <xdr:graphicFrame macro="">
      <xdr:nvGraphicFramePr>
        <xdr:cNvPr id="5" name="Chart 4" descr="May falls by BIMS score graph.">
          <a:extLst>
            <a:ext uri="{FF2B5EF4-FFF2-40B4-BE49-F238E27FC236}">
              <a16:creationId xmlns:a16="http://schemas.microsoft.com/office/drawing/2014/main" id="{C551E149-9028-4887-904D-272DAB75E4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10967</xdr:colOff>
      <xdr:row>142</xdr:row>
      <xdr:rowOff>1</xdr:rowOff>
    </xdr:from>
    <xdr:to>
      <xdr:col>18</xdr:col>
      <xdr:colOff>3245</xdr:colOff>
      <xdr:row>168</xdr:row>
      <xdr:rowOff>186613</xdr:rowOff>
    </xdr:to>
    <xdr:graphicFrame macro="">
      <xdr:nvGraphicFramePr>
        <xdr:cNvPr id="7" name="Chart 6" descr="May falls by hour graph.">
          <a:extLst>
            <a:ext uri="{FF2B5EF4-FFF2-40B4-BE49-F238E27FC236}">
              <a16:creationId xmlns:a16="http://schemas.microsoft.com/office/drawing/2014/main" id="{7C43ED0D-200D-437F-9FC9-203398C018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503041</xdr:colOff>
      <xdr:row>64</xdr:row>
      <xdr:rowOff>0</xdr:rowOff>
    </xdr:from>
    <xdr:to>
      <xdr:col>20</xdr:col>
      <xdr:colOff>73021</xdr:colOff>
      <xdr:row>91</xdr:row>
      <xdr:rowOff>0</xdr:rowOff>
    </xdr:to>
    <xdr:graphicFrame macro="">
      <xdr:nvGraphicFramePr>
        <xdr:cNvPr id="8" name="Chart 7" descr="May falls by activity graph.">
          <a:extLst>
            <a:ext uri="{FF2B5EF4-FFF2-40B4-BE49-F238E27FC236}">
              <a16:creationId xmlns:a16="http://schemas.microsoft.com/office/drawing/2014/main" id="{6F91AA3C-88BA-44DD-BD32-96D9D21227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5062</xdr:colOff>
      <xdr:row>55</xdr:row>
      <xdr:rowOff>87464</xdr:rowOff>
    </xdr:from>
    <xdr:to>
      <xdr:col>4</xdr:col>
      <xdr:colOff>0</xdr:colOff>
      <xdr:row>63</xdr:row>
      <xdr:rowOff>56879</xdr:rowOff>
    </xdr:to>
    <xdr:graphicFrame macro="">
      <xdr:nvGraphicFramePr>
        <xdr:cNvPr id="9" name="Chart 8" descr="May witnessed falls graph.">
          <a:extLst>
            <a:ext uri="{FF2B5EF4-FFF2-40B4-BE49-F238E27FC236}">
              <a16:creationId xmlns:a16="http://schemas.microsoft.com/office/drawing/2014/main" id="{B43DAC19-51E3-450C-BBAC-48847F8B341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8</xdr:col>
      <xdr:colOff>9511</xdr:colOff>
      <xdr:row>169</xdr:row>
      <xdr:rowOff>194729</xdr:rowOff>
    </xdr:from>
    <xdr:to>
      <xdr:col>20</xdr:col>
      <xdr:colOff>215596</xdr:colOff>
      <xdr:row>197</xdr:row>
      <xdr:rowOff>0</xdr:rowOff>
    </xdr:to>
    <xdr:graphicFrame macro="">
      <xdr:nvGraphicFramePr>
        <xdr:cNvPr id="10" name="Chart 9" descr="May falls by contributing factors graph.">
          <a:extLst>
            <a:ext uri="{FF2B5EF4-FFF2-40B4-BE49-F238E27FC236}">
              <a16:creationId xmlns:a16="http://schemas.microsoft.com/office/drawing/2014/main" id="{A264BDE0-C4CB-4E13-8E60-EF482A9903E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9</xdr:col>
      <xdr:colOff>6666</xdr:colOff>
      <xdr:row>49</xdr:row>
      <xdr:rowOff>195113</xdr:rowOff>
    </xdr:from>
    <xdr:to>
      <xdr:col>15</xdr:col>
      <xdr:colOff>1222581</xdr:colOff>
      <xdr:row>56</xdr:row>
      <xdr:rowOff>2447</xdr:rowOff>
    </xdr:to>
    <xdr:graphicFrame macro="">
      <xdr:nvGraphicFramePr>
        <xdr:cNvPr id="11" name="Chart 10" descr="May falls by circumstances graph.">
          <a:extLst>
            <a:ext uri="{FF2B5EF4-FFF2-40B4-BE49-F238E27FC236}">
              <a16:creationId xmlns:a16="http://schemas.microsoft.com/office/drawing/2014/main" id="{4C48D8A5-9096-4730-80B2-D3A2E4B975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5</xdr:col>
      <xdr:colOff>0</xdr:colOff>
      <xdr:row>132</xdr:row>
      <xdr:rowOff>197411</xdr:rowOff>
    </xdr:from>
    <xdr:to>
      <xdr:col>14</xdr:col>
      <xdr:colOff>2914</xdr:colOff>
      <xdr:row>140</xdr:row>
      <xdr:rowOff>194012</xdr:rowOff>
    </xdr:to>
    <xdr:graphicFrame macro="">
      <xdr:nvGraphicFramePr>
        <xdr:cNvPr id="12" name="Chart 11" descr="May falls by shift graph.">
          <a:extLst>
            <a:ext uri="{FF2B5EF4-FFF2-40B4-BE49-F238E27FC236}">
              <a16:creationId xmlns:a16="http://schemas.microsoft.com/office/drawing/2014/main" id="{99E87CB2-6189-4796-BB88-3211EC5879F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5</xdr:col>
      <xdr:colOff>159</xdr:colOff>
      <xdr:row>91</xdr:row>
      <xdr:rowOff>185727</xdr:rowOff>
    </xdr:from>
    <xdr:to>
      <xdr:col>17</xdr:col>
      <xdr:colOff>469849</xdr:colOff>
      <xdr:row>106</xdr:row>
      <xdr:rowOff>0</xdr:rowOff>
    </xdr:to>
    <xdr:graphicFrame macro="">
      <xdr:nvGraphicFramePr>
        <xdr:cNvPr id="2" name="Chart 1" descr="June falls by location graph.">
          <a:extLst>
            <a:ext uri="{FF2B5EF4-FFF2-40B4-BE49-F238E27FC236}">
              <a16:creationId xmlns:a16="http://schemas.microsoft.com/office/drawing/2014/main" id="{6649A069-D95F-48F4-8BB5-3598826580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7228</xdr:colOff>
      <xdr:row>122</xdr:row>
      <xdr:rowOff>9542</xdr:rowOff>
    </xdr:from>
    <xdr:to>
      <xdr:col>14</xdr:col>
      <xdr:colOff>761156</xdr:colOff>
      <xdr:row>131</xdr:row>
      <xdr:rowOff>190830</xdr:rowOff>
    </xdr:to>
    <xdr:graphicFrame macro="">
      <xdr:nvGraphicFramePr>
        <xdr:cNvPr id="3" name="Chart 2" descr="June falls by day of the week graph.">
          <a:extLst>
            <a:ext uri="{FF2B5EF4-FFF2-40B4-BE49-F238E27FC236}">
              <a16:creationId xmlns:a16="http://schemas.microsoft.com/office/drawing/2014/main" id="{76EE0682-F53F-4C35-8E14-3A39AAF8936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0</xdr:colOff>
      <xdr:row>106</xdr:row>
      <xdr:rowOff>198782</xdr:rowOff>
    </xdr:from>
    <xdr:to>
      <xdr:col>15</xdr:col>
      <xdr:colOff>731520</xdr:colOff>
      <xdr:row>120</xdr:row>
      <xdr:rowOff>190831</xdr:rowOff>
    </xdr:to>
    <xdr:graphicFrame macro="">
      <xdr:nvGraphicFramePr>
        <xdr:cNvPr id="4" name="Chart 3" descr="June falls by nursing station graph.">
          <a:extLst>
            <a:ext uri="{FF2B5EF4-FFF2-40B4-BE49-F238E27FC236}">
              <a16:creationId xmlns:a16="http://schemas.microsoft.com/office/drawing/2014/main" id="{5761F247-9499-4025-8FB1-51CF57AC33D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2910</xdr:colOff>
      <xdr:row>57</xdr:row>
      <xdr:rowOff>757</xdr:rowOff>
    </xdr:from>
    <xdr:to>
      <xdr:col>15</xdr:col>
      <xdr:colOff>1196809</xdr:colOff>
      <xdr:row>63</xdr:row>
      <xdr:rowOff>54433</xdr:rowOff>
    </xdr:to>
    <xdr:graphicFrame macro="">
      <xdr:nvGraphicFramePr>
        <xdr:cNvPr id="5" name="Chart 4" descr="June falls by BIMS score graph.">
          <a:extLst>
            <a:ext uri="{FF2B5EF4-FFF2-40B4-BE49-F238E27FC236}">
              <a16:creationId xmlns:a16="http://schemas.microsoft.com/office/drawing/2014/main" id="{F92D7146-1AEE-44E2-8AD7-B7966518AD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10967</xdr:colOff>
      <xdr:row>142</xdr:row>
      <xdr:rowOff>1</xdr:rowOff>
    </xdr:from>
    <xdr:to>
      <xdr:col>18</xdr:col>
      <xdr:colOff>3245</xdr:colOff>
      <xdr:row>168</xdr:row>
      <xdr:rowOff>186613</xdr:rowOff>
    </xdr:to>
    <xdr:graphicFrame macro="">
      <xdr:nvGraphicFramePr>
        <xdr:cNvPr id="7" name="Chart 6" descr="June falls by hour graph.">
          <a:extLst>
            <a:ext uri="{FF2B5EF4-FFF2-40B4-BE49-F238E27FC236}">
              <a16:creationId xmlns:a16="http://schemas.microsoft.com/office/drawing/2014/main" id="{2FC522ED-A696-4F76-9C28-DE8699C7F87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503041</xdr:colOff>
      <xdr:row>64</xdr:row>
      <xdr:rowOff>0</xdr:rowOff>
    </xdr:from>
    <xdr:to>
      <xdr:col>20</xdr:col>
      <xdr:colOff>73021</xdr:colOff>
      <xdr:row>91</xdr:row>
      <xdr:rowOff>0</xdr:rowOff>
    </xdr:to>
    <xdr:graphicFrame macro="">
      <xdr:nvGraphicFramePr>
        <xdr:cNvPr id="8" name="Chart 7" descr="June falls by activity graph.">
          <a:extLst>
            <a:ext uri="{FF2B5EF4-FFF2-40B4-BE49-F238E27FC236}">
              <a16:creationId xmlns:a16="http://schemas.microsoft.com/office/drawing/2014/main" id="{442DD5BF-A169-4593-BFD5-47602E410B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5062</xdr:colOff>
      <xdr:row>55</xdr:row>
      <xdr:rowOff>87464</xdr:rowOff>
    </xdr:from>
    <xdr:to>
      <xdr:col>4</xdr:col>
      <xdr:colOff>0</xdr:colOff>
      <xdr:row>63</xdr:row>
      <xdr:rowOff>56879</xdr:rowOff>
    </xdr:to>
    <xdr:graphicFrame macro="">
      <xdr:nvGraphicFramePr>
        <xdr:cNvPr id="9" name="Chart 8" descr="June fwitnessed falls graph.">
          <a:extLst>
            <a:ext uri="{FF2B5EF4-FFF2-40B4-BE49-F238E27FC236}">
              <a16:creationId xmlns:a16="http://schemas.microsoft.com/office/drawing/2014/main" id="{CA1FB493-3912-49FA-8CD7-968646309D9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8</xdr:col>
      <xdr:colOff>9511</xdr:colOff>
      <xdr:row>169</xdr:row>
      <xdr:rowOff>194729</xdr:rowOff>
    </xdr:from>
    <xdr:to>
      <xdr:col>20</xdr:col>
      <xdr:colOff>215596</xdr:colOff>
      <xdr:row>197</xdr:row>
      <xdr:rowOff>0</xdr:rowOff>
    </xdr:to>
    <xdr:graphicFrame macro="">
      <xdr:nvGraphicFramePr>
        <xdr:cNvPr id="10" name="Chart 9" descr="June falls by contributing factors graph.">
          <a:extLst>
            <a:ext uri="{FF2B5EF4-FFF2-40B4-BE49-F238E27FC236}">
              <a16:creationId xmlns:a16="http://schemas.microsoft.com/office/drawing/2014/main" id="{0B82AD19-5A62-40AC-9FF3-D712F86AE5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9</xdr:col>
      <xdr:colOff>6666</xdr:colOff>
      <xdr:row>49</xdr:row>
      <xdr:rowOff>195113</xdr:rowOff>
    </xdr:from>
    <xdr:to>
      <xdr:col>15</xdr:col>
      <xdr:colOff>1222581</xdr:colOff>
      <xdr:row>56</xdr:row>
      <xdr:rowOff>2447</xdr:rowOff>
    </xdr:to>
    <xdr:graphicFrame macro="">
      <xdr:nvGraphicFramePr>
        <xdr:cNvPr id="11" name="Chart 10" descr="June falls by circumstances graph.">
          <a:extLst>
            <a:ext uri="{FF2B5EF4-FFF2-40B4-BE49-F238E27FC236}">
              <a16:creationId xmlns:a16="http://schemas.microsoft.com/office/drawing/2014/main" id="{C5678526-096F-4624-8204-BC4B33AD50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5</xdr:col>
      <xdr:colOff>0</xdr:colOff>
      <xdr:row>132</xdr:row>
      <xdr:rowOff>197411</xdr:rowOff>
    </xdr:from>
    <xdr:to>
      <xdr:col>14</xdr:col>
      <xdr:colOff>2914</xdr:colOff>
      <xdr:row>140</xdr:row>
      <xdr:rowOff>194012</xdr:rowOff>
    </xdr:to>
    <xdr:graphicFrame macro="">
      <xdr:nvGraphicFramePr>
        <xdr:cNvPr id="12" name="Chart 11" descr="June falls by shift graph.">
          <a:extLst>
            <a:ext uri="{FF2B5EF4-FFF2-40B4-BE49-F238E27FC236}">
              <a16:creationId xmlns:a16="http://schemas.microsoft.com/office/drawing/2014/main" id="{CBB061DF-3734-4C19-904F-1BFC9119A12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5</xdr:col>
      <xdr:colOff>159</xdr:colOff>
      <xdr:row>91</xdr:row>
      <xdr:rowOff>185727</xdr:rowOff>
    </xdr:from>
    <xdr:to>
      <xdr:col>17</xdr:col>
      <xdr:colOff>469849</xdr:colOff>
      <xdr:row>106</xdr:row>
      <xdr:rowOff>0</xdr:rowOff>
    </xdr:to>
    <xdr:graphicFrame macro="">
      <xdr:nvGraphicFramePr>
        <xdr:cNvPr id="2" name="Chart 1" descr="July falls by location graph.">
          <a:extLst>
            <a:ext uri="{FF2B5EF4-FFF2-40B4-BE49-F238E27FC236}">
              <a16:creationId xmlns:a16="http://schemas.microsoft.com/office/drawing/2014/main" id="{246CE41C-E36B-44C9-98F5-C42E23D309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7228</xdr:colOff>
      <xdr:row>122</xdr:row>
      <xdr:rowOff>9542</xdr:rowOff>
    </xdr:from>
    <xdr:to>
      <xdr:col>14</xdr:col>
      <xdr:colOff>761156</xdr:colOff>
      <xdr:row>131</xdr:row>
      <xdr:rowOff>190830</xdr:rowOff>
    </xdr:to>
    <xdr:graphicFrame macro="">
      <xdr:nvGraphicFramePr>
        <xdr:cNvPr id="3" name="Chart 2" descr="July falls by day of the week graph.">
          <a:extLst>
            <a:ext uri="{FF2B5EF4-FFF2-40B4-BE49-F238E27FC236}">
              <a16:creationId xmlns:a16="http://schemas.microsoft.com/office/drawing/2014/main" id="{023315C2-C7CD-436A-81CF-D410230B332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0</xdr:colOff>
      <xdr:row>106</xdr:row>
      <xdr:rowOff>198782</xdr:rowOff>
    </xdr:from>
    <xdr:to>
      <xdr:col>15</xdr:col>
      <xdr:colOff>731520</xdr:colOff>
      <xdr:row>120</xdr:row>
      <xdr:rowOff>190831</xdr:rowOff>
    </xdr:to>
    <xdr:graphicFrame macro="">
      <xdr:nvGraphicFramePr>
        <xdr:cNvPr id="4" name="Chart 3" descr="July falls by nursing station graph.">
          <a:extLst>
            <a:ext uri="{FF2B5EF4-FFF2-40B4-BE49-F238E27FC236}">
              <a16:creationId xmlns:a16="http://schemas.microsoft.com/office/drawing/2014/main" id="{57AA3D04-1CC5-4EDA-9E49-224078372A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2910</xdr:colOff>
      <xdr:row>57</xdr:row>
      <xdr:rowOff>757</xdr:rowOff>
    </xdr:from>
    <xdr:to>
      <xdr:col>15</xdr:col>
      <xdr:colOff>1196809</xdr:colOff>
      <xdr:row>63</xdr:row>
      <xdr:rowOff>54433</xdr:rowOff>
    </xdr:to>
    <xdr:graphicFrame macro="">
      <xdr:nvGraphicFramePr>
        <xdr:cNvPr id="5" name="Chart 4" descr="July falls by BIMS score graph.">
          <a:extLst>
            <a:ext uri="{FF2B5EF4-FFF2-40B4-BE49-F238E27FC236}">
              <a16:creationId xmlns:a16="http://schemas.microsoft.com/office/drawing/2014/main" id="{A6E964DC-D393-41A4-854A-EC52B12AA94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10967</xdr:colOff>
      <xdr:row>142</xdr:row>
      <xdr:rowOff>1</xdr:rowOff>
    </xdr:from>
    <xdr:to>
      <xdr:col>18</xdr:col>
      <xdr:colOff>3245</xdr:colOff>
      <xdr:row>168</xdr:row>
      <xdr:rowOff>186613</xdr:rowOff>
    </xdr:to>
    <xdr:graphicFrame macro="">
      <xdr:nvGraphicFramePr>
        <xdr:cNvPr id="7" name="Chart 6" descr="July falls by hour graph.">
          <a:extLst>
            <a:ext uri="{FF2B5EF4-FFF2-40B4-BE49-F238E27FC236}">
              <a16:creationId xmlns:a16="http://schemas.microsoft.com/office/drawing/2014/main" id="{5B0866BC-5113-4DAE-B41F-BD58B133010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503041</xdr:colOff>
      <xdr:row>64</xdr:row>
      <xdr:rowOff>0</xdr:rowOff>
    </xdr:from>
    <xdr:to>
      <xdr:col>20</xdr:col>
      <xdr:colOff>73021</xdr:colOff>
      <xdr:row>91</xdr:row>
      <xdr:rowOff>0</xdr:rowOff>
    </xdr:to>
    <xdr:graphicFrame macro="">
      <xdr:nvGraphicFramePr>
        <xdr:cNvPr id="8" name="Chart 7" descr="July falls by Activity graph.">
          <a:extLst>
            <a:ext uri="{FF2B5EF4-FFF2-40B4-BE49-F238E27FC236}">
              <a16:creationId xmlns:a16="http://schemas.microsoft.com/office/drawing/2014/main" id="{5E6CB81D-2EC5-47BF-8B97-FE622528EC1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5062</xdr:colOff>
      <xdr:row>55</xdr:row>
      <xdr:rowOff>87464</xdr:rowOff>
    </xdr:from>
    <xdr:to>
      <xdr:col>4</xdr:col>
      <xdr:colOff>0</xdr:colOff>
      <xdr:row>63</xdr:row>
      <xdr:rowOff>56879</xdr:rowOff>
    </xdr:to>
    <xdr:graphicFrame macro="">
      <xdr:nvGraphicFramePr>
        <xdr:cNvPr id="9" name="Chart 8" descr="July witnessed falls graph.">
          <a:extLst>
            <a:ext uri="{FF2B5EF4-FFF2-40B4-BE49-F238E27FC236}">
              <a16:creationId xmlns:a16="http://schemas.microsoft.com/office/drawing/2014/main" id="{52317329-79DF-41FC-AC8E-EA4092023C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8</xdr:col>
      <xdr:colOff>9511</xdr:colOff>
      <xdr:row>169</xdr:row>
      <xdr:rowOff>194729</xdr:rowOff>
    </xdr:from>
    <xdr:to>
      <xdr:col>20</xdr:col>
      <xdr:colOff>215596</xdr:colOff>
      <xdr:row>197</xdr:row>
      <xdr:rowOff>0</xdr:rowOff>
    </xdr:to>
    <xdr:graphicFrame macro="">
      <xdr:nvGraphicFramePr>
        <xdr:cNvPr id="10" name="Chart 9" descr="July falls by contributing factors graph.">
          <a:extLst>
            <a:ext uri="{FF2B5EF4-FFF2-40B4-BE49-F238E27FC236}">
              <a16:creationId xmlns:a16="http://schemas.microsoft.com/office/drawing/2014/main" id="{A6A18EB6-C4B0-4845-9E3C-297300AADBA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9</xdr:col>
      <xdr:colOff>6666</xdr:colOff>
      <xdr:row>49</xdr:row>
      <xdr:rowOff>195113</xdr:rowOff>
    </xdr:from>
    <xdr:to>
      <xdr:col>15</xdr:col>
      <xdr:colOff>1222581</xdr:colOff>
      <xdr:row>56</xdr:row>
      <xdr:rowOff>2447</xdr:rowOff>
    </xdr:to>
    <xdr:graphicFrame macro="">
      <xdr:nvGraphicFramePr>
        <xdr:cNvPr id="11" name="Chart 10" descr="July falls by circumstances graph.">
          <a:extLst>
            <a:ext uri="{FF2B5EF4-FFF2-40B4-BE49-F238E27FC236}">
              <a16:creationId xmlns:a16="http://schemas.microsoft.com/office/drawing/2014/main" id="{B7C612C4-37E7-4714-BE8D-4B428BE089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5</xdr:col>
      <xdr:colOff>0</xdr:colOff>
      <xdr:row>132</xdr:row>
      <xdr:rowOff>197411</xdr:rowOff>
    </xdr:from>
    <xdr:to>
      <xdr:col>14</xdr:col>
      <xdr:colOff>2914</xdr:colOff>
      <xdr:row>140</xdr:row>
      <xdr:rowOff>194012</xdr:rowOff>
    </xdr:to>
    <xdr:graphicFrame macro="">
      <xdr:nvGraphicFramePr>
        <xdr:cNvPr id="12" name="Chart 11" descr="July falls by shift graph.">
          <a:extLst>
            <a:ext uri="{FF2B5EF4-FFF2-40B4-BE49-F238E27FC236}">
              <a16:creationId xmlns:a16="http://schemas.microsoft.com/office/drawing/2014/main" id="{EA9EE09F-8EE5-450F-A3A5-9FD1EDBB0C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5</xdr:col>
      <xdr:colOff>159</xdr:colOff>
      <xdr:row>91</xdr:row>
      <xdr:rowOff>185727</xdr:rowOff>
    </xdr:from>
    <xdr:to>
      <xdr:col>17</xdr:col>
      <xdr:colOff>469849</xdr:colOff>
      <xdr:row>106</xdr:row>
      <xdr:rowOff>0</xdr:rowOff>
    </xdr:to>
    <xdr:graphicFrame macro="">
      <xdr:nvGraphicFramePr>
        <xdr:cNvPr id="2" name="Chart 1" descr="August falls by location graph.">
          <a:extLst>
            <a:ext uri="{FF2B5EF4-FFF2-40B4-BE49-F238E27FC236}">
              <a16:creationId xmlns:a16="http://schemas.microsoft.com/office/drawing/2014/main" id="{D565A072-E291-42E8-B37F-E557F1E926D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7228</xdr:colOff>
      <xdr:row>122</xdr:row>
      <xdr:rowOff>9542</xdr:rowOff>
    </xdr:from>
    <xdr:to>
      <xdr:col>14</xdr:col>
      <xdr:colOff>761156</xdr:colOff>
      <xdr:row>131</xdr:row>
      <xdr:rowOff>190830</xdr:rowOff>
    </xdr:to>
    <xdr:graphicFrame macro="">
      <xdr:nvGraphicFramePr>
        <xdr:cNvPr id="3" name="Chart 2" descr="August falls by day of the week graph.">
          <a:extLst>
            <a:ext uri="{FF2B5EF4-FFF2-40B4-BE49-F238E27FC236}">
              <a16:creationId xmlns:a16="http://schemas.microsoft.com/office/drawing/2014/main" id="{CA9B4AED-4318-432E-8B85-CBE4FEEEF5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0</xdr:colOff>
      <xdr:row>106</xdr:row>
      <xdr:rowOff>198782</xdr:rowOff>
    </xdr:from>
    <xdr:to>
      <xdr:col>15</xdr:col>
      <xdr:colOff>731520</xdr:colOff>
      <xdr:row>120</xdr:row>
      <xdr:rowOff>190831</xdr:rowOff>
    </xdr:to>
    <xdr:graphicFrame macro="">
      <xdr:nvGraphicFramePr>
        <xdr:cNvPr id="4" name="Chart 3" descr="August falls by nursing station graph.">
          <a:extLst>
            <a:ext uri="{FF2B5EF4-FFF2-40B4-BE49-F238E27FC236}">
              <a16:creationId xmlns:a16="http://schemas.microsoft.com/office/drawing/2014/main" id="{99383F81-4959-4E37-883F-053F8E254CD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2910</xdr:colOff>
      <xdr:row>57</xdr:row>
      <xdr:rowOff>757</xdr:rowOff>
    </xdr:from>
    <xdr:to>
      <xdr:col>15</xdr:col>
      <xdr:colOff>1196809</xdr:colOff>
      <xdr:row>63</xdr:row>
      <xdr:rowOff>54433</xdr:rowOff>
    </xdr:to>
    <xdr:graphicFrame macro="">
      <xdr:nvGraphicFramePr>
        <xdr:cNvPr id="5" name="Chart 4" descr="August falls by BIMS score graph.">
          <a:extLst>
            <a:ext uri="{FF2B5EF4-FFF2-40B4-BE49-F238E27FC236}">
              <a16:creationId xmlns:a16="http://schemas.microsoft.com/office/drawing/2014/main" id="{9928BAD0-3814-4C1E-91C4-7F22EB0B080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10967</xdr:colOff>
      <xdr:row>142</xdr:row>
      <xdr:rowOff>1</xdr:rowOff>
    </xdr:from>
    <xdr:to>
      <xdr:col>18</xdr:col>
      <xdr:colOff>3245</xdr:colOff>
      <xdr:row>168</xdr:row>
      <xdr:rowOff>186613</xdr:rowOff>
    </xdr:to>
    <xdr:graphicFrame macro="">
      <xdr:nvGraphicFramePr>
        <xdr:cNvPr id="7" name="Chart 6" descr="August falls by hour graph.">
          <a:extLst>
            <a:ext uri="{FF2B5EF4-FFF2-40B4-BE49-F238E27FC236}">
              <a16:creationId xmlns:a16="http://schemas.microsoft.com/office/drawing/2014/main" id="{4737ECF2-3F26-4B5A-AF69-E65ED958596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503041</xdr:colOff>
      <xdr:row>64</xdr:row>
      <xdr:rowOff>0</xdr:rowOff>
    </xdr:from>
    <xdr:to>
      <xdr:col>20</xdr:col>
      <xdr:colOff>73021</xdr:colOff>
      <xdr:row>91</xdr:row>
      <xdr:rowOff>0</xdr:rowOff>
    </xdr:to>
    <xdr:graphicFrame macro="">
      <xdr:nvGraphicFramePr>
        <xdr:cNvPr id="8" name="Chart 7" descr="August falls by activity graph.">
          <a:extLst>
            <a:ext uri="{FF2B5EF4-FFF2-40B4-BE49-F238E27FC236}">
              <a16:creationId xmlns:a16="http://schemas.microsoft.com/office/drawing/2014/main" id="{D45CCBF3-6923-4D44-A768-2475FBFF24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5062</xdr:colOff>
      <xdr:row>55</xdr:row>
      <xdr:rowOff>87464</xdr:rowOff>
    </xdr:from>
    <xdr:to>
      <xdr:col>4</xdr:col>
      <xdr:colOff>0</xdr:colOff>
      <xdr:row>63</xdr:row>
      <xdr:rowOff>56879</xdr:rowOff>
    </xdr:to>
    <xdr:graphicFrame macro="">
      <xdr:nvGraphicFramePr>
        <xdr:cNvPr id="9" name="Chart 8" descr="August witnessed falls graph.">
          <a:extLst>
            <a:ext uri="{FF2B5EF4-FFF2-40B4-BE49-F238E27FC236}">
              <a16:creationId xmlns:a16="http://schemas.microsoft.com/office/drawing/2014/main" id="{EAC196E8-9190-4631-AA4E-788FBB9E74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8</xdr:col>
      <xdr:colOff>9511</xdr:colOff>
      <xdr:row>169</xdr:row>
      <xdr:rowOff>194729</xdr:rowOff>
    </xdr:from>
    <xdr:to>
      <xdr:col>20</xdr:col>
      <xdr:colOff>215596</xdr:colOff>
      <xdr:row>197</xdr:row>
      <xdr:rowOff>0</xdr:rowOff>
    </xdr:to>
    <xdr:graphicFrame macro="">
      <xdr:nvGraphicFramePr>
        <xdr:cNvPr id="10" name="Chart 9" descr="August falls by contributing factors graph.">
          <a:extLst>
            <a:ext uri="{FF2B5EF4-FFF2-40B4-BE49-F238E27FC236}">
              <a16:creationId xmlns:a16="http://schemas.microsoft.com/office/drawing/2014/main" id="{2BF10DAA-67BF-4E65-95E9-59EAA72025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9</xdr:col>
      <xdr:colOff>6666</xdr:colOff>
      <xdr:row>49</xdr:row>
      <xdr:rowOff>195113</xdr:rowOff>
    </xdr:from>
    <xdr:to>
      <xdr:col>15</xdr:col>
      <xdr:colOff>1222581</xdr:colOff>
      <xdr:row>56</xdr:row>
      <xdr:rowOff>2447</xdr:rowOff>
    </xdr:to>
    <xdr:graphicFrame macro="">
      <xdr:nvGraphicFramePr>
        <xdr:cNvPr id="11" name="Chart 10" descr="August falls by circumstances graph.">
          <a:extLst>
            <a:ext uri="{FF2B5EF4-FFF2-40B4-BE49-F238E27FC236}">
              <a16:creationId xmlns:a16="http://schemas.microsoft.com/office/drawing/2014/main" id="{ECBE05B3-C043-4188-B4EC-4D37E022C8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5</xdr:col>
      <xdr:colOff>0</xdr:colOff>
      <xdr:row>132</xdr:row>
      <xdr:rowOff>197411</xdr:rowOff>
    </xdr:from>
    <xdr:to>
      <xdr:col>14</xdr:col>
      <xdr:colOff>2914</xdr:colOff>
      <xdr:row>140</xdr:row>
      <xdr:rowOff>194012</xdr:rowOff>
    </xdr:to>
    <xdr:graphicFrame macro="">
      <xdr:nvGraphicFramePr>
        <xdr:cNvPr id="12" name="Chart 11" descr="August falls by shift graph.">
          <a:extLst>
            <a:ext uri="{FF2B5EF4-FFF2-40B4-BE49-F238E27FC236}">
              <a16:creationId xmlns:a16="http://schemas.microsoft.com/office/drawing/2014/main" id="{73608CC6-C12B-45E3-9E66-475E74012F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4973EF78-4515-49C7-AD6F-C0139A3E39CD}" name="Location" displayName="Location" ref="E2:E13" totalsRowShown="0" headerRowDxfId="996" dataDxfId="994" headerRowBorderDxfId="995" tableBorderDxfId="993" totalsRowBorderDxfId="992">
  <tableColumns count="1">
    <tableColumn id="1" xr3:uid="{3A70AA6E-58BB-423C-99B6-6A1CB14A6931}" name="Location" dataDxfId="991"/>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8C83DBB8-45FC-4F90-A5B9-0D77ED0DF306}" name="FallType" displayName="FallType" ref="W2:W5" totalsRowShown="0" headerRowDxfId="946" dataDxfId="945" tableBorderDxfId="944">
  <tableColumns count="1">
    <tableColumn id="1" xr3:uid="{3CC77EDB-016B-4056-A254-52BD041B7844}" name="Fall Type" dataDxfId="943"/>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AD03CDAE-F49B-4D5B-9E55-C090E20A62B6}" name="Jan" displayName="Jan" ref="B3:V40" headerRowDxfId="942" dataDxfId="941" totalsRowDxfId="940">
  <tableColumns count="21">
    <tableColumn id="1" xr3:uid="{D05ADDA3-6184-4BA2-A51B-ED9030C1D6A2}" name="Room" dataDxfId="939" totalsRowDxfId="938"/>
    <tableColumn id="2" xr3:uid="{5BE2863D-F1BC-4031-A5BE-D1EB7F2ADD0D}" name="Resident Name" dataDxfId="937" totalsRowDxfId="936"/>
    <tableColumn id="17" xr3:uid="{DFFE51CB-4410-405E-8B3C-543C45E847C9}" name="Date of Incident" dataDxfId="935" totalsRowDxfId="934"/>
    <tableColumn id="9" xr3:uid="{7930968D-6A57-4936-ABD3-C20504C9F6F2}" name=" Date of Post Fall Evaluation" dataDxfId="933" totalsRowDxfId="932"/>
    <tableColumn id="5" xr3:uid="{7C3EEB4C-E832-4960-987F-397C09961A7E}" name="Witnessed_x000a_Fall?" dataDxfId="931" totalsRowDxfId="930"/>
    <tableColumn id="10" xr3:uid="{122DC0DB-EC9F-4DEF-8533-E40A925E81CE}" name="Fall Circumstances" dataDxfId="929" totalsRowDxfId="928"/>
    <tableColumn id="4" xr3:uid="{C63424D5-0445-4BE6-96EA-FD20D10A472A}" name="Injury Type" dataDxfId="927" totalsRowDxfId="926"/>
    <tableColumn id="6" xr3:uid="{AA98DD76-9BD6-4129-8D1F-22729B352BAC}" name="Location" dataDxfId="925" totalsRowDxfId="924"/>
    <tableColumn id="7" xr3:uid="{22202DA2-4242-4FFE-9F04-D6DF4FF51877}" name="Station" dataDxfId="923" totalsRowDxfId="922"/>
    <tableColumn id="12" xr3:uid="{6CA9FC53-E500-4EC1-BD25-D82FA992600C}" name="Day" dataDxfId="921" totalsRowDxfId="920">
      <calculatedColumnFormula>IF(Jan[[#This Row],[Date of Incident]]="","",TEXT(Jan[[#This Row],[Date of Incident]],"ddd"))</calculatedColumnFormula>
    </tableColumn>
    <tableColumn id="19" xr3:uid="{4FA56A08-9CCB-402D-A973-E8724B4D0822}" name="Hour" dataDxfId="919" totalsRowDxfId="918"/>
    <tableColumn id="23" xr3:uid="{F0830BDE-060D-4A74-A313-79EAFEF11DAF}" name="Shift" dataDxfId="917" totalsRowDxfId="916">
      <calculatedColumnFormula>IFERROR(VLOOKUP(Jan[[#This Row],[Hour]],Shifts[],2,FALSE),"")</calculatedColumnFormula>
    </tableColumn>
    <tableColumn id="44" xr3:uid="{14885D71-9B9A-410B-A996-502AFBB05EA7}" name="BIMS Score" dataDxfId="915" totalsRowDxfId="914"/>
    <tableColumn id="45" xr3:uid="{65EF7F14-1AB6-473D-BC3E-C9C2E7C13669}" name="Cognitive Impairment" dataDxfId="913" totalsRowDxfId="912">
      <calculatedColumnFormula>IFERROR(VLOOKUP(Jan[[#This Row],[BIMS Score]],BIMS[],2,FALSE),"")</calculatedColumnFormula>
    </tableColumn>
    <tableColumn id="8" xr3:uid="{1A438C00-65CF-4026-AEE6-85EB52CC465D}" name="What was resident doing prior to fall?" dataDxfId="911" totalsRowDxfId="910"/>
    <tableColumn id="15" xr3:uid="{1CA898ED-DEDD-4B32-80D9-64BE7161705B}" name="Notes on resident activity prior to fall." dataDxfId="909" totalsRowDxfId="908"/>
    <tableColumn id="3" xr3:uid="{1076E2CA-D21B-47D9-9901-9E7D05B90C1A}" name="RCA_x000a_Completed?" dataDxfId="907" totalsRowDxfId="906"/>
    <tableColumn id="31" xr3:uid="{D9AB18F5-4D0C-4B54-9A5A-44897854029B}" name="Contributing Factors" dataDxfId="905" totalsRowDxfId="904"/>
    <tableColumn id="41" xr3:uid="{E0B0F71F-16B3-4699-81B6-1C4E51716D53}" name="Nurse" dataDxfId="903" totalsRowDxfId="902"/>
    <tableColumn id="42" xr3:uid="{CE2F899A-D129-4506-BFE2-E46A0181CE70}" name="Certified Nurse Assistance" dataDxfId="901" totalsRowDxfId="900"/>
    <tableColumn id="43" xr3:uid="{90478079-027B-4312-ADF1-189E484B961E}" name="Witness Name" dataDxfId="899"/>
  </tableColumns>
  <tableStyleInfo name="Table Style 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35C0B06-FB2F-4E4F-B660-83EA19334EA8}" name="Feb" displayName="Feb" ref="B3:V40" headerRowDxfId="898" dataDxfId="897" totalsRowDxfId="896">
  <tableColumns count="21">
    <tableColumn id="1" xr3:uid="{FDD02EA2-CB72-4DB3-AE98-CC18A0F264C6}" name="Room" dataDxfId="895" totalsRowDxfId="894"/>
    <tableColumn id="2" xr3:uid="{9A69B7FD-51FB-4AC1-9816-F2651D7A1A5F}" name="Resident Name" dataDxfId="893" totalsRowDxfId="892"/>
    <tableColumn id="17" xr3:uid="{7F903B6C-A8FD-4120-A327-4E6A3AE32442}" name="Date of Incident" dataDxfId="891" totalsRowDxfId="890"/>
    <tableColumn id="9" xr3:uid="{3F57A240-F7D1-4041-92A6-031021DD8A9D}" name=" Date of Post Fall Evaluation" dataDxfId="889" totalsRowDxfId="888"/>
    <tableColumn id="5" xr3:uid="{ABF0A90D-609B-458D-B26C-B3ED6F8EC249}" name="Witnessed_x000a_Fall?" dataDxfId="887" totalsRowDxfId="886"/>
    <tableColumn id="10" xr3:uid="{3CB5FD71-6882-4A7D-A4ED-70307ADC1484}" name="Fall Circumstances" dataDxfId="885" totalsRowDxfId="884"/>
    <tableColumn id="4" xr3:uid="{A77D1A1B-A581-4269-BA1F-8E80AF1035A5}" name="Injury Type" dataDxfId="883" totalsRowDxfId="882"/>
    <tableColumn id="6" xr3:uid="{0437E0E2-0683-459E-A67F-5262257B5FA6}" name="Location" dataDxfId="881" totalsRowDxfId="880"/>
    <tableColumn id="7" xr3:uid="{DB865705-EDE1-471D-9663-6F9E6633FB64}" name="Station" dataDxfId="879" totalsRowDxfId="878"/>
    <tableColumn id="12" xr3:uid="{DB51EA12-A9A9-44E2-A065-969214D09689}" name="Day" dataDxfId="877" totalsRowDxfId="876">
      <calculatedColumnFormula>IF(Feb[[#This Row],[Date of Incident]]="","",TEXT(Feb[[#This Row],[Date of Incident]],"ddd"))</calculatedColumnFormula>
    </tableColumn>
    <tableColumn id="19" xr3:uid="{58DC351A-A94B-4F51-936C-9E9B8D16E462}" name="Hour" dataDxfId="875" totalsRowDxfId="874"/>
    <tableColumn id="23" xr3:uid="{F2F5F092-496B-4C7C-ABBC-154AF1B948C5}" name="Shift" dataDxfId="873" totalsRowDxfId="872">
      <calculatedColumnFormula>IFERROR(VLOOKUP(Feb[[#This Row],[Hour]],Shifts[],2,FALSE),"")</calculatedColumnFormula>
    </tableColumn>
    <tableColumn id="44" xr3:uid="{177BF234-0D14-41E7-B2DB-C0A945E3B334}" name="BIMS Score" dataDxfId="871" totalsRowDxfId="870"/>
    <tableColumn id="45" xr3:uid="{250D4B15-5C58-45ED-A6DF-6F984B566DBE}" name="Cognitive Impairment" dataDxfId="869" totalsRowDxfId="868">
      <calculatedColumnFormula>IFERROR(VLOOKUP(Feb[[#This Row],[BIMS Score]],BIMS[],2,FALSE),"")</calculatedColumnFormula>
    </tableColumn>
    <tableColumn id="8" xr3:uid="{425342CF-E113-4556-97E2-F3F7076650A4}" name="What was resident doing prior to fall?" dataDxfId="867" totalsRowDxfId="866"/>
    <tableColumn id="15" xr3:uid="{3C5B931D-EDF9-4AD5-A65B-03117E4862AA}" name="Notes on resident activity prior to fall." dataDxfId="865" totalsRowDxfId="864"/>
    <tableColumn id="3" xr3:uid="{5D0CA014-D702-4F7B-91DE-E48EEBA98769}" name="RCA_x000a_Completed?" dataDxfId="863" totalsRowDxfId="862"/>
    <tableColumn id="31" xr3:uid="{8B6966DD-433C-4293-921E-B2602B788AD9}" name="Contributing Factors" dataDxfId="861" totalsRowDxfId="860"/>
    <tableColumn id="41" xr3:uid="{01BE8332-3DB5-43EC-BB28-37F9B09F4D55}" name="Nurse" dataDxfId="859" totalsRowDxfId="858"/>
    <tableColumn id="42" xr3:uid="{3C6CA654-0F9C-4029-B860-05A8065D5485}" name="Certified Nurse Assistance" dataDxfId="857" totalsRowDxfId="856"/>
    <tableColumn id="43" xr3:uid="{B9C38374-82E3-4592-91C3-7794C0D75001}" name="Witness Name" dataDxfId="855" totalsRowDxfId="854"/>
  </tableColumns>
  <tableStyleInfo name="Table Style 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BB427BF-ED8E-4892-B67E-549B83230476}" name="Mar" displayName="Mar" ref="B3:V40" headerRowDxfId="853" dataDxfId="852" totalsRowDxfId="851">
  <tableColumns count="21">
    <tableColumn id="1" xr3:uid="{6D6C1AA4-1645-48B7-84AD-74F75A26C347}" name="Room" dataDxfId="850" totalsRowDxfId="849"/>
    <tableColumn id="2" xr3:uid="{1B40E4F7-3F45-4E00-9876-E351C7D6BB8D}" name="Resident Name" dataDxfId="848" totalsRowDxfId="847"/>
    <tableColumn id="17" xr3:uid="{6662ED3D-8894-4F3B-97BB-EE0F7246766D}" name="Date of Incident" dataDxfId="846" totalsRowDxfId="845"/>
    <tableColumn id="9" xr3:uid="{7997BA89-5931-411A-91FB-A161400D2B08}" name=" Date of Post Fall Evaluation" dataDxfId="844" totalsRowDxfId="843"/>
    <tableColumn id="5" xr3:uid="{22CA1EA1-F57F-44C4-9094-2419E5F604F5}" name="Witnessed_x000a_Fall?" dataDxfId="842" totalsRowDxfId="841"/>
    <tableColumn id="10" xr3:uid="{D28917CD-CF6B-4D65-AFE4-E6DA8010E7E9}" name="Fall Circumstances" dataDxfId="840" totalsRowDxfId="839"/>
    <tableColumn id="4" xr3:uid="{522162AE-5347-49FE-8D79-ECBAB03DAF37}" name="Injury Type" dataDxfId="838" totalsRowDxfId="837"/>
    <tableColumn id="6" xr3:uid="{D842A744-148E-464B-84A6-A0EA527D9B3E}" name="Location" dataDxfId="836" totalsRowDxfId="835"/>
    <tableColumn id="7" xr3:uid="{00F162BD-B4FC-4FDC-9F49-5CAE05A04587}" name="Station" dataDxfId="834" totalsRowDxfId="833"/>
    <tableColumn id="12" xr3:uid="{5645B47D-33FB-4A4D-8AD8-377837CF437D}" name="Day" dataDxfId="832" totalsRowDxfId="831">
      <calculatedColumnFormula>IF(Mar[[#This Row],[Date of Incident]]="","",TEXT(Mar[[#This Row],[Date of Incident]],"ddd"))</calculatedColumnFormula>
    </tableColumn>
    <tableColumn id="19" xr3:uid="{129721D6-4054-488F-AAA9-A5C292BAF06D}" name="Hour" dataDxfId="830" totalsRowDxfId="829"/>
    <tableColumn id="23" xr3:uid="{DF8F13EE-58C1-4257-A923-B44CEC3B27E4}" name="Shift" dataDxfId="828" totalsRowDxfId="827">
      <calculatedColumnFormula>IFERROR(VLOOKUP(Mar[[#This Row],[Hour]],Shifts[],2,FALSE),"")</calculatedColumnFormula>
    </tableColumn>
    <tableColumn id="44" xr3:uid="{0EAC981B-57D8-4B08-A8D9-DF98B6CCC0E0}" name="BIMS Score" dataDxfId="826" totalsRowDxfId="825"/>
    <tableColumn id="45" xr3:uid="{BF7C47D4-F34C-43AC-8233-A73A6D5D639C}" name="Cognitive Impairment" dataDxfId="824" totalsRowDxfId="823">
      <calculatedColumnFormula>IFERROR(VLOOKUP(Mar[[#This Row],[BIMS Score]],BIMS[],2,FALSE),"")</calculatedColumnFormula>
    </tableColumn>
    <tableColumn id="8" xr3:uid="{CF9CF86C-1035-493D-BFA8-9D7A437510A1}" name="What was resident doing prior to fall?" dataDxfId="822" totalsRowDxfId="821"/>
    <tableColumn id="15" xr3:uid="{5346AA55-F6AF-44A9-9F94-871A3DB79757}" name="Notes on resident activity prior to fall." dataDxfId="820" totalsRowDxfId="819"/>
    <tableColumn id="3" xr3:uid="{E19B6F24-6C52-497B-BF56-87F3B3DC584F}" name="RCA_x000a_Completed?" dataDxfId="818" totalsRowDxfId="817"/>
    <tableColumn id="31" xr3:uid="{AB898024-88BA-4877-B178-8DEBA1088AF8}" name="Contributing Factors" dataDxfId="816" totalsRowDxfId="815"/>
    <tableColumn id="41" xr3:uid="{C470B590-F59B-49E4-97AA-C024F7DE27F9}" name="Nurse" dataDxfId="814" totalsRowDxfId="813"/>
    <tableColumn id="42" xr3:uid="{B54E0630-AA25-428A-874B-8380615504BD}" name="Certified Nurse Assistance" dataDxfId="812" totalsRowDxfId="811"/>
    <tableColumn id="43" xr3:uid="{956680E8-D7E4-4623-9F13-14D1B7FBAE3D}" name="Witness Name" dataDxfId="810"/>
  </tableColumns>
  <tableStyleInfo name="Table Style 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7200E303-C6D2-4713-8D84-6CDFC06E71A7}" name="Apr" displayName="Apr" ref="B3:V40" headerRowDxfId="809" dataDxfId="808" totalsRowDxfId="807">
  <tableColumns count="21">
    <tableColumn id="1" xr3:uid="{4031420F-BCD7-4356-B05C-ADE56831EEA3}" name="Room" dataDxfId="806" totalsRowDxfId="805"/>
    <tableColumn id="2" xr3:uid="{846FC3C4-1081-4562-8F43-2197D5F2596C}" name="Resident Name" dataDxfId="804" totalsRowDxfId="803"/>
    <tableColumn id="17" xr3:uid="{658F1986-27BD-4A6C-8534-EAC285FF5DF9}" name="Date of Incident" dataDxfId="802" totalsRowDxfId="801"/>
    <tableColumn id="9" xr3:uid="{C68E8ECF-36FA-46CA-AA2A-C6652DD9E808}" name=" Date of Post Fall Evaluation" dataDxfId="800" totalsRowDxfId="799"/>
    <tableColumn id="5" xr3:uid="{02C99DB9-6EB6-490B-86D5-579E66530947}" name="Witnessed_x000a_Fall?" dataDxfId="798" totalsRowDxfId="797"/>
    <tableColumn id="10" xr3:uid="{8DB21AA8-D72C-4A85-9F8C-A4339BFEBB01}" name="Fall Circumstances" dataDxfId="796" totalsRowDxfId="795"/>
    <tableColumn id="4" xr3:uid="{1B0880A6-D793-4B4C-9601-CB3E9D98CAA3}" name="Injury Type" dataDxfId="794" totalsRowDxfId="793"/>
    <tableColumn id="6" xr3:uid="{1507014D-29A3-443A-8E95-CA96BFEAD123}" name="Location" dataDxfId="792" totalsRowDxfId="791"/>
    <tableColumn id="7" xr3:uid="{77D23D72-15FC-4CEC-81F2-84CC18B47744}" name="Station" dataDxfId="790" totalsRowDxfId="789"/>
    <tableColumn id="12" xr3:uid="{14D0802B-6AEE-4FBE-B0C9-921BD4893B78}" name="Day" dataDxfId="788" totalsRowDxfId="787">
      <calculatedColumnFormula>IF(Apr[[#This Row],[Date of Incident]]="","",TEXT(Apr[[#This Row],[Date of Incident]],"ddd"))</calculatedColumnFormula>
    </tableColumn>
    <tableColumn id="19" xr3:uid="{94A7690F-31C0-4C14-B69A-0119B304E4D4}" name="Hour" dataDxfId="786" totalsRowDxfId="785"/>
    <tableColumn id="23" xr3:uid="{89514B1B-BD3D-433F-AC2E-973710BE5688}" name="Shift" dataDxfId="784" totalsRowDxfId="783">
      <calculatedColumnFormula>IFERROR(VLOOKUP(Apr[[#This Row],[Hour]],Shifts[],2,FALSE),"")</calculatedColumnFormula>
    </tableColumn>
    <tableColumn id="44" xr3:uid="{1430B0B9-54C1-4D96-B9F5-5AF90978C5EB}" name="BIMS Score" dataDxfId="782" totalsRowDxfId="781"/>
    <tableColumn id="45" xr3:uid="{31C80A1C-55F1-446F-95D8-CB27A799887C}" name="Cognitive Impairment" dataDxfId="780" totalsRowDxfId="779">
      <calculatedColumnFormula>IFERROR(VLOOKUP(Apr[[#This Row],[BIMS Score]],BIMS[],2,FALSE),"")</calculatedColumnFormula>
    </tableColumn>
    <tableColumn id="8" xr3:uid="{50C87FA9-F677-463B-915B-EC1C473E821A}" name="What was resident doing prior to fall?" dataDxfId="778" totalsRowDxfId="777"/>
    <tableColumn id="15" xr3:uid="{C9E1E5A4-FA1A-4AD6-9095-C072B8B42A7E}" name="Notes on resident activity prior to fall." dataDxfId="776" totalsRowDxfId="775"/>
    <tableColumn id="3" xr3:uid="{747B48C5-97C6-4C2A-BEFF-9D5F70A73EA6}" name="RCA_x000a_Completed?" dataDxfId="774" totalsRowDxfId="773"/>
    <tableColumn id="31" xr3:uid="{E69589AA-994E-4F50-9AE3-EB05B44C6968}" name="Contributing Factors" dataDxfId="772" totalsRowDxfId="771"/>
    <tableColumn id="41" xr3:uid="{116B9C8D-6121-401C-A77A-568E3D67B59C}" name="Nurse" dataDxfId="770" totalsRowDxfId="769"/>
    <tableColumn id="42" xr3:uid="{FE0228AC-1AEF-4F34-9C76-F472F81B0721}" name="Certified Nurse Assistance" dataDxfId="768" totalsRowDxfId="767"/>
    <tableColumn id="43" xr3:uid="{3462B649-DFAF-4AEA-9E2A-D1C29A62C868}" name="Witness Name" dataDxfId="766" totalsRowDxfId="765"/>
  </tableColumns>
  <tableStyleInfo name="Table Style 1"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920D1203-1BF2-4732-87E4-9C20364F944D}" name="May" displayName="May" ref="B3:V40" headerRowDxfId="764" dataDxfId="763" totalsRowDxfId="762">
  <tableColumns count="21">
    <tableColumn id="1" xr3:uid="{48C01255-CC46-496C-84B4-31663E73253A}" name="Room" dataDxfId="761" totalsRowDxfId="760"/>
    <tableColumn id="2" xr3:uid="{B3FC0494-925B-468D-A41D-B0306C61DA29}" name="Resident Name" dataDxfId="759" totalsRowDxfId="758"/>
    <tableColumn id="17" xr3:uid="{29D5EFC7-438D-4E1F-A3DB-9E055F40F90A}" name="Date of Incident" dataDxfId="757" totalsRowDxfId="756"/>
    <tableColumn id="9" xr3:uid="{F7EBA09B-7A51-4A6B-8BCA-4512DF1E1350}" name=" Date of Post Fall Evaluation" dataDxfId="755" totalsRowDxfId="754"/>
    <tableColumn id="5" xr3:uid="{873BBC08-5137-4D13-A6D8-E0BD205FF6B9}" name="Witnessed_x000a_Fall?" dataDxfId="753" totalsRowDxfId="752"/>
    <tableColumn id="10" xr3:uid="{C02A669A-944B-4B6D-87DF-04A0A486BB5A}" name="Fall Circumstances" dataDxfId="751" totalsRowDxfId="750"/>
    <tableColumn id="4" xr3:uid="{E3CD8109-AF1C-44E6-A556-3576ACEED7CE}" name="Injury Type" dataDxfId="749" totalsRowDxfId="748"/>
    <tableColumn id="6" xr3:uid="{F9009823-F1C4-4851-B903-2AA9AA49720C}" name="Location" dataDxfId="747" totalsRowDxfId="746"/>
    <tableColumn id="7" xr3:uid="{0AA8AB63-BC5A-492A-A5F9-1D18C31E58D9}" name="Station" dataDxfId="745" totalsRowDxfId="744"/>
    <tableColumn id="12" xr3:uid="{EE71249E-CF59-4407-A2C1-B3FDBF3486D1}" name="Day" dataDxfId="743" totalsRowDxfId="742">
      <calculatedColumnFormula>IF(May[[#This Row],[Date of Incident]]="","",TEXT(May[[#This Row],[Date of Incident]],"ddd"))</calculatedColumnFormula>
    </tableColumn>
    <tableColumn id="19" xr3:uid="{E8B92C63-041F-44E9-81CB-C79F4D70C177}" name="Hour" dataDxfId="741" totalsRowDxfId="740"/>
    <tableColumn id="23" xr3:uid="{740C5A97-3214-466A-8BC7-C479B3B76458}" name="Shift" dataDxfId="739" totalsRowDxfId="738">
      <calculatedColumnFormula>IFERROR(VLOOKUP(May[[#This Row],[Hour]],Shifts[],2,FALSE),"")</calculatedColumnFormula>
    </tableColumn>
    <tableColumn id="44" xr3:uid="{B99351D3-ED77-4999-A8BA-EFEDA251CE96}" name="BIMS Score" dataDxfId="737" totalsRowDxfId="736"/>
    <tableColumn id="45" xr3:uid="{5764BCE6-D1BA-422D-BA16-BC7CB5364CDF}" name="Cognitive Impairment" dataDxfId="735" totalsRowDxfId="734">
      <calculatedColumnFormula>IFERROR(VLOOKUP(May[[#This Row],[BIMS Score]],BIMS[],2,FALSE),"")</calculatedColumnFormula>
    </tableColumn>
    <tableColumn id="8" xr3:uid="{991EB0B8-64AD-44E3-AA21-B82BDB61D446}" name="What was resident doing prior to fall?" dataDxfId="733" totalsRowDxfId="732"/>
    <tableColumn id="15" xr3:uid="{45450807-183B-4153-AEA5-3D1161E136E2}" name="Notes on resident activity prior to fall." dataDxfId="731" totalsRowDxfId="730"/>
    <tableColumn id="3" xr3:uid="{D321C7ED-3678-4887-BA18-285704B24EF3}" name="RCA_x000a_Completed?" dataDxfId="729" totalsRowDxfId="728"/>
    <tableColumn id="31" xr3:uid="{0BD1ABE7-FAC5-4F71-BCDD-AA012F6C7C0E}" name="Contributing Factors" dataDxfId="727" totalsRowDxfId="726"/>
    <tableColumn id="41" xr3:uid="{A1331C32-46DB-4737-83AC-016A4A557E28}" name="Nurse" dataDxfId="725" totalsRowDxfId="724"/>
    <tableColumn id="42" xr3:uid="{E1A80206-73A4-4ABE-8A93-93A0BCD71EEC}" name="Certified Nurse Assistance" dataDxfId="723" totalsRowDxfId="722"/>
    <tableColumn id="43" xr3:uid="{2DBBE31D-6D35-483C-B788-96D43DB555D3}" name="Witness Name" dataDxfId="721" totalsRowDxfId="720"/>
  </tableColumns>
  <tableStyleInfo name="Table Style 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7C559BD9-224B-4BDB-9E6B-45268859048D}" name="June" displayName="June" ref="B3:V40" headerRowDxfId="719" dataDxfId="718" totalsRowDxfId="717">
  <tableColumns count="21">
    <tableColumn id="1" xr3:uid="{24107228-6EFC-40ED-9D12-9712B9CE0505}" name="Room" dataDxfId="716" totalsRowDxfId="715"/>
    <tableColumn id="2" xr3:uid="{3A40A44C-A8A9-4124-9754-7CAFB501DF88}" name="Resident Name" dataDxfId="714" totalsRowDxfId="713"/>
    <tableColumn id="17" xr3:uid="{C167CC50-8BAF-4946-ABE8-650BE4E9A83F}" name="Date of Incident" dataDxfId="712" totalsRowDxfId="711"/>
    <tableColumn id="9" xr3:uid="{CAFB2C55-2082-42CD-BB85-1EAC0E22B74D}" name=" Date of Post Fall Evaluation" dataDxfId="710" totalsRowDxfId="709"/>
    <tableColumn id="5" xr3:uid="{94DE6E89-224B-434D-8194-23173816FFB6}" name="Witnessed_x000a_Fall?" dataDxfId="708" totalsRowDxfId="707"/>
    <tableColumn id="10" xr3:uid="{62842470-F4C1-4C50-AEE7-D4D942CA8215}" name="Fall Circumstances" dataDxfId="706" totalsRowDxfId="705"/>
    <tableColumn id="4" xr3:uid="{04425486-05A7-4732-B58E-474ACC179E20}" name="Injury Type" dataDxfId="704" totalsRowDxfId="703"/>
    <tableColumn id="6" xr3:uid="{6F6598A0-EFAA-4FF2-8C83-A150BC7B4A07}" name="Location" dataDxfId="702" totalsRowDxfId="701"/>
    <tableColumn id="7" xr3:uid="{FCD4753C-38EB-49FD-8A40-D6DAC81F7085}" name="Station" dataDxfId="700" totalsRowDxfId="699"/>
    <tableColumn id="12" xr3:uid="{485097B7-1BAF-4771-829C-CB1F3F5BD271}" name="Day" dataDxfId="698" totalsRowDxfId="697">
      <calculatedColumnFormula>IF(June[[#This Row],[Date of Incident]]="","",TEXT(June[[#This Row],[Date of Incident]],"ddd"))</calculatedColumnFormula>
    </tableColumn>
    <tableColumn id="19" xr3:uid="{B8DF1559-4866-4239-B320-D229A64A746C}" name="Hour" dataDxfId="696" totalsRowDxfId="695"/>
    <tableColumn id="23" xr3:uid="{15C36858-641B-4126-B421-D8ABF1003D0C}" name="Shift" dataDxfId="694" totalsRowDxfId="693">
      <calculatedColumnFormula>IFERROR(VLOOKUP(June[[#This Row],[Hour]],Shifts[],2,FALSE),"")</calculatedColumnFormula>
    </tableColumn>
    <tableColumn id="44" xr3:uid="{9853E21D-259A-4597-84BD-70D71C11782C}" name="BIMS Score" dataDxfId="692" totalsRowDxfId="691"/>
    <tableColumn id="45" xr3:uid="{A924050D-1AD8-431A-A535-316C008F162B}" name="Cognitive Impairment" dataDxfId="690" totalsRowDxfId="689">
      <calculatedColumnFormula>IFERROR(VLOOKUP(June[[#This Row],[BIMS Score]],BIMS[],2,FALSE),"")</calculatedColumnFormula>
    </tableColumn>
    <tableColumn id="8" xr3:uid="{7D0A0793-CAE5-403D-B38A-6A663F911581}" name="What was resident doing prior to fall?" dataDxfId="688" totalsRowDxfId="687"/>
    <tableColumn id="15" xr3:uid="{62F5FEC7-3134-416D-B9DB-66E1BA913B84}" name="Notes on resident activity prior to fall." dataDxfId="686" totalsRowDxfId="685"/>
    <tableColumn id="3" xr3:uid="{EC199CF9-5FBB-4D31-ADFE-7FB68E9FDA8F}" name="RCA_x000a_Completed?" dataDxfId="684" totalsRowDxfId="683"/>
    <tableColumn id="31" xr3:uid="{C702FDB9-06B4-40F1-9112-E8F0238CB07F}" name="Contributing Factors" dataDxfId="682" totalsRowDxfId="681"/>
    <tableColumn id="41" xr3:uid="{1E8B5F38-5CB5-41FD-8462-921C0F5D90B2}" name="Nurse" dataDxfId="680" totalsRowDxfId="679"/>
    <tableColumn id="42" xr3:uid="{B1FC89D2-6D0A-4E26-A8FF-FFEF159E261C}" name="Certified Nurse Assistance" dataDxfId="678" totalsRowDxfId="677"/>
    <tableColumn id="43" xr3:uid="{7F8E24E9-025A-48C1-9558-5A23DDA7DF00}" name="Witness Name" dataDxfId="676"/>
  </tableColumns>
  <tableStyleInfo name="Table Style 1"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B51D659-B8AA-4E1A-9A2D-FF42E0A33CD1}" name="July" displayName="July" ref="B3:V40" headerRowDxfId="675" dataDxfId="674" totalsRowDxfId="673">
  <tableColumns count="21">
    <tableColumn id="1" xr3:uid="{E18BACBE-DC8C-4872-88D4-0E8FBA32C82D}" name="Room" dataDxfId="672" totalsRowDxfId="671"/>
    <tableColumn id="2" xr3:uid="{6A7F66F8-BF57-4213-B2FC-1A150D8C575B}" name="Resident Name" dataDxfId="670" totalsRowDxfId="669"/>
    <tableColumn id="17" xr3:uid="{094021E6-CD31-4E1F-8C63-11664BC4AA0A}" name="Date of Incident" dataDxfId="668" totalsRowDxfId="667"/>
    <tableColumn id="9" xr3:uid="{10C7A00B-97C6-4D6F-B01F-72EAFAA7DE72}" name=" Date of Post Fall Evaluation" dataDxfId="666" totalsRowDxfId="665"/>
    <tableColumn id="5" xr3:uid="{DDFA9652-3555-4C17-9E59-71419718878D}" name="Witnessed_x000a_Fall?" dataDxfId="664" totalsRowDxfId="663"/>
    <tableColumn id="10" xr3:uid="{C7C212E2-293C-4588-AE52-2F7BF0BB3A64}" name="Fall Circumstances" dataDxfId="662" totalsRowDxfId="661"/>
    <tableColumn id="4" xr3:uid="{85789DA7-883E-4152-BFF5-DE8C595DC476}" name="Injury Type" dataDxfId="660" totalsRowDxfId="659"/>
    <tableColumn id="6" xr3:uid="{9470E256-FD3C-4724-8024-5E0825C87058}" name="Location" dataDxfId="658" totalsRowDxfId="657"/>
    <tableColumn id="7" xr3:uid="{41D51548-9880-42CE-815B-3F53C95F0B81}" name="Station" dataDxfId="656" totalsRowDxfId="655"/>
    <tableColumn id="12" xr3:uid="{78665779-EAE1-4714-8F7B-54874729AEA0}" name="Day" dataDxfId="654" totalsRowDxfId="653">
      <calculatedColumnFormula>IF(July[[#This Row],[Date of Incident]]="","",TEXT(July[[#This Row],[Date of Incident]],"ddd"))</calculatedColumnFormula>
    </tableColumn>
    <tableColumn id="19" xr3:uid="{8ED6741C-37BD-4927-9811-204B8C5BC6F1}" name="Hour" dataDxfId="652" totalsRowDxfId="651"/>
    <tableColumn id="23" xr3:uid="{D9C06204-D9D7-4936-8047-09FC0C83B887}" name="Shift" dataDxfId="650" totalsRowDxfId="649">
      <calculatedColumnFormula>IFERROR(VLOOKUP(July[[#This Row],[Hour]],Shifts[],2,FALSE),"")</calculatedColumnFormula>
    </tableColumn>
    <tableColumn id="44" xr3:uid="{83595E3A-02C7-4B07-8A1C-B6548C14E4DC}" name="BIMS Score" dataDxfId="648" totalsRowDxfId="647"/>
    <tableColumn id="45" xr3:uid="{E38CBCBA-9D2E-4BAE-8135-3F3D488CD50D}" name="Cognitive Impairment" dataDxfId="646" totalsRowDxfId="645">
      <calculatedColumnFormula>IFERROR(VLOOKUP(July[[#This Row],[BIMS Score]],BIMS[],2,FALSE),"")</calculatedColumnFormula>
    </tableColumn>
    <tableColumn id="8" xr3:uid="{ABF9A8D1-ADC1-4C0D-9925-4E6657207971}" name="What was resident doing prior to fall?" dataDxfId="644" totalsRowDxfId="643"/>
    <tableColumn id="15" xr3:uid="{46E364D1-EB19-4BD9-B328-5E084AA2BF63}" name="Notes on resident activity prior to fall." dataDxfId="642" totalsRowDxfId="641"/>
    <tableColumn id="3" xr3:uid="{2AED9373-92FA-4209-9CC1-56DD7CC7F248}" name="RCA_x000a_Completed?" dataDxfId="640" totalsRowDxfId="639"/>
    <tableColumn id="31" xr3:uid="{7392E3FD-ECF1-419B-8066-952D86C81926}" name="Contributing Factors" dataDxfId="638" totalsRowDxfId="637"/>
    <tableColumn id="41" xr3:uid="{BCB6389A-F06E-41A2-9A89-E30CB692F24C}" name="Nurse" dataDxfId="636" totalsRowDxfId="635"/>
    <tableColumn id="42" xr3:uid="{11A63D06-23DB-446D-BD8F-39FC19683B7F}" name="Certified Nurse Assistance" dataDxfId="634" totalsRowDxfId="633"/>
    <tableColumn id="43" xr3:uid="{9A843EE2-55E5-48F3-99EC-6EAB0089FF5D}" name="Witness Name" dataDxfId="632" totalsRowDxfId="631"/>
  </tableColumns>
  <tableStyleInfo name="Table Style 1"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53FD3EF5-A00B-49E9-9846-AB3AB1F27263}" name="Aug" displayName="Aug" ref="B3:V40" headerRowDxfId="630" dataDxfId="629" totalsRowDxfId="628">
  <tableColumns count="21">
    <tableColumn id="1" xr3:uid="{3700C359-BB08-4D39-A898-F457EAED3EFF}" name="Room" dataDxfId="627" totalsRowDxfId="626"/>
    <tableColumn id="2" xr3:uid="{9F4820D0-D3E6-4D3C-AA53-2D4FCEEA647F}" name="Resident Name" dataDxfId="625" totalsRowDxfId="624"/>
    <tableColumn id="17" xr3:uid="{A47A83B9-78E7-4BE7-88EB-21C7121B46DA}" name="Date of Incident" dataDxfId="623" totalsRowDxfId="622"/>
    <tableColumn id="9" xr3:uid="{0B18982E-BB27-4D45-BBF9-66BCCE428DF8}" name=" Date of Post Fall Evaluation" dataDxfId="621" totalsRowDxfId="620"/>
    <tableColumn id="5" xr3:uid="{797D92FC-8197-4C49-88DE-921ED6C5F9D9}" name="Witnessed_x000a_Fall?" dataDxfId="619" totalsRowDxfId="618"/>
    <tableColumn id="10" xr3:uid="{399B8C35-1C20-42B9-A3B9-93EED3F1368D}" name="Fall Circumstances" dataDxfId="617" totalsRowDxfId="616"/>
    <tableColumn id="4" xr3:uid="{DF3DA004-115A-4358-AB99-7CDE7EC6FEEA}" name="Injury Type" dataDxfId="615" totalsRowDxfId="614"/>
    <tableColumn id="6" xr3:uid="{CD1386B4-FDD7-4D5C-A683-DCDD0BBF0A84}" name="Location" dataDxfId="613" totalsRowDxfId="612"/>
    <tableColumn id="7" xr3:uid="{33C05B0E-A5BD-44A3-9188-379EE732A3B0}" name="Station" dataDxfId="611" totalsRowDxfId="610"/>
    <tableColumn id="12" xr3:uid="{2C054506-C41E-40E0-BD30-8CC4556608A3}" name="Day" dataDxfId="609" totalsRowDxfId="608">
      <calculatedColumnFormula>IF(Aug[[#This Row],[Date of Incident]]="","",TEXT(Aug[[#This Row],[Date of Incident]],"ddd"))</calculatedColumnFormula>
    </tableColumn>
    <tableColumn id="19" xr3:uid="{8697B215-C67D-4A4B-9D4E-E31CB6B3DD59}" name="Hour" dataDxfId="607" totalsRowDxfId="606"/>
    <tableColumn id="23" xr3:uid="{4BB310F1-5636-4315-8E2A-6CE99E589745}" name="Shift" dataDxfId="605" totalsRowDxfId="604">
      <calculatedColumnFormula>IFERROR(VLOOKUP(Aug[[#This Row],[Hour]],Shifts[],2,FALSE),"")</calculatedColumnFormula>
    </tableColumn>
    <tableColumn id="44" xr3:uid="{C6E20C05-B702-4273-B42D-42ED720B522E}" name="BIMS Score" dataDxfId="603" totalsRowDxfId="602"/>
    <tableColumn id="45" xr3:uid="{AC4E4D9D-6A87-482F-B90E-4F2F5392B081}" name="Cognitive Impairment" dataDxfId="601" totalsRowDxfId="600">
      <calculatedColumnFormula>IFERROR(VLOOKUP(Aug[[#This Row],[BIMS Score]],BIMS[],2,FALSE),"")</calculatedColumnFormula>
    </tableColumn>
    <tableColumn id="8" xr3:uid="{AEEC3D33-9EF2-44E4-84F7-ECF1DCD089E1}" name="What was resident doing prior to fall?" dataDxfId="599" totalsRowDxfId="598"/>
    <tableColumn id="15" xr3:uid="{33ECF183-0BF8-489E-8CEA-DC3380792ED7}" name="Notes on resident activity prior to fall." dataDxfId="597" totalsRowDxfId="596"/>
    <tableColumn id="3" xr3:uid="{B0D1D9CD-F445-41EA-9411-F51C4F73D6DE}" name="RCA_x000a_Completed?" dataDxfId="595" totalsRowDxfId="594"/>
    <tableColumn id="31" xr3:uid="{8649974D-4F8A-4E52-9085-9085CF1DFAD5}" name="Contributing Factors" dataDxfId="593" totalsRowDxfId="592"/>
    <tableColumn id="41" xr3:uid="{432BC917-07E6-4915-9E97-6E7D7605E25E}" name="Nurse" dataDxfId="591" totalsRowDxfId="590"/>
    <tableColumn id="42" xr3:uid="{F9AE6919-1565-4E51-AE7A-2A383BA3D907}" name="Certified Nurse Assistance" dataDxfId="589" totalsRowDxfId="588"/>
    <tableColumn id="43" xr3:uid="{DA29B10C-D63D-496D-A9A4-83833FCAB310}" name="Witness Name" dataDxfId="587"/>
  </tableColumns>
  <tableStyleInfo name="Table Style 1"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FE614426-9648-47CC-8FD7-99997D3C9AD0}" name="Sept" displayName="Sept" ref="B3:V40" headerRowDxfId="586" dataDxfId="585" totalsRowDxfId="584">
  <tableColumns count="21">
    <tableColumn id="1" xr3:uid="{6EDC2A13-7E93-40B9-BC91-9A86D226B4E6}" name="Room" dataDxfId="583" totalsRowDxfId="582"/>
    <tableColumn id="2" xr3:uid="{B64EA1A9-5435-4BAD-ADA2-A8649A134A2F}" name="Resident Name" dataDxfId="581" totalsRowDxfId="580"/>
    <tableColumn id="17" xr3:uid="{7A7D9260-7010-434F-AF6F-8314C26A4876}" name="Date of Incident" dataDxfId="579" totalsRowDxfId="578"/>
    <tableColumn id="9" xr3:uid="{8668F636-DE34-4062-82F5-0107B0AD469A}" name=" Date of Post Fall Evaluation" dataDxfId="577" totalsRowDxfId="576"/>
    <tableColumn id="5" xr3:uid="{D2C9004E-F2AE-43D1-BD80-DD7E50761C30}" name="Witnessed_x000a_Fall?" dataDxfId="575" totalsRowDxfId="574"/>
    <tableColumn id="10" xr3:uid="{645067D3-C0A7-4FCF-B3F5-B06AD6EC3C8D}" name="Fall Circumstances" dataDxfId="573" totalsRowDxfId="572"/>
    <tableColumn id="4" xr3:uid="{9DB83AD2-F01A-407C-9427-82EBAD572F87}" name="Injury Type" dataDxfId="571" totalsRowDxfId="570"/>
    <tableColumn id="6" xr3:uid="{78D9C3E2-D6DF-4952-92F6-6B560CA58CD9}" name="Location" dataDxfId="569" totalsRowDxfId="568"/>
    <tableColumn id="7" xr3:uid="{39883E94-BD4C-4D12-A286-4A959F87D6E7}" name="Station" dataDxfId="567" totalsRowDxfId="566"/>
    <tableColumn id="12" xr3:uid="{0FADF0A5-6643-4CCE-93DF-8E524288C389}" name="Day" dataDxfId="565" totalsRowDxfId="564">
      <calculatedColumnFormula>IF(Sept[[#This Row],[Date of Incident]]="","",TEXT(Sept[[#This Row],[Date of Incident]],"ddd"))</calculatedColumnFormula>
    </tableColumn>
    <tableColumn id="19" xr3:uid="{9EE5C714-0F5E-4F23-88DA-3B120326C7F1}" name="Hour" dataDxfId="563" totalsRowDxfId="562"/>
    <tableColumn id="23" xr3:uid="{CDC89C7F-B0DC-44AB-BD53-963C483A8BF8}" name="Shift" dataDxfId="561" totalsRowDxfId="560">
      <calculatedColumnFormula>IFERROR(VLOOKUP(Sept[[#This Row],[Hour]],Shifts[],2,FALSE),"")</calculatedColumnFormula>
    </tableColumn>
    <tableColumn id="44" xr3:uid="{58C179DD-3FC8-4308-868A-9F267548E413}" name="BIMS Score" dataDxfId="559" totalsRowDxfId="558"/>
    <tableColumn id="45" xr3:uid="{80E9D7C5-3349-426D-9A17-FFF7845E5624}" name="Cognitive Impairment" dataDxfId="557" totalsRowDxfId="556">
      <calculatedColumnFormula>IFERROR(VLOOKUP(Sept[[#This Row],[BIMS Score]],BIMS[],2,FALSE),"")</calculatedColumnFormula>
    </tableColumn>
    <tableColumn id="8" xr3:uid="{0D2FB8EF-1177-429C-9396-208C771F94FC}" name="What was resident doing prior to fall?" dataDxfId="555" totalsRowDxfId="554"/>
    <tableColumn id="15" xr3:uid="{087DF594-144A-4525-AAB4-59856D159F68}" name="Notes on resident activity prior to fall." dataDxfId="553" totalsRowDxfId="552"/>
    <tableColumn id="3" xr3:uid="{121910DA-A260-4D92-9CE3-356FD8E9A9FC}" name="RCA_x000a_Completed?" dataDxfId="551" totalsRowDxfId="550"/>
    <tableColumn id="31" xr3:uid="{1C4DD5A7-A265-4B19-9EFA-814B801C1F7F}" name="Contributing Factors" dataDxfId="549" totalsRowDxfId="548"/>
    <tableColumn id="41" xr3:uid="{4D4E43D5-74B1-4B89-8687-346028B97F61}" name="Nurse" dataDxfId="547" totalsRowDxfId="546"/>
    <tableColumn id="42" xr3:uid="{8C1273FC-A1E5-4A32-B695-31C4484F60E7}" name="Certified Nurse Assistance" dataDxfId="545" totalsRowDxfId="544"/>
    <tableColumn id="43" xr3:uid="{EC37B855-232F-4724-83AA-1B1CB5BBFFFE}" name="Witness Name" dataDxfId="543" totalsRowDxfId="542"/>
  </tableColumns>
  <tableStyleInfo name="Table Style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962E39D0-41E6-411A-93EF-4C50C2401C62}" name="NS" displayName="NS" ref="G2:G13" totalsRowShown="0" headerRowDxfId="990" dataDxfId="988" headerRowBorderDxfId="989" tableBorderDxfId="987" totalsRowBorderDxfId="986">
  <tableColumns count="1">
    <tableColumn id="1" xr3:uid="{0F3380FD-EBCD-4481-9BA3-ABB1AA29EE79}" name="Nurses Stations" dataDxfId="985"/>
  </tableColumns>
  <tableStyleInfo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40E2F1FE-5C66-45AB-9EED-73C87E24D456}" name="Oct" displayName="Oct" ref="B3:V40" headerRowDxfId="541" dataDxfId="540" totalsRowDxfId="539">
  <tableColumns count="21">
    <tableColumn id="1" xr3:uid="{22B7D785-E6F5-42D6-8492-80CCE4DDCB12}" name="Room" dataDxfId="538" totalsRowDxfId="537"/>
    <tableColumn id="2" xr3:uid="{DDB5763B-C94E-4969-998C-CBDE6D65C3E1}" name="Resident Name" dataDxfId="536" totalsRowDxfId="535"/>
    <tableColumn id="17" xr3:uid="{280D563F-147E-4FF6-AB3C-3D083E42B3A6}" name="Date of Incident" dataDxfId="534" totalsRowDxfId="533"/>
    <tableColumn id="9" xr3:uid="{2C439EB4-40E0-4BD9-814C-0593626350B9}" name=" Date of Post Fall Evaluation" dataDxfId="532" totalsRowDxfId="531"/>
    <tableColumn id="5" xr3:uid="{8B699393-5ADD-40D8-9768-CBA67308EABE}" name="Witnessed_x000a_Fall?" dataDxfId="530" totalsRowDxfId="529"/>
    <tableColumn id="10" xr3:uid="{235EAB05-2505-42E5-974C-5239167BE8D9}" name="Fall Circumstances" dataDxfId="528" totalsRowDxfId="527"/>
    <tableColumn id="4" xr3:uid="{59F01AFA-EF62-40AD-AC3F-B4943E84C27F}" name="Injury Type" dataDxfId="526" totalsRowDxfId="525"/>
    <tableColumn id="6" xr3:uid="{9A13F279-DC2F-4747-B004-E3DB38827F03}" name="Location" dataDxfId="524" totalsRowDxfId="523"/>
    <tableColumn id="7" xr3:uid="{C92723E3-5C7F-4FEB-8C2A-6FD8C92B3781}" name="Station" dataDxfId="522" totalsRowDxfId="521"/>
    <tableColumn id="12" xr3:uid="{38EDB802-E0F0-4E51-9A31-5DA8AFD639D9}" name="Day" dataDxfId="520" totalsRowDxfId="519">
      <calculatedColumnFormula>IF(Oct[[#This Row],[Date of Incident]]="","",TEXT(Oct[[#This Row],[Date of Incident]],"ddd"))</calculatedColumnFormula>
    </tableColumn>
    <tableColumn id="19" xr3:uid="{732C75D9-4229-499B-8072-CE53FA89B0BC}" name="Hour" dataDxfId="518" totalsRowDxfId="517"/>
    <tableColumn id="23" xr3:uid="{BBF1D402-689C-4BAF-8B5E-D5B1C2CB210B}" name="Shift" dataDxfId="516" totalsRowDxfId="515">
      <calculatedColumnFormula>IFERROR(VLOOKUP(Oct[[#This Row],[Hour]],Shifts[],2,FALSE),"")</calculatedColumnFormula>
    </tableColumn>
    <tableColumn id="44" xr3:uid="{80CCDB01-FDC4-49CF-A028-E5553ED1C5C3}" name="BIMS Score" dataDxfId="514" totalsRowDxfId="513"/>
    <tableColumn id="45" xr3:uid="{9DE84AC0-DAE6-4054-BD5F-1E979E1108CD}" name="Cognitive Impairment" dataDxfId="512" totalsRowDxfId="511">
      <calculatedColumnFormula>IFERROR(VLOOKUP(Oct[[#This Row],[BIMS Score]],BIMS[],2,FALSE),"")</calculatedColumnFormula>
    </tableColumn>
    <tableColumn id="8" xr3:uid="{3641D990-CC8E-443F-90D9-5D90F663F3B0}" name="What was resident doing prior to fall?" dataDxfId="510" totalsRowDxfId="509"/>
    <tableColumn id="15" xr3:uid="{EEBE17E4-03BB-4512-B7DE-01AB9EF182AF}" name="Notes on resident activity prior to fall." dataDxfId="508" totalsRowDxfId="507"/>
    <tableColumn id="3" xr3:uid="{96567D16-8F88-4CDD-937C-ED455A869394}" name="RCA_x000a_Completed?" dataDxfId="506" totalsRowDxfId="505"/>
    <tableColumn id="31" xr3:uid="{3E86AA4C-481A-484C-A7C1-354DA4B45DF2}" name="Contributing Factors" dataDxfId="504" totalsRowDxfId="503"/>
    <tableColumn id="41" xr3:uid="{77057FFD-F6F5-432C-B511-AA477C7CAA56}" name="Nurse" dataDxfId="502" totalsRowDxfId="501"/>
    <tableColumn id="42" xr3:uid="{FB9188BA-3B60-40E1-A044-BE34E1709F20}" name="Certified Nurse Assistance" dataDxfId="500" totalsRowDxfId="499"/>
    <tableColumn id="43" xr3:uid="{EE921A5E-A988-4F09-8B2B-F49C7E0B6857}" name="Witness Name" dataDxfId="498" totalsRowDxfId="497"/>
  </tableColumns>
  <tableStyleInfo name="Table Style 1"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ABD367F5-25F9-48AD-B88D-325F30E100CB}" name="Nov" displayName="Nov" ref="B3:V40" headerRowDxfId="496" dataDxfId="495" totalsRowDxfId="494">
  <tableColumns count="21">
    <tableColumn id="1" xr3:uid="{C3671956-E1A0-4769-84CE-DEB9C93C7667}" name="Room" dataDxfId="493" totalsRowDxfId="492"/>
    <tableColumn id="2" xr3:uid="{702973B9-31AB-4FD3-A1AB-FA1E1A1FF844}" name="Resident Name" dataDxfId="491" totalsRowDxfId="490"/>
    <tableColumn id="17" xr3:uid="{CA313922-B9FD-46DA-AFA0-DB5ED06645EE}" name="Date of Incident" dataDxfId="489" totalsRowDxfId="488"/>
    <tableColumn id="9" xr3:uid="{BABB7C71-7ABF-4C56-BC6A-DE4729868F2B}" name=" Date of Post Fall Evaluation" dataDxfId="487" totalsRowDxfId="486"/>
    <tableColumn id="5" xr3:uid="{EA902313-5DEB-456F-9CA4-996C7B469260}" name="Witnessed_x000a_Fall?" dataDxfId="485" totalsRowDxfId="484"/>
    <tableColumn id="10" xr3:uid="{92467A38-6725-4443-9067-F293238FDD40}" name="Fall Circumstances" dataDxfId="483" totalsRowDxfId="482"/>
    <tableColumn id="4" xr3:uid="{9B66822E-AE45-4488-BB16-49C5BACEC1FE}" name="Injury Type" dataDxfId="481" totalsRowDxfId="480"/>
    <tableColumn id="6" xr3:uid="{6BE1BD45-4041-4710-8EE2-8124C3E810EE}" name="Location" dataDxfId="479" totalsRowDxfId="478"/>
    <tableColumn id="7" xr3:uid="{973ED269-A766-4E60-8B6A-A5433F28A978}" name="Station" dataDxfId="477" totalsRowDxfId="476"/>
    <tableColumn id="12" xr3:uid="{6DD7D028-7DF9-4763-9834-0DB287EFBDE1}" name="Day" dataDxfId="475" totalsRowDxfId="474">
      <calculatedColumnFormula>IF(Nov[[#This Row],[Date of Incident]]="","",TEXT(Nov[[#This Row],[Date of Incident]],"ddd"))</calculatedColumnFormula>
    </tableColumn>
    <tableColumn id="19" xr3:uid="{6FE90D09-5AE1-4632-BBE3-D89D7EA0233C}" name="Hour" dataDxfId="473" totalsRowDxfId="472"/>
    <tableColumn id="23" xr3:uid="{3BAC7324-88C8-44EB-99F1-1B4A566BD028}" name="Shift" dataDxfId="471" totalsRowDxfId="470">
      <calculatedColumnFormula>IFERROR(VLOOKUP(Nov[[#This Row],[Hour]],Shifts[],2,FALSE),"")</calculatedColumnFormula>
    </tableColumn>
    <tableColumn id="44" xr3:uid="{2DD0D775-2AF2-4946-8584-7DE66EFB3937}" name="BIMS Score" dataDxfId="469" totalsRowDxfId="468"/>
    <tableColumn id="45" xr3:uid="{A17B9052-BCAA-4E8E-8959-A9A412C7FCF9}" name="Cognitive Impairment" dataDxfId="467" totalsRowDxfId="466">
      <calculatedColumnFormula>IFERROR(VLOOKUP(Nov[[#This Row],[BIMS Score]],BIMS[],2,FALSE),"")</calculatedColumnFormula>
    </tableColumn>
    <tableColumn id="8" xr3:uid="{E6D9065F-628E-45F9-B241-BFDF034B628C}" name="What was resident doing prior to fall?" dataDxfId="465" totalsRowDxfId="464"/>
    <tableColumn id="15" xr3:uid="{22610854-958A-4CB3-9138-0665CB1051C7}" name="Notes on resident activity prior to fall." dataDxfId="463" totalsRowDxfId="462"/>
    <tableColumn id="3" xr3:uid="{61920B3F-09B9-400F-8918-88DF7DDC88A6}" name="RCA_x000a_Completed?" dataDxfId="461" totalsRowDxfId="460"/>
    <tableColumn id="31" xr3:uid="{280058D6-CAF7-4090-9B03-EAB02F6E7CD3}" name="Contributing Factors" dataDxfId="459" totalsRowDxfId="458"/>
    <tableColumn id="41" xr3:uid="{1B3B01DB-DF12-49E4-8837-A5D5C1AF0C00}" name="Nurse" dataDxfId="457" totalsRowDxfId="456"/>
    <tableColumn id="42" xr3:uid="{5C7398BD-1FC6-4FD7-AA5D-D37A2B5F6BF7}" name="Certified Nurse Assistance" dataDxfId="455" totalsRowDxfId="454"/>
    <tableColumn id="43" xr3:uid="{E3BE63C3-B924-47D7-A59A-9D31C80BD855}" name="Witness Name" dataDxfId="453" totalsRowDxfId="452"/>
  </tableColumns>
  <tableStyleInfo name="Table Style 1"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82222F21-B688-46C7-82F9-FFA980235DD2}" name="Dec" displayName="Dec" ref="B3:V40" headerRowDxfId="451" dataDxfId="450" totalsRowDxfId="449">
  <tableColumns count="21">
    <tableColumn id="1" xr3:uid="{F0DF64E9-C361-49AD-A41E-1A46B2829BC9}" name="Room" dataDxfId="448" totalsRowDxfId="447"/>
    <tableColumn id="2" xr3:uid="{649FD353-CE50-4D42-83C6-FB0C93E920F9}" name="Resident Name" dataDxfId="446" totalsRowDxfId="445"/>
    <tableColumn id="17" xr3:uid="{02D49697-55D0-499A-ABF4-FC20A0F57250}" name="Date of Incident" dataDxfId="444" totalsRowDxfId="443"/>
    <tableColumn id="9" xr3:uid="{987B4505-E306-4B90-9E17-8D66C397F0BC}" name=" Date of Post Fall Evaluation" dataDxfId="442" totalsRowDxfId="441"/>
    <tableColumn id="5" xr3:uid="{A20D2C98-9624-4DA6-90C9-DE7EF3FCB47D}" name="Witnessed_x000a_Fall?" dataDxfId="440" totalsRowDxfId="439"/>
    <tableColumn id="10" xr3:uid="{C5F98908-55E8-44EA-B5BA-E8A9E9F9128F}" name="Fall Circumstances" dataDxfId="438" totalsRowDxfId="437"/>
    <tableColumn id="4" xr3:uid="{E69D54F0-AAE0-406C-9942-2B70C67A7927}" name="Injury Type" dataDxfId="436" totalsRowDxfId="435"/>
    <tableColumn id="6" xr3:uid="{97DF086A-696F-47C8-A9CF-A8308A9A4A32}" name="Location" dataDxfId="434" totalsRowDxfId="433"/>
    <tableColumn id="7" xr3:uid="{E6FDBFBD-A081-4110-A24E-54457D197349}" name="Station" dataDxfId="432" totalsRowDxfId="431"/>
    <tableColumn id="12" xr3:uid="{A377BF1F-DEA3-4D25-B223-B26833D717AA}" name="Day" dataDxfId="430" totalsRowDxfId="429">
      <calculatedColumnFormula>IF(Dec[[#This Row],[Date of Incident]]="","",TEXT(Dec[[#This Row],[Date of Incident]],"ddd"))</calculatedColumnFormula>
    </tableColumn>
    <tableColumn id="19" xr3:uid="{BF127933-ED39-4CC4-B3FB-642222A6B416}" name="Hour" dataDxfId="428" totalsRowDxfId="427"/>
    <tableColumn id="23" xr3:uid="{048A7426-4912-460D-8C42-A4A7C6E9C8AD}" name="Shift" dataDxfId="426" totalsRowDxfId="425">
      <calculatedColumnFormula>IFERROR(VLOOKUP(Dec[[#This Row],[Hour]],Shifts[],2,FALSE),"")</calculatedColumnFormula>
    </tableColumn>
    <tableColumn id="44" xr3:uid="{0A3FE25D-E12A-4FC4-BEC3-4D14D6A22514}" name="BIMS Score" dataDxfId="424" totalsRowDxfId="423"/>
    <tableColumn id="45" xr3:uid="{03E52806-9548-4DE0-8DD3-9E8094B6F85E}" name="Cognitive Impairment" dataDxfId="422" totalsRowDxfId="421">
      <calculatedColumnFormula>IFERROR(VLOOKUP(Dec[[#This Row],[BIMS Score]],BIMS[],2,FALSE),"")</calculatedColumnFormula>
    </tableColumn>
    <tableColumn id="8" xr3:uid="{9AED59CB-651C-42B4-B36C-486C62AEA19E}" name="What was resident doing prior to fall?" dataDxfId="420" totalsRowDxfId="419"/>
    <tableColumn id="15" xr3:uid="{EF8665C8-95D2-4B70-B8B2-862E9A51F76A}" name="Notes on resident activity prior to fall." dataDxfId="418" totalsRowDxfId="417"/>
    <tableColumn id="3" xr3:uid="{6521992B-CC6E-4FEA-A1AE-8B6A495F3EF1}" name="RCA_x000a_Completed?" dataDxfId="416" totalsRowDxfId="415"/>
    <tableColumn id="31" xr3:uid="{C00D0382-AE27-4E72-A151-7708C4345C85}" name="Contributing Factors" dataDxfId="414" totalsRowDxfId="413"/>
    <tableColumn id="41" xr3:uid="{32620BAE-3B95-42D9-B5E4-9CC86EBB668A}" name="Nurse" dataDxfId="412" totalsRowDxfId="411"/>
    <tableColumn id="42" xr3:uid="{06E0D4BE-6A6B-4C80-9E84-366656679340}" name="Certified Nurse Assistance" dataDxfId="410" totalsRowDxfId="409"/>
    <tableColumn id="43" xr3:uid="{8A7D3477-B4D7-4110-82E1-14843BDF42B5}" name="Witness Name" dataDxfId="408"/>
  </tableColumns>
  <tableStyleInfo name="Table Style 1"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C1A03A1A-D14A-456C-BCC3-DF318D345830}" name="FRJAN" displayName="FRJAN" ref="A2:B36" totalsRowShown="0" headerRowDxfId="407" dataDxfId="406">
  <tableColumns count="2">
    <tableColumn id="1" xr3:uid="{083C2874-D09A-4B3D-9E90-D6E300EF12AD}" name="January" dataDxfId="405"/>
    <tableColumn id="2" xr3:uid="{AC9F0CD0-429D-46E0-9A79-2931D1D20F01}" name="Census #" dataDxfId="404"/>
  </tableColumns>
  <tableStyleInfo name="Table Style 1"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CF46A419-DB04-4808-B243-D9D672EA1DD0}" name="FRFEB" displayName="FRFEB" ref="D2:E33" totalsRowShown="0" headerRowDxfId="403" dataDxfId="402">
  <tableColumns count="2">
    <tableColumn id="1" xr3:uid="{F6EE9B99-53BD-4106-A9A7-1AF93032AA66}" name="February" dataDxfId="401"/>
    <tableColumn id="2" xr3:uid="{EC267007-04A2-479B-8D45-6D9FFCCAD4D3}" name="Census #" dataDxfId="400"/>
  </tableColumns>
  <tableStyleInfo name="Table Style 1"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438B6A89-806D-495E-901B-3D1DD53A01DC}" name="FRMAR" displayName="FRMAR" ref="G2:H36" totalsRowShown="0" headerRowDxfId="399" dataDxfId="398">
  <tableColumns count="2">
    <tableColumn id="1" xr3:uid="{257483C8-C303-40BB-BBA1-E969437680C0}" name="March" dataDxfId="397"/>
    <tableColumn id="2" xr3:uid="{4F77882B-7148-40E6-A437-111499DC59C4}" name="Census #" dataDxfId="396"/>
  </tableColumns>
  <tableStyleInfo name="Table Style 1"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DDCE6C2E-D92F-438E-9406-1800F6A7F5CB}" name="FRAPR" displayName="FRAPR" ref="J2:K35" totalsRowShown="0" headerRowDxfId="395" dataDxfId="394">
  <tableColumns count="2">
    <tableColumn id="1" xr3:uid="{9713F7F9-B23A-448B-8411-E5A0537E6DF4}" name="April" dataDxfId="393"/>
    <tableColumn id="2" xr3:uid="{828BE026-6536-4878-B7A4-DE1C983E2445}" name="Census #" dataDxfId="392"/>
  </tableColumns>
  <tableStyleInfo name="Table Style 1"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2025FEF7-405E-4F20-B8B5-4946CA92F300}" name="FRMAY" displayName="FRMAY" ref="M2:N36" totalsRowShown="0" headerRowDxfId="391" dataDxfId="390">
  <tableColumns count="2">
    <tableColumn id="1" xr3:uid="{0A2B5BF2-4771-46B4-A544-06181E9F8AF4}" name="May" dataDxfId="389"/>
    <tableColumn id="2" xr3:uid="{8F17D97F-C45D-472B-8F7C-A31F083C44FF}" name="Census #" dataDxfId="388"/>
  </tableColumns>
  <tableStyleInfo name="Table Style 1"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2F41E600-1339-4137-84DE-3B5CD17E8B3B}" name="FRJUN" displayName="FRJUN" ref="P2:Q35" totalsRowShown="0" headerRowDxfId="387" dataDxfId="386">
  <tableColumns count="2">
    <tableColumn id="1" xr3:uid="{192C9E74-4D64-4D39-A55E-61D30EA19117}" name="June" dataDxfId="385"/>
    <tableColumn id="2" xr3:uid="{614D4B6B-F63E-401E-A697-E53801AAA605}" name="Census #" dataDxfId="384"/>
  </tableColumns>
  <tableStyleInfo name="Table Style 1"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B2607E76-CE80-4017-8806-81C40DC07BEB}" name="FRJUL" displayName="FRJUL" ref="S2:T36" totalsRowShown="0" headerRowDxfId="383" dataDxfId="382">
  <tableColumns count="2">
    <tableColumn id="1" xr3:uid="{B28250D0-721F-4302-B1FB-4137AF65A045}" name="July" dataDxfId="381"/>
    <tableColumn id="2" xr3:uid="{B5904F86-0923-4323-AD90-69DBFBC74C27}" name="Census #" dataDxfId="380"/>
  </tableColumns>
  <tableStyleInfo name="Table Style 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127A8FE4-C369-4AC9-AFC2-32F08023F840}" name="PriortoFall" displayName="PriortoFall" ref="I2:I26" totalsRowShown="0" headerRowDxfId="984" dataDxfId="982" headerRowBorderDxfId="983" tableBorderDxfId="981" totalsRowBorderDxfId="980">
  <autoFilter ref="I2:I26" xr:uid="{A7AD89D2-143D-4641-91E8-6340B109EE22}"/>
  <sortState xmlns:xlrd2="http://schemas.microsoft.com/office/spreadsheetml/2017/richdata2" ref="I3:I26">
    <sortCondition ref="I2:I26"/>
  </sortState>
  <tableColumns count="1">
    <tableColumn id="1" xr3:uid="{E7211500-FBB9-4105-9476-69D4EE3B067C}" name="What was the resident doing prior to fall?" dataDxfId="979"/>
  </tableColumns>
  <tableStyleInfo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CA009F89-5582-4630-A202-ECA72C37E1EA}" name="FRAUG" displayName="FRAUG" ref="V2:W36" totalsRowShown="0" headerRowDxfId="379" dataDxfId="378">
  <tableColumns count="2">
    <tableColumn id="1" xr3:uid="{1C5210CF-5FF8-4D61-AE39-E230350E8354}" name="August" dataDxfId="377"/>
    <tableColumn id="2" xr3:uid="{8190475E-4FE7-44B0-ADC5-5DD2D715BE67}" name="Census #" dataDxfId="376"/>
  </tableColumns>
  <tableStyleInfo name="Table Style 1"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5BD7680F-1C75-4B00-9197-DFEFA364B3AE}" name="FRSEPT" displayName="FRSEPT" ref="Y2:Z35" totalsRowShown="0" headerRowDxfId="375" dataDxfId="374">
  <tableColumns count="2">
    <tableColumn id="1" xr3:uid="{D60A4DEE-EABC-43BE-9D14-305CBB515B5F}" name="September" dataDxfId="373"/>
    <tableColumn id="2" xr3:uid="{A8A65B31-A9B4-4BC3-AD02-5769DFE3B785}" name="Census #" dataDxfId="372"/>
  </tableColumns>
  <tableStyleInfo name="Table Style 1"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1869AA7-D45B-497C-B5DC-5DCAFCED620C}" name="FROCT" displayName="FROCT" ref="AB2:AC36" totalsRowShown="0" headerRowDxfId="371" dataDxfId="370">
  <tableColumns count="2">
    <tableColumn id="1" xr3:uid="{3740C31F-4C3C-4E10-8C42-437FD22E8797}" name="October" dataDxfId="369"/>
    <tableColumn id="2" xr3:uid="{5F75953B-9A9F-4CC1-805C-72E6E8B5EF19}" name="Census #" dataDxfId="368"/>
  </tableColumns>
  <tableStyleInfo name="Table Style 1"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2173A3E0-FC32-49EE-BD4C-2F88CA0FAF0F}" name="FRNOV" displayName="FRNOV" ref="AE2:AF35" totalsRowShown="0" headerRowDxfId="367" dataDxfId="366">
  <tableColumns count="2">
    <tableColumn id="1" xr3:uid="{EBC3D5AD-C715-4E3D-B3B8-324F38BEF541}" name="November" dataDxfId="365"/>
    <tableColumn id="2" xr3:uid="{6E5EED52-A9CE-4855-8D10-0C88713C0F49}" name="Census #" dataDxfId="364"/>
  </tableColumns>
  <tableStyleInfo name="Table Style 1"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D46A3269-8E2E-49C4-8F4C-232746C7AC14}" name="FRDEC" displayName="FRDEC" ref="AH2:AI36" totalsRowShown="0" headerRowDxfId="363" dataDxfId="362">
  <tableColumns count="2">
    <tableColumn id="1" xr3:uid="{0D73DA76-09EB-45ED-9336-D888B24B8C92}" name="December" dataDxfId="361"/>
    <tableColumn id="2" xr3:uid="{2C317BC7-E516-4CC8-AD26-31BF5716E46F}" name="Census #" dataDxfId="360"/>
  </tableColumns>
  <tableStyleInfo name="Table Style 1"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B15361FF-D8BF-4985-AD3E-4E8845C2CE8F}" name="NS_19" displayName="NS_19" ref="D11:D22" totalsRowShown="0" headerRowDxfId="359" dataDxfId="357" headerRowBorderDxfId="358" tableBorderDxfId="356" totalsRowBorderDxfId="355">
  <tableColumns count="1">
    <tableColumn id="1" xr3:uid="{54DAC5A5-6020-41D7-A565-E52D939BF396}" name="Nurses Stations" dataDxfId="354"/>
  </tableColumns>
  <tableStyleInfo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2216B6DC-E831-47E1-9262-8F0F87FECEF1}" name="Location18" displayName="Location18" ref="B11:B22" totalsRowShown="0" headerRowDxfId="353" dataDxfId="351" headerRowBorderDxfId="352" tableBorderDxfId="350" totalsRowBorderDxfId="349">
  <tableColumns count="1">
    <tableColumn id="1" xr3:uid="{00863B2B-0644-4B44-B16D-536A15AC75FC}" name="Location" dataDxfId="348"/>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D7F36F49-25E3-48CD-9F1A-E440BED4CDBF}" name="Shifts" displayName="Shifts" ref="M2:N26" totalsRowShown="0" headerRowDxfId="978" dataDxfId="976" headerRowBorderDxfId="977" tableBorderDxfId="975" totalsRowBorderDxfId="974">
  <tableColumns count="2">
    <tableColumn id="1" xr3:uid="{8FA24657-7F7A-4AE1-9564-23D66A5FE84A}" name="Hour" dataDxfId="973"/>
    <tableColumn id="2" xr3:uid="{FEF9A45F-FEA3-42C4-B8EB-E8CC5AA57928}" name="Shift" dataDxfId="972"/>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4C13470F-6D64-4395-94A8-C24AAB3C5E13}" name="BIMS" displayName="BIMS" ref="R2:S17" totalsRowShown="0" headerRowDxfId="971" dataDxfId="969" headerRowBorderDxfId="970" tableBorderDxfId="968" totalsRowBorderDxfId="967">
  <tableColumns count="2">
    <tableColumn id="1" xr3:uid="{E1DA892E-2007-44BD-8DFB-DD442EDD1947}" name="BIMS Score" dataDxfId="966"/>
    <tableColumn id="2" xr3:uid="{EF8BE088-116A-4053-900E-D19A10BE9223}" name="Cognitive Impairment" dataDxfId="965"/>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6EA9B159-F4EC-4A73-BA3A-A44AFED42586}" name="Witness" displayName="Witness" ref="U2:U4" totalsRowShown="0" headerRowDxfId="964" dataDxfId="962" headerRowBorderDxfId="963" tableBorderDxfId="961" totalsRowBorderDxfId="960">
  <tableColumns count="1">
    <tableColumn id="1" xr3:uid="{47E6B6EE-3EAB-4B05-8B72-D48DF2B9AADC}" name="Witnessed" dataDxfId="959"/>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607DB3F-26A6-4124-85DD-F891F7C8327F}" name="RCA" displayName="RCA" ref="Y2:Y4" totalsRowShown="0" headerRowDxfId="958" dataDxfId="957" tableBorderDxfId="956">
  <tableColumns count="1">
    <tableColumn id="1" xr3:uid="{FE1496EB-5F8F-41FB-97CA-141F291E1332}" name="RCA Completed" dataDxfId="955"/>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8FBCF27D-AA43-4B84-949B-8C6A3815F36B}" name="FC" displayName="FC" ref="AA2:AA5" totalsRowShown="0" headerRowDxfId="954" dataDxfId="953" tableBorderDxfId="952">
  <tableColumns count="1">
    <tableColumn id="1" xr3:uid="{69A6ACBD-698B-413A-8D5C-C4A217965D13}" name="Fall Circumstances" dataDxfId="951"/>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2E17FCBF-76D4-4332-9F2B-E1D4218DEE28}" name="CF" displayName="CF" ref="K2:K26" totalsRowShown="0" headerRowDxfId="950" dataDxfId="949" tableBorderDxfId="948">
  <autoFilter ref="K2:K26" xr:uid="{2E17FCBF-76D4-4332-9F2B-E1D4218DEE28}"/>
  <sortState xmlns:xlrd2="http://schemas.microsoft.com/office/spreadsheetml/2017/richdata2" ref="K3:K26">
    <sortCondition ref="K2:K26"/>
  </sortState>
  <tableColumns count="1">
    <tableColumn id="1" xr3:uid="{A443607F-2FAF-49DD-BC38-BE669CA809A2}" name="Contributing Factors" dataDxfId="947"/>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19.xml"/><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20.xml"/><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21.xml"/><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3" Type="http://schemas.openxmlformats.org/officeDocument/2006/relationships/table" Target="../tables/table22.xml"/><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8" Type="http://schemas.openxmlformats.org/officeDocument/2006/relationships/table" Target="../tables/table29.xml"/><Relationship Id="rId13" Type="http://schemas.openxmlformats.org/officeDocument/2006/relationships/table" Target="../tables/table34.xml"/><Relationship Id="rId3" Type="http://schemas.openxmlformats.org/officeDocument/2006/relationships/table" Target="../tables/table24.xml"/><Relationship Id="rId7" Type="http://schemas.openxmlformats.org/officeDocument/2006/relationships/table" Target="../tables/table28.xml"/><Relationship Id="rId12" Type="http://schemas.openxmlformats.org/officeDocument/2006/relationships/table" Target="../tables/table33.xml"/><Relationship Id="rId2" Type="http://schemas.openxmlformats.org/officeDocument/2006/relationships/table" Target="../tables/table23.xml"/><Relationship Id="rId1" Type="http://schemas.openxmlformats.org/officeDocument/2006/relationships/printerSettings" Target="../printerSettings/printerSettings17.bin"/><Relationship Id="rId6" Type="http://schemas.openxmlformats.org/officeDocument/2006/relationships/table" Target="../tables/table27.xml"/><Relationship Id="rId11" Type="http://schemas.openxmlformats.org/officeDocument/2006/relationships/table" Target="../tables/table32.xml"/><Relationship Id="rId5" Type="http://schemas.openxmlformats.org/officeDocument/2006/relationships/table" Target="../tables/table26.xml"/><Relationship Id="rId10" Type="http://schemas.openxmlformats.org/officeDocument/2006/relationships/table" Target="../tables/table31.xml"/><Relationship Id="rId4" Type="http://schemas.openxmlformats.org/officeDocument/2006/relationships/table" Target="../tables/table25.xml"/><Relationship Id="rId9" Type="http://schemas.openxmlformats.org/officeDocument/2006/relationships/table" Target="../tables/table30.xml"/></Relationships>
</file>

<file path=xl/worksheets/_rels/sheet2.xml.rels><?xml version="1.0" encoding="UTF-8" standalone="yes"?>
<Relationships xmlns="http://schemas.openxmlformats.org/package/2006/relationships"><Relationship Id="rId8" Type="http://schemas.openxmlformats.org/officeDocument/2006/relationships/table" Target="../tables/table8.xml"/><Relationship Id="rId3" Type="http://schemas.openxmlformats.org/officeDocument/2006/relationships/table" Target="../tables/table3.xml"/><Relationship Id="rId7" Type="http://schemas.openxmlformats.org/officeDocument/2006/relationships/table" Target="../tables/table7.xml"/><Relationship Id="rId2" Type="http://schemas.openxmlformats.org/officeDocument/2006/relationships/table" Target="../tables/table2.xml"/><Relationship Id="rId1" Type="http://schemas.openxmlformats.org/officeDocument/2006/relationships/table" Target="../tables/table1.xml"/><Relationship Id="rId6" Type="http://schemas.openxmlformats.org/officeDocument/2006/relationships/table" Target="../tables/table6.xml"/><Relationship Id="rId5" Type="http://schemas.openxmlformats.org/officeDocument/2006/relationships/table" Target="../tables/table5.xml"/><Relationship Id="rId10" Type="http://schemas.openxmlformats.org/officeDocument/2006/relationships/table" Target="../tables/table10.xml"/><Relationship Id="rId4" Type="http://schemas.openxmlformats.org/officeDocument/2006/relationships/table" Target="../tables/table4.xml"/><Relationship Id="rId9" Type="http://schemas.openxmlformats.org/officeDocument/2006/relationships/table" Target="../tables/table9.xml"/></Relationships>
</file>

<file path=xl/worksheets/_rels/sheet20.xml.rels><?xml version="1.0" encoding="UTF-8" standalone="yes"?>
<Relationships xmlns="http://schemas.openxmlformats.org/package/2006/relationships"><Relationship Id="rId3" Type="http://schemas.openxmlformats.org/officeDocument/2006/relationships/table" Target="../tables/table35.xml"/><Relationship Id="rId2" Type="http://schemas.openxmlformats.org/officeDocument/2006/relationships/drawing" Target="../drawings/drawing17.xml"/><Relationship Id="rId1" Type="http://schemas.openxmlformats.org/officeDocument/2006/relationships/printerSettings" Target="../printerSettings/printerSettings18.bin"/><Relationship Id="rId4" Type="http://schemas.openxmlformats.org/officeDocument/2006/relationships/table" Target="../tables/table36.xml"/></Relationships>
</file>

<file path=xl/worksheets/_rels/sheet3.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7.xml"/><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061361-24D7-409E-B0CF-02D34BE83EFD}">
  <dimension ref="B1:AA51"/>
  <sheetViews>
    <sheetView showGridLines="0" tabSelected="1" zoomScaleNormal="100" workbookViewId="0">
      <selection activeCell="AD10" sqref="AD10"/>
    </sheetView>
  </sheetViews>
  <sheetFormatPr defaultRowHeight="15" x14ac:dyDescent="0.25"/>
  <cols>
    <col min="1" max="1" width="2.5703125" customWidth="1"/>
    <col min="5" max="5" width="10.7109375" customWidth="1"/>
    <col min="6" max="6" width="3" customWidth="1"/>
    <col min="28" max="28" width="5.85546875" customWidth="1"/>
  </cols>
  <sheetData>
    <row r="1" spans="2:18" ht="6.95" customHeight="1" x14ac:dyDescent="0.25"/>
    <row r="2" spans="2:18" ht="19.7" customHeight="1" x14ac:dyDescent="0.25">
      <c r="B2" s="275" t="str">
        <f>IF('Data Validation'!$C$2=0,"Enter facility name in Data Validation tab",'Data Validation'!$C$2)</f>
        <v>Enter facility name in Data Validation tab</v>
      </c>
      <c r="C2" s="275"/>
      <c r="D2" s="275"/>
      <c r="E2" s="275"/>
      <c r="G2" s="8"/>
      <c r="H2" s="8"/>
      <c r="I2" s="8"/>
      <c r="J2" s="8"/>
      <c r="R2" s="9"/>
    </row>
    <row r="3" spans="2:18" ht="15.75" x14ac:dyDescent="0.25">
      <c r="B3" s="274" t="str">
        <f>"Falls Tracker "&amp;'Data Validation'!$C$4</f>
        <v xml:space="preserve">Falls Tracker </v>
      </c>
      <c r="C3" s="274"/>
      <c r="D3" s="274"/>
      <c r="E3" s="274"/>
      <c r="G3" s="8"/>
      <c r="H3" s="8"/>
      <c r="I3" s="8"/>
      <c r="J3" s="8"/>
    </row>
    <row r="4" spans="2:18" ht="15.75" x14ac:dyDescent="0.25">
      <c r="G4" s="8"/>
      <c r="H4" s="8"/>
      <c r="I4" s="8"/>
      <c r="J4" s="8"/>
      <c r="R4" s="9"/>
    </row>
    <row r="5" spans="2:18" x14ac:dyDescent="0.25">
      <c r="G5" s="8"/>
      <c r="H5" s="8"/>
      <c r="I5" s="8"/>
      <c r="J5" s="8"/>
    </row>
    <row r="6" spans="2:18" x14ac:dyDescent="0.25">
      <c r="B6" s="273" t="s">
        <v>146</v>
      </c>
      <c r="C6" s="273"/>
      <c r="D6" s="273"/>
      <c r="E6" s="273"/>
      <c r="G6" s="8"/>
      <c r="H6" s="8"/>
      <c r="I6" s="8"/>
      <c r="J6" s="8"/>
    </row>
    <row r="7" spans="2:18" x14ac:dyDescent="0.25">
      <c r="B7" s="273"/>
      <c r="C7" s="273"/>
      <c r="D7" s="273"/>
      <c r="E7" s="273"/>
      <c r="G7" s="8"/>
      <c r="H7" s="8"/>
      <c r="I7" s="8"/>
      <c r="J7" s="8"/>
    </row>
    <row r="8" spans="2:18" x14ac:dyDescent="0.25">
      <c r="B8" s="273"/>
      <c r="C8" s="273"/>
      <c r="D8" s="273"/>
      <c r="E8" s="273"/>
      <c r="G8" s="8"/>
      <c r="H8" s="8"/>
      <c r="I8" s="8"/>
      <c r="J8" s="8"/>
    </row>
    <row r="9" spans="2:18" x14ac:dyDescent="0.25">
      <c r="B9" s="273"/>
      <c r="C9" s="273"/>
      <c r="D9" s="273"/>
      <c r="E9" s="273"/>
      <c r="G9" s="8"/>
      <c r="H9" s="8"/>
      <c r="I9" s="8"/>
      <c r="J9" s="8"/>
    </row>
    <row r="10" spans="2:18" x14ac:dyDescent="0.25">
      <c r="B10" s="273"/>
      <c r="C10" s="273"/>
      <c r="D10" s="273"/>
      <c r="E10" s="273"/>
      <c r="G10" s="8"/>
      <c r="H10" s="8"/>
      <c r="I10" s="8"/>
      <c r="J10" s="8"/>
    </row>
    <row r="11" spans="2:18" x14ac:dyDescent="0.25">
      <c r="B11" s="273"/>
      <c r="C11" s="273"/>
      <c r="D11" s="273"/>
      <c r="E11" s="273"/>
      <c r="G11" s="8"/>
      <c r="H11" s="8"/>
      <c r="I11" s="8"/>
      <c r="J11" s="8"/>
    </row>
    <row r="12" spans="2:18" x14ac:dyDescent="0.25">
      <c r="B12" s="273"/>
      <c r="C12" s="273"/>
      <c r="D12" s="273"/>
      <c r="E12" s="273"/>
      <c r="G12" s="8"/>
      <c r="H12" s="8"/>
      <c r="I12" s="8"/>
      <c r="J12" s="8"/>
    </row>
    <row r="13" spans="2:18" x14ac:dyDescent="0.25">
      <c r="G13" s="8"/>
      <c r="H13" s="8"/>
      <c r="I13" s="8"/>
      <c r="J13" s="8"/>
    </row>
    <row r="14" spans="2:18" x14ac:dyDescent="0.25">
      <c r="G14" s="8"/>
      <c r="H14" s="8"/>
      <c r="I14" s="8"/>
      <c r="J14" s="8"/>
    </row>
    <row r="15" spans="2:18" x14ac:dyDescent="0.25">
      <c r="G15" s="8"/>
      <c r="H15" s="8"/>
      <c r="I15" s="8"/>
      <c r="J15" s="8"/>
    </row>
    <row r="16" spans="2:18" ht="15.75" x14ac:dyDescent="0.25">
      <c r="G16" s="8"/>
      <c r="H16" s="8"/>
      <c r="I16" s="8"/>
      <c r="J16" s="8"/>
      <c r="R16" s="9"/>
    </row>
    <row r="17" spans="7:27" x14ac:dyDescent="0.25">
      <c r="G17" s="8"/>
      <c r="H17" s="8"/>
      <c r="I17" s="8"/>
      <c r="J17" s="8"/>
    </row>
    <row r="18" spans="7:27" x14ac:dyDescent="0.25">
      <c r="G18" s="8"/>
      <c r="H18" s="8"/>
      <c r="I18" s="8"/>
      <c r="J18" s="8"/>
    </row>
    <row r="19" spans="7:27" x14ac:dyDescent="0.25">
      <c r="G19" s="8"/>
      <c r="H19" s="8"/>
      <c r="I19" s="8"/>
      <c r="J19" s="8"/>
    </row>
    <row r="20" spans="7:27" x14ac:dyDescent="0.25">
      <c r="G20" s="8"/>
      <c r="H20" s="8"/>
      <c r="I20" s="8"/>
      <c r="J20" s="8"/>
    </row>
    <row r="21" spans="7:27" x14ac:dyDescent="0.25">
      <c r="G21" s="8"/>
      <c r="H21" s="8"/>
      <c r="I21" s="8"/>
      <c r="J21" s="8"/>
    </row>
    <row r="22" spans="7:27" x14ac:dyDescent="0.25">
      <c r="G22" s="8"/>
      <c r="H22" s="8"/>
      <c r="I22" s="8"/>
      <c r="J22" s="8"/>
    </row>
    <row r="23" spans="7:27" x14ac:dyDescent="0.25">
      <c r="G23" s="8"/>
      <c r="H23" s="8"/>
      <c r="I23" s="8"/>
      <c r="J23" s="8"/>
    </row>
    <row r="24" spans="7:27" x14ac:dyDescent="0.25">
      <c r="G24" s="8"/>
      <c r="H24" s="8"/>
      <c r="I24" s="8"/>
      <c r="J24" s="8"/>
    </row>
    <row r="25" spans="7:27" x14ac:dyDescent="0.25">
      <c r="G25" s="8"/>
      <c r="H25" s="8"/>
      <c r="I25" s="8"/>
      <c r="J25" s="8"/>
    </row>
    <row r="26" spans="7:27" x14ac:dyDescent="0.25">
      <c r="G26" s="8"/>
      <c r="H26" s="8"/>
      <c r="I26" s="8"/>
      <c r="J26" s="8"/>
    </row>
    <row r="27" spans="7:27" x14ac:dyDescent="0.25">
      <c r="G27" s="8"/>
      <c r="H27" s="8"/>
      <c r="I27" s="8"/>
      <c r="J27" s="8"/>
    </row>
    <row r="29" spans="7:27" x14ac:dyDescent="0.25">
      <c r="R29" s="161" t="s">
        <v>147</v>
      </c>
    </row>
    <row r="30" spans="7:27" x14ac:dyDescent="0.25">
      <c r="R30" s="276" t="s">
        <v>181</v>
      </c>
      <c r="S30" s="276"/>
      <c r="T30" s="276"/>
      <c r="U30" s="276"/>
      <c r="V30" s="276"/>
      <c r="W30" s="276"/>
      <c r="X30" s="276"/>
      <c r="Y30" s="276"/>
      <c r="Z30" s="276"/>
      <c r="AA30" s="276"/>
    </row>
    <row r="31" spans="7:27" x14ac:dyDescent="0.25">
      <c r="R31" s="276"/>
      <c r="S31" s="276"/>
      <c r="T31" s="276"/>
      <c r="U31" s="276"/>
      <c r="V31" s="276"/>
      <c r="W31" s="276"/>
      <c r="X31" s="276"/>
      <c r="Y31" s="276"/>
      <c r="Z31" s="276"/>
      <c r="AA31" s="276"/>
    </row>
    <row r="32" spans="7:27" x14ac:dyDescent="0.25">
      <c r="R32" s="276"/>
      <c r="S32" s="276"/>
      <c r="T32" s="276"/>
      <c r="U32" s="276"/>
      <c r="V32" s="276"/>
      <c r="W32" s="276"/>
      <c r="X32" s="276"/>
      <c r="Y32" s="276"/>
      <c r="Z32" s="276"/>
      <c r="AA32" s="276"/>
    </row>
    <row r="33" spans="18:27" x14ac:dyDescent="0.25">
      <c r="R33" s="276"/>
      <c r="S33" s="276"/>
      <c r="T33" s="276"/>
      <c r="U33" s="276"/>
      <c r="V33" s="276"/>
      <c r="W33" s="276"/>
      <c r="X33" s="276"/>
      <c r="Y33" s="276"/>
      <c r="Z33" s="276"/>
      <c r="AA33" s="276"/>
    </row>
    <row r="48" spans="18:27" ht="15" customHeight="1" x14ac:dyDescent="0.25"/>
    <row r="49" spans="7:7" ht="19.7" customHeight="1" x14ac:dyDescent="0.25"/>
    <row r="50" spans="7:7" ht="12" customHeight="1" x14ac:dyDescent="0.25"/>
    <row r="51" spans="7:7" ht="13.5" customHeight="1" x14ac:dyDescent="0.25">
      <c r="G51" s="161" t="s">
        <v>172</v>
      </c>
    </row>
  </sheetData>
  <sheetProtection algorithmName="SHA-512" hashValue="zZyMXkMCATO51+nOK6ddLSXqjf/ivpe0VOWhpaaTvdreUNTpgSiUxo+0ak4uC5ueHZeNYcxfCKdloxv5rxEilg==" saltValue="UApaOZvA+5v2Xb5+wxB7NA==" spinCount="100000" sheet="1"/>
  <mergeCells count="4">
    <mergeCell ref="B6:E12"/>
    <mergeCell ref="B3:E3"/>
    <mergeCell ref="B2:E2"/>
    <mergeCell ref="R30:AA33"/>
  </mergeCells>
  <conditionalFormatting sqref="B2:E2">
    <cfRule type="cellIs" dxfId="347" priority="1" operator="equal">
      <formula>"Enter facility name in Data Validation tab"</formula>
    </cfRule>
  </conditionalFormatting>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ECF1D5-5F05-4A48-953B-E73539CD09EC}">
  <sheetPr>
    <pageSetUpPr autoPageBreaks="0" fitToPage="1"/>
  </sheetPr>
  <dimension ref="A1:V197"/>
  <sheetViews>
    <sheetView showGridLines="0" zoomScaleNormal="100" zoomScaleSheetLayoutView="98" workbookViewId="0">
      <selection activeCell="B4" sqref="B4"/>
    </sheetView>
  </sheetViews>
  <sheetFormatPr defaultRowHeight="15" x14ac:dyDescent="0.25"/>
  <cols>
    <col min="1" max="1" width="1.28515625" customWidth="1"/>
    <col min="2" max="2" width="5.85546875" customWidth="1"/>
    <col min="3" max="3" width="17.140625" customWidth="1"/>
    <col min="4" max="4" width="9.28515625" customWidth="1"/>
    <col min="5" max="5" width="11" customWidth="1"/>
    <col min="6" max="6" width="8" customWidth="1"/>
    <col min="7" max="7" width="12.140625" customWidth="1"/>
    <col min="8" max="8" width="10.5703125" customWidth="1"/>
    <col min="9" max="9" width="7.7109375" customWidth="1"/>
    <col min="10" max="10" width="6" customWidth="1"/>
    <col min="11" max="11" width="4.7109375" customWidth="1"/>
    <col min="12" max="12" width="9.28515625" customWidth="1"/>
    <col min="13" max="14" width="4.7109375" customWidth="1"/>
    <col min="15" max="15" width="12.140625" customWidth="1"/>
    <col min="16" max="17" width="23.7109375" customWidth="1"/>
    <col min="18" max="18" width="8.7109375" customWidth="1"/>
    <col min="19" max="19" width="23.7109375" customWidth="1"/>
    <col min="20" max="22" width="11.7109375" customWidth="1"/>
    <col min="23" max="24" width="10.7109375" customWidth="1"/>
  </cols>
  <sheetData>
    <row r="1" spans="1:22" ht="18.75" customHeight="1" x14ac:dyDescent="0.25">
      <c r="B1" s="13" t="s">
        <v>28</v>
      </c>
      <c r="C1" s="14">
        <f>'Data Validation'!$C$4</f>
        <v>0</v>
      </c>
      <c r="D1" s="15" t="str">
        <f>IF(OR($C$1="",$C$1=0),"Enter Year in Data Validation tab",'Data Validation'!$C$2&amp;" August ")</f>
        <v>Enter Year in Data Validation tab</v>
      </c>
      <c r="E1" s="16"/>
      <c r="F1" s="16"/>
      <c r="G1" s="16"/>
      <c r="H1" s="16"/>
      <c r="I1" s="16"/>
      <c r="J1" s="16"/>
      <c r="K1" s="16"/>
      <c r="L1" s="16"/>
      <c r="M1" s="16"/>
      <c r="N1" s="4"/>
      <c r="O1" s="16"/>
      <c r="P1" s="16"/>
      <c r="Q1" s="16"/>
      <c r="R1" s="17" t="s">
        <v>59</v>
      </c>
      <c r="S1" s="14" t="str">
        <f>IF(COUNTIFS(Aug[Resident Name],"&lt;&gt;")=0,"No Data",COUNTIFS(Aug[Resident Name],"&lt;&gt;"))</f>
        <v>No Data</v>
      </c>
      <c r="T1" s="17" t="s">
        <v>62</v>
      </c>
      <c r="U1" s="14" t="str">
        <f>'Fall Rate and Census'!$W$36</f>
        <v>No Data</v>
      </c>
    </row>
    <row r="2" spans="1:22" ht="8.1" customHeight="1" x14ac:dyDescent="0.25">
      <c r="B2" s="18"/>
      <c r="C2" s="16"/>
      <c r="D2" s="16"/>
      <c r="E2" s="16"/>
      <c r="F2" s="16"/>
      <c r="G2" s="16"/>
      <c r="H2" s="16"/>
      <c r="I2" s="16"/>
      <c r="J2" s="16"/>
      <c r="K2" s="16"/>
      <c r="L2" s="16"/>
      <c r="M2" s="16"/>
      <c r="N2" s="16"/>
      <c r="O2" s="16"/>
      <c r="P2" s="16"/>
      <c r="Q2" s="16"/>
      <c r="R2" s="16"/>
    </row>
    <row r="3" spans="1:22" ht="22.35" customHeight="1" x14ac:dyDescent="0.25">
      <c r="B3" s="19" t="s">
        <v>104</v>
      </c>
      <c r="C3" s="19" t="s">
        <v>105</v>
      </c>
      <c r="D3" s="20" t="s">
        <v>0</v>
      </c>
      <c r="E3" s="20" t="s">
        <v>89</v>
      </c>
      <c r="F3" s="20" t="s">
        <v>84</v>
      </c>
      <c r="G3" s="20" t="s">
        <v>100</v>
      </c>
      <c r="H3" s="20" t="s">
        <v>90</v>
      </c>
      <c r="I3" s="20" t="s">
        <v>1</v>
      </c>
      <c r="J3" s="20" t="s">
        <v>2</v>
      </c>
      <c r="K3" s="20" t="s">
        <v>3</v>
      </c>
      <c r="L3" s="20" t="s">
        <v>33</v>
      </c>
      <c r="M3" s="20" t="s">
        <v>34</v>
      </c>
      <c r="N3" s="20" t="s">
        <v>26</v>
      </c>
      <c r="O3" s="20" t="s">
        <v>30</v>
      </c>
      <c r="P3" s="19" t="s">
        <v>158</v>
      </c>
      <c r="Q3" s="19" t="s">
        <v>80</v>
      </c>
      <c r="R3" s="20" t="s">
        <v>81</v>
      </c>
      <c r="S3" s="20" t="s">
        <v>92</v>
      </c>
      <c r="T3" s="12" t="s">
        <v>95</v>
      </c>
      <c r="U3" s="12" t="s">
        <v>94</v>
      </c>
      <c r="V3" s="12" t="s">
        <v>96</v>
      </c>
    </row>
    <row r="4" spans="1:22" ht="20.85" customHeight="1" x14ac:dyDescent="0.25">
      <c r="A4" s="21"/>
      <c r="B4" s="266"/>
      <c r="C4" s="5"/>
      <c r="D4" s="263"/>
      <c r="E4" s="263"/>
      <c r="F4" s="266"/>
      <c r="G4" s="267"/>
      <c r="H4" s="2"/>
      <c r="I4" s="2"/>
      <c r="J4" s="2"/>
      <c r="K4" s="24" t="str">
        <f>IF(Aug[[#This Row],[Date of Incident]]="","",TEXT(Aug[[#This Row],[Date of Incident]],"ddd"))</f>
        <v/>
      </c>
      <c r="L4" s="1"/>
      <c r="M4" s="24" t="str">
        <f>IFERROR(VLOOKUP(Aug[[#This Row],[Hour]],Shifts[],2,FALSE),"")</f>
        <v/>
      </c>
      <c r="N4" s="2"/>
      <c r="O4" s="24" t="str">
        <f>IFERROR(VLOOKUP(Aug[[#This Row],[BIMS Score]],BIMS[],2,FALSE),"")</f>
        <v/>
      </c>
      <c r="P4" s="3"/>
      <c r="Q4" s="3"/>
      <c r="R4" s="2"/>
      <c r="S4" s="168"/>
      <c r="T4" s="3"/>
      <c r="U4" s="3"/>
      <c r="V4" s="3"/>
    </row>
    <row r="5" spans="1:22" ht="20.85" customHeight="1" x14ac:dyDescent="0.25">
      <c r="A5" s="21"/>
      <c r="B5" s="266"/>
      <c r="C5" s="5"/>
      <c r="D5" s="263"/>
      <c r="E5" s="263"/>
      <c r="F5" s="266"/>
      <c r="G5" s="267"/>
      <c r="H5" s="2"/>
      <c r="I5" s="2"/>
      <c r="J5" s="2"/>
      <c r="K5" s="24" t="str">
        <f>IF(Aug[[#This Row],[Date of Incident]]="","",TEXT(Aug[[#This Row],[Date of Incident]],"ddd"))</f>
        <v/>
      </c>
      <c r="L5" s="1"/>
      <c r="M5" s="24" t="str">
        <f>IFERROR(VLOOKUP(Aug[[#This Row],[Hour]],Shifts[],2,FALSE),"")</f>
        <v/>
      </c>
      <c r="N5" s="2"/>
      <c r="O5" s="24" t="str">
        <f>IFERROR(VLOOKUP(Aug[[#This Row],[BIMS Score]],BIMS[],2,FALSE),"")</f>
        <v/>
      </c>
      <c r="P5" s="3"/>
      <c r="Q5" s="3"/>
      <c r="R5" s="2"/>
      <c r="S5" s="168"/>
      <c r="T5" s="3"/>
      <c r="U5" s="3"/>
      <c r="V5" s="3"/>
    </row>
    <row r="6" spans="1:22" ht="20.85" customHeight="1" x14ac:dyDescent="0.25">
      <c r="A6" s="21"/>
      <c r="B6" s="266"/>
      <c r="C6" s="5"/>
      <c r="D6" s="263"/>
      <c r="E6" s="263"/>
      <c r="F6" s="266"/>
      <c r="G6" s="267"/>
      <c r="H6" s="2"/>
      <c r="I6" s="2"/>
      <c r="J6" s="2"/>
      <c r="K6" s="24" t="str">
        <f>IF(Aug[[#This Row],[Date of Incident]]="","",TEXT(Aug[[#This Row],[Date of Incident]],"ddd"))</f>
        <v/>
      </c>
      <c r="L6" s="1"/>
      <c r="M6" s="24" t="str">
        <f>IFERROR(VLOOKUP(Aug[[#This Row],[Hour]],Shifts[],2,FALSE),"")</f>
        <v/>
      </c>
      <c r="N6" s="2"/>
      <c r="O6" s="24" t="str">
        <f>IFERROR(VLOOKUP(Aug[[#This Row],[BIMS Score]],BIMS[],2,FALSE),"")</f>
        <v/>
      </c>
      <c r="P6" s="3"/>
      <c r="Q6" s="3"/>
      <c r="R6" s="2"/>
      <c r="S6" s="168"/>
      <c r="T6" s="3"/>
      <c r="U6" s="3"/>
      <c r="V6" s="3"/>
    </row>
    <row r="7" spans="1:22" ht="20.85" customHeight="1" x14ac:dyDescent="0.25">
      <c r="A7" s="21"/>
      <c r="B7" s="266"/>
      <c r="C7" s="5"/>
      <c r="D7" s="263"/>
      <c r="E7" s="263"/>
      <c r="F7" s="266"/>
      <c r="G7" s="267"/>
      <c r="H7" s="2"/>
      <c r="I7" s="2"/>
      <c r="J7" s="2"/>
      <c r="K7" s="24" t="str">
        <f>IF(Aug[[#This Row],[Date of Incident]]="","",TEXT(Aug[[#This Row],[Date of Incident]],"ddd"))</f>
        <v/>
      </c>
      <c r="L7" s="1"/>
      <c r="M7" s="24" t="str">
        <f>IFERROR(VLOOKUP(Aug[[#This Row],[Hour]],Shifts[],2,FALSE),"")</f>
        <v/>
      </c>
      <c r="N7" s="2"/>
      <c r="O7" s="24" t="str">
        <f>IFERROR(VLOOKUP(Aug[[#This Row],[BIMS Score]],BIMS[],2,FALSE),"")</f>
        <v/>
      </c>
      <c r="P7" s="3"/>
      <c r="Q7" s="3"/>
      <c r="R7" s="2"/>
      <c r="S7" s="168"/>
      <c r="T7" s="3"/>
      <c r="U7" s="3"/>
      <c r="V7" s="3"/>
    </row>
    <row r="8" spans="1:22" ht="20.85" customHeight="1" x14ac:dyDescent="0.25">
      <c r="A8" s="21"/>
      <c r="B8" s="266"/>
      <c r="C8" s="5"/>
      <c r="D8" s="263"/>
      <c r="E8" s="263"/>
      <c r="F8" s="266"/>
      <c r="G8" s="267"/>
      <c r="H8" s="2"/>
      <c r="I8" s="2"/>
      <c r="J8" s="2"/>
      <c r="K8" s="24" t="str">
        <f>IF(Aug[[#This Row],[Date of Incident]]="","",TEXT(Aug[[#This Row],[Date of Incident]],"ddd"))</f>
        <v/>
      </c>
      <c r="L8" s="1"/>
      <c r="M8" s="24" t="str">
        <f>IFERROR(VLOOKUP(Aug[[#This Row],[Hour]],Shifts[],2,FALSE),"")</f>
        <v/>
      </c>
      <c r="N8" s="2"/>
      <c r="O8" s="24" t="str">
        <f>IFERROR(VLOOKUP(Aug[[#This Row],[BIMS Score]],BIMS[],2,FALSE),"")</f>
        <v/>
      </c>
      <c r="P8" s="3"/>
      <c r="Q8" s="3"/>
      <c r="R8" s="2"/>
      <c r="S8" s="168"/>
      <c r="T8" s="3"/>
      <c r="U8" s="3"/>
      <c r="V8" s="3"/>
    </row>
    <row r="9" spans="1:22" ht="20.85" customHeight="1" x14ac:dyDescent="0.25">
      <c r="A9" s="21"/>
      <c r="B9" s="266"/>
      <c r="C9" s="5"/>
      <c r="D9" s="263"/>
      <c r="E9" s="263"/>
      <c r="F9" s="266"/>
      <c r="G9" s="267"/>
      <c r="H9" s="2"/>
      <c r="I9" s="2"/>
      <c r="J9" s="2"/>
      <c r="K9" s="24" t="str">
        <f>IF(Aug[[#This Row],[Date of Incident]]="","",TEXT(Aug[[#This Row],[Date of Incident]],"ddd"))</f>
        <v/>
      </c>
      <c r="L9" s="1"/>
      <c r="M9" s="24" t="str">
        <f>IFERROR(VLOOKUP(Aug[[#This Row],[Hour]],Shifts[],2,FALSE),"")</f>
        <v/>
      </c>
      <c r="N9" s="2"/>
      <c r="O9" s="24" t="str">
        <f>IFERROR(VLOOKUP(Aug[[#This Row],[BIMS Score]],BIMS[],2,FALSE),"")</f>
        <v/>
      </c>
      <c r="P9" s="3"/>
      <c r="Q9" s="3"/>
      <c r="R9" s="2"/>
      <c r="S9" s="168"/>
      <c r="T9" s="3"/>
      <c r="U9" s="3"/>
      <c r="V9" s="3"/>
    </row>
    <row r="10" spans="1:22" ht="20.85" customHeight="1" x14ac:dyDescent="0.25">
      <c r="A10" s="21"/>
      <c r="B10" s="266"/>
      <c r="C10" s="5"/>
      <c r="D10" s="263"/>
      <c r="E10" s="263"/>
      <c r="F10" s="266"/>
      <c r="G10" s="267"/>
      <c r="H10" s="2"/>
      <c r="I10" s="2"/>
      <c r="J10" s="2"/>
      <c r="K10" s="24" t="str">
        <f>IF(Aug[[#This Row],[Date of Incident]]="","",TEXT(Aug[[#This Row],[Date of Incident]],"ddd"))</f>
        <v/>
      </c>
      <c r="L10" s="1"/>
      <c r="M10" s="24" t="str">
        <f>IFERROR(VLOOKUP(Aug[[#This Row],[Hour]],Shifts[],2,FALSE),"")</f>
        <v/>
      </c>
      <c r="N10" s="2"/>
      <c r="O10" s="24" t="str">
        <f>IFERROR(VLOOKUP(Aug[[#This Row],[BIMS Score]],BIMS[],2,FALSE),"")</f>
        <v/>
      </c>
      <c r="P10" s="3"/>
      <c r="Q10" s="3"/>
      <c r="R10" s="2"/>
      <c r="S10" s="168"/>
      <c r="T10" s="3"/>
      <c r="U10" s="3"/>
      <c r="V10" s="3"/>
    </row>
    <row r="11" spans="1:22" ht="20.85" customHeight="1" x14ac:dyDescent="0.25">
      <c r="A11" s="21"/>
      <c r="B11" s="266"/>
      <c r="C11" s="5"/>
      <c r="D11" s="263"/>
      <c r="E11" s="263"/>
      <c r="F11" s="266"/>
      <c r="G11" s="267"/>
      <c r="H11" s="2"/>
      <c r="I11" s="2"/>
      <c r="J11" s="2"/>
      <c r="K11" s="24" t="str">
        <f>IF(Aug[[#This Row],[Date of Incident]]="","",TEXT(Aug[[#This Row],[Date of Incident]],"ddd"))</f>
        <v/>
      </c>
      <c r="L11" s="1"/>
      <c r="M11" s="24" t="str">
        <f>IFERROR(VLOOKUP(Aug[[#This Row],[Hour]],Shifts[],2,FALSE),"")</f>
        <v/>
      </c>
      <c r="N11" s="2"/>
      <c r="O11" s="24" t="str">
        <f>IFERROR(VLOOKUP(Aug[[#This Row],[BIMS Score]],BIMS[],2,FALSE),"")</f>
        <v/>
      </c>
      <c r="P11" s="3"/>
      <c r="Q11" s="3"/>
      <c r="R11" s="2"/>
      <c r="S11" s="168"/>
      <c r="T11" s="3"/>
      <c r="U11" s="3"/>
      <c r="V11" s="3"/>
    </row>
    <row r="12" spans="1:22" ht="20.85" customHeight="1" x14ac:dyDescent="0.25">
      <c r="A12" s="21"/>
      <c r="B12" s="267"/>
      <c r="C12" s="5"/>
      <c r="D12" s="264"/>
      <c r="E12" s="263"/>
      <c r="F12" s="267"/>
      <c r="G12" s="267"/>
      <c r="H12" s="2"/>
      <c r="I12" s="2"/>
      <c r="J12" s="2"/>
      <c r="K12" s="24" t="str">
        <f>IF(Aug[[#This Row],[Date of Incident]]="","",TEXT(Aug[[#This Row],[Date of Incident]],"ddd"))</f>
        <v/>
      </c>
      <c r="L12" s="1"/>
      <c r="M12" s="24" t="str">
        <f>IFERROR(VLOOKUP(Aug[[#This Row],[Hour]],Shifts[],2,FALSE),"")</f>
        <v/>
      </c>
      <c r="N12" s="2"/>
      <c r="O12" s="24" t="str">
        <f>IFERROR(VLOOKUP(Aug[[#This Row],[BIMS Score]],BIMS[],2,FALSE),"")</f>
        <v/>
      </c>
      <c r="P12" s="3"/>
      <c r="Q12" s="3"/>
      <c r="R12" s="2"/>
      <c r="S12" s="168"/>
      <c r="T12" s="3"/>
      <c r="U12" s="3"/>
      <c r="V12" s="3"/>
    </row>
    <row r="13" spans="1:22" ht="20.85" customHeight="1" x14ac:dyDescent="0.25">
      <c r="A13" s="21"/>
      <c r="B13" s="267"/>
      <c r="C13" s="5"/>
      <c r="D13" s="264"/>
      <c r="E13" s="263"/>
      <c r="F13" s="267"/>
      <c r="G13" s="267"/>
      <c r="H13" s="2"/>
      <c r="I13" s="2"/>
      <c r="J13" s="2"/>
      <c r="K13" s="24" t="str">
        <f>IF(Aug[[#This Row],[Date of Incident]]="","",TEXT(Aug[[#This Row],[Date of Incident]],"ddd"))</f>
        <v/>
      </c>
      <c r="L13" s="1"/>
      <c r="M13" s="24" t="str">
        <f>IFERROR(VLOOKUP(Aug[[#This Row],[Hour]],Shifts[],2,FALSE),"")</f>
        <v/>
      </c>
      <c r="N13" s="2"/>
      <c r="O13" s="24" t="str">
        <f>IFERROR(VLOOKUP(Aug[[#This Row],[BIMS Score]],BIMS[],2,FALSE),"")</f>
        <v/>
      </c>
      <c r="P13" s="3"/>
      <c r="Q13" s="3"/>
      <c r="R13" s="2"/>
      <c r="S13" s="168"/>
      <c r="T13" s="3"/>
      <c r="U13" s="3"/>
      <c r="V13" s="3"/>
    </row>
    <row r="14" spans="1:22" ht="20.85" customHeight="1" x14ac:dyDescent="0.25">
      <c r="A14" s="21"/>
      <c r="B14" s="267"/>
      <c r="C14" s="5"/>
      <c r="D14" s="264"/>
      <c r="E14" s="263"/>
      <c r="F14" s="267"/>
      <c r="G14" s="267"/>
      <c r="H14" s="2"/>
      <c r="I14" s="2"/>
      <c r="J14" s="2"/>
      <c r="K14" s="24" t="str">
        <f>IF(Aug[[#This Row],[Date of Incident]]="","",TEXT(Aug[[#This Row],[Date of Incident]],"ddd"))</f>
        <v/>
      </c>
      <c r="L14" s="1"/>
      <c r="M14" s="24" t="str">
        <f>IFERROR(VLOOKUP(Aug[[#This Row],[Hour]],Shifts[],2,FALSE),"")</f>
        <v/>
      </c>
      <c r="N14" s="2"/>
      <c r="O14" s="24" t="str">
        <f>IFERROR(VLOOKUP(Aug[[#This Row],[BIMS Score]],BIMS[],2,FALSE),"")</f>
        <v/>
      </c>
      <c r="P14" s="3"/>
      <c r="Q14" s="3"/>
      <c r="R14" s="2"/>
      <c r="S14" s="168"/>
      <c r="T14" s="3"/>
      <c r="U14" s="3"/>
      <c r="V14" s="3"/>
    </row>
    <row r="15" spans="1:22" ht="20.85" customHeight="1" x14ac:dyDescent="0.25">
      <c r="A15" s="21"/>
      <c r="B15" s="267"/>
      <c r="C15" s="5"/>
      <c r="D15" s="264"/>
      <c r="E15" s="263"/>
      <c r="F15" s="267"/>
      <c r="G15" s="267"/>
      <c r="H15" s="2"/>
      <c r="I15" s="2"/>
      <c r="J15" s="2"/>
      <c r="K15" s="24" t="str">
        <f>IF(Aug[[#This Row],[Date of Incident]]="","",TEXT(Aug[[#This Row],[Date of Incident]],"ddd"))</f>
        <v/>
      </c>
      <c r="L15" s="1"/>
      <c r="M15" s="24" t="str">
        <f>IFERROR(VLOOKUP(Aug[[#This Row],[Hour]],Shifts[],2,FALSE),"")</f>
        <v/>
      </c>
      <c r="N15" s="2"/>
      <c r="O15" s="24" t="str">
        <f>IFERROR(VLOOKUP(Aug[[#This Row],[BIMS Score]],BIMS[],2,FALSE),"")</f>
        <v/>
      </c>
      <c r="P15" s="3"/>
      <c r="Q15" s="3"/>
      <c r="R15" s="2"/>
      <c r="S15" s="168"/>
      <c r="T15" s="3"/>
      <c r="U15" s="3"/>
      <c r="V15" s="3"/>
    </row>
    <row r="16" spans="1:22" ht="20.85" customHeight="1" x14ac:dyDescent="0.25">
      <c r="A16" s="21"/>
      <c r="B16" s="267"/>
      <c r="C16" s="3"/>
      <c r="D16" s="264"/>
      <c r="E16" s="264"/>
      <c r="F16" s="267"/>
      <c r="G16" s="267"/>
      <c r="H16" s="2"/>
      <c r="I16" s="2"/>
      <c r="J16" s="2"/>
      <c r="K16" s="24" t="str">
        <f>IF(Aug[[#This Row],[Date of Incident]]="","",TEXT(Aug[[#This Row],[Date of Incident]],"ddd"))</f>
        <v/>
      </c>
      <c r="L16" s="1"/>
      <c r="M16" s="24" t="str">
        <f>IFERROR(VLOOKUP(Aug[[#This Row],[Hour]],Shifts[],2,FALSE),"")</f>
        <v/>
      </c>
      <c r="N16" s="2"/>
      <c r="O16" s="24" t="str">
        <f>IFERROR(VLOOKUP(Aug[[#This Row],[BIMS Score]],BIMS[],2,FALSE),"")</f>
        <v/>
      </c>
      <c r="P16" s="3"/>
      <c r="Q16" s="3"/>
      <c r="R16" s="2"/>
      <c r="S16" s="168"/>
      <c r="T16" s="3"/>
      <c r="U16" s="3"/>
      <c r="V16" s="3"/>
    </row>
    <row r="17" spans="1:22" ht="20.85" customHeight="1" x14ac:dyDescent="0.25">
      <c r="A17" s="21"/>
      <c r="B17" s="267"/>
      <c r="C17" s="3"/>
      <c r="D17" s="264"/>
      <c r="E17" s="264"/>
      <c r="F17" s="267"/>
      <c r="G17" s="267"/>
      <c r="H17" s="2"/>
      <c r="I17" s="2"/>
      <c r="J17" s="2"/>
      <c r="K17" s="24" t="str">
        <f>IF(Aug[[#This Row],[Date of Incident]]="","",TEXT(Aug[[#This Row],[Date of Incident]],"ddd"))</f>
        <v/>
      </c>
      <c r="L17" s="1"/>
      <c r="M17" s="24" t="str">
        <f>IFERROR(VLOOKUP(Aug[[#This Row],[Hour]],Shifts[],2,FALSE),"")</f>
        <v/>
      </c>
      <c r="N17" s="2"/>
      <c r="O17" s="24" t="str">
        <f>IFERROR(VLOOKUP(Aug[[#This Row],[BIMS Score]],BIMS[],2,FALSE),"")</f>
        <v/>
      </c>
      <c r="P17" s="3"/>
      <c r="Q17" s="3"/>
      <c r="R17" s="2"/>
      <c r="S17" s="168"/>
      <c r="T17" s="3"/>
      <c r="U17" s="3"/>
      <c r="V17" s="3"/>
    </row>
    <row r="18" spans="1:22" ht="20.85" customHeight="1" x14ac:dyDescent="0.25">
      <c r="A18" s="21"/>
      <c r="B18" s="267"/>
      <c r="C18" s="3"/>
      <c r="D18" s="264"/>
      <c r="E18" s="264"/>
      <c r="F18" s="267"/>
      <c r="G18" s="267"/>
      <c r="H18" s="2"/>
      <c r="I18" s="2"/>
      <c r="J18" s="2"/>
      <c r="K18" s="24" t="str">
        <f>IF(Aug[[#This Row],[Date of Incident]]="","",TEXT(Aug[[#This Row],[Date of Incident]],"ddd"))</f>
        <v/>
      </c>
      <c r="L18" s="1"/>
      <c r="M18" s="24" t="str">
        <f>IFERROR(VLOOKUP(Aug[[#This Row],[Hour]],Shifts[],2,FALSE),"")</f>
        <v/>
      </c>
      <c r="N18" s="2"/>
      <c r="O18" s="24" t="str">
        <f>IFERROR(VLOOKUP(Aug[[#This Row],[BIMS Score]],BIMS[],2,FALSE),"")</f>
        <v/>
      </c>
      <c r="P18" s="3"/>
      <c r="Q18" s="3"/>
      <c r="R18" s="2"/>
      <c r="S18" s="168"/>
      <c r="T18" s="3"/>
      <c r="U18" s="3"/>
      <c r="V18" s="3"/>
    </row>
    <row r="19" spans="1:22" ht="20.85" customHeight="1" x14ac:dyDescent="0.25">
      <c r="A19" s="21"/>
      <c r="B19" s="267"/>
      <c r="C19" s="3"/>
      <c r="D19" s="264"/>
      <c r="E19" s="264"/>
      <c r="F19" s="267"/>
      <c r="G19" s="267"/>
      <c r="H19" s="2"/>
      <c r="I19" s="2"/>
      <c r="J19" s="2"/>
      <c r="K19" s="24" t="str">
        <f>IF(Aug[[#This Row],[Date of Incident]]="","",TEXT(Aug[[#This Row],[Date of Incident]],"ddd"))</f>
        <v/>
      </c>
      <c r="L19" s="1"/>
      <c r="M19" s="24" t="str">
        <f>IFERROR(VLOOKUP(Aug[[#This Row],[Hour]],Shifts[],2,FALSE),"")</f>
        <v/>
      </c>
      <c r="N19" s="2"/>
      <c r="O19" s="24" t="str">
        <f>IFERROR(VLOOKUP(Aug[[#This Row],[BIMS Score]],BIMS[],2,FALSE),"")</f>
        <v/>
      </c>
      <c r="P19" s="3"/>
      <c r="Q19" s="3"/>
      <c r="R19" s="2"/>
      <c r="S19" s="168"/>
      <c r="T19" s="3"/>
      <c r="U19" s="3"/>
      <c r="V19" s="3"/>
    </row>
    <row r="20" spans="1:22" ht="20.85" customHeight="1" x14ac:dyDescent="0.25">
      <c r="A20" s="21"/>
      <c r="B20" s="267"/>
      <c r="C20" s="3"/>
      <c r="D20" s="264"/>
      <c r="E20" s="264"/>
      <c r="F20" s="267"/>
      <c r="G20" s="267"/>
      <c r="H20" s="2"/>
      <c r="I20" s="2"/>
      <c r="J20" s="2"/>
      <c r="K20" s="24" t="str">
        <f>IF(Aug[[#This Row],[Date of Incident]]="","",TEXT(Aug[[#This Row],[Date of Incident]],"ddd"))</f>
        <v/>
      </c>
      <c r="L20" s="1"/>
      <c r="M20" s="24" t="str">
        <f>IFERROR(VLOOKUP(Aug[[#This Row],[Hour]],Shifts[],2,FALSE),"")</f>
        <v/>
      </c>
      <c r="N20" s="2"/>
      <c r="O20" s="24" t="str">
        <f>IFERROR(VLOOKUP(Aug[[#This Row],[BIMS Score]],BIMS[],2,FALSE),"")</f>
        <v/>
      </c>
      <c r="P20" s="3"/>
      <c r="Q20" s="3"/>
      <c r="R20" s="2"/>
      <c r="S20" s="168"/>
      <c r="T20" s="3"/>
      <c r="U20" s="3"/>
      <c r="V20" s="3"/>
    </row>
    <row r="21" spans="1:22" ht="20.85" customHeight="1" x14ac:dyDescent="0.25">
      <c r="A21" s="21"/>
      <c r="B21" s="267"/>
      <c r="C21" s="3"/>
      <c r="D21" s="264"/>
      <c r="E21" s="264"/>
      <c r="F21" s="267"/>
      <c r="G21" s="267"/>
      <c r="H21" s="2"/>
      <c r="I21" s="2"/>
      <c r="J21" s="2"/>
      <c r="K21" s="24" t="str">
        <f>IF(Aug[[#This Row],[Date of Incident]]="","",TEXT(Aug[[#This Row],[Date of Incident]],"ddd"))</f>
        <v/>
      </c>
      <c r="L21" s="1"/>
      <c r="M21" s="24" t="str">
        <f>IFERROR(VLOOKUP(Aug[[#This Row],[Hour]],Shifts[],2,FALSE),"")</f>
        <v/>
      </c>
      <c r="N21" s="2"/>
      <c r="O21" s="24" t="str">
        <f>IFERROR(VLOOKUP(Aug[[#This Row],[BIMS Score]],BIMS[],2,FALSE),"")</f>
        <v/>
      </c>
      <c r="P21" s="3"/>
      <c r="Q21" s="3"/>
      <c r="R21" s="2"/>
      <c r="S21" s="168"/>
      <c r="T21" s="3"/>
      <c r="U21" s="3"/>
      <c r="V21" s="3"/>
    </row>
    <row r="22" spans="1:22" ht="20.85" customHeight="1" x14ac:dyDescent="0.25">
      <c r="A22" s="21"/>
      <c r="B22" s="267"/>
      <c r="C22" s="3"/>
      <c r="D22" s="264"/>
      <c r="E22" s="264"/>
      <c r="F22" s="267"/>
      <c r="G22" s="267"/>
      <c r="H22" s="2"/>
      <c r="I22" s="2"/>
      <c r="J22" s="2"/>
      <c r="K22" s="24" t="str">
        <f>IF(Aug[[#This Row],[Date of Incident]]="","",TEXT(Aug[[#This Row],[Date of Incident]],"ddd"))</f>
        <v/>
      </c>
      <c r="L22" s="1"/>
      <c r="M22" s="24" t="str">
        <f>IFERROR(VLOOKUP(Aug[[#This Row],[Hour]],Shifts[],2,FALSE),"")</f>
        <v/>
      </c>
      <c r="N22" s="1"/>
      <c r="O22" s="24" t="str">
        <f>IFERROR(VLOOKUP(Aug[[#This Row],[BIMS Score]],BIMS[],2,FALSE),"")</f>
        <v/>
      </c>
      <c r="P22" s="3"/>
      <c r="Q22" s="3"/>
      <c r="R22" s="2"/>
      <c r="S22" s="168"/>
      <c r="T22" s="3"/>
      <c r="U22" s="3"/>
      <c r="V22" s="3"/>
    </row>
    <row r="23" spans="1:22" ht="20.85" customHeight="1" x14ac:dyDescent="0.25">
      <c r="A23" s="21"/>
      <c r="B23" s="267"/>
      <c r="C23" s="3"/>
      <c r="D23" s="264"/>
      <c r="E23" s="264"/>
      <c r="F23" s="267"/>
      <c r="G23" s="267"/>
      <c r="H23" s="2"/>
      <c r="I23" s="2"/>
      <c r="J23" s="2"/>
      <c r="K23" s="24" t="str">
        <f>IF(Aug[[#This Row],[Date of Incident]]="","",TEXT(Aug[[#This Row],[Date of Incident]],"ddd"))</f>
        <v/>
      </c>
      <c r="L23" s="1"/>
      <c r="M23" s="24" t="str">
        <f>IFERROR(VLOOKUP(Aug[[#This Row],[Hour]],Shifts[],2,FALSE),"")</f>
        <v/>
      </c>
      <c r="N23" s="1"/>
      <c r="O23" s="24" t="str">
        <f>IFERROR(VLOOKUP(Aug[[#This Row],[BIMS Score]],BIMS[],2,FALSE),"")</f>
        <v/>
      </c>
      <c r="P23" s="3"/>
      <c r="Q23" s="3"/>
      <c r="R23" s="2"/>
      <c r="S23" s="168"/>
      <c r="T23" s="3"/>
      <c r="U23" s="3"/>
      <c r="V23" s="3"/>
    </row>
    <row r="24" spans="1:22" s="10" customFormat="1" ht="20.85" customHeight="1" x14ac:dyDescent="0.25">
      <c r="A24" s="26"/>
      <c r="B24" s="266"/>
      <c r="C24" s="5"/>
      <c r="D24" s="263"/>
      <c r="E24" s="263"/>
      <c r="F24" s="267"/>
      <c r="G24" s="267"/>
      <c r="H24" s="1"/>
      <c r="I24" s="1"/>
      <c r="J24" s="1"/>
      <c r="K24" s="24" t="str">
        <f>IF(Aug[[#This Row],[Date of Incident]]="","",TEXT(Aug[[#This Row],[Date of Incident]],"ddd"))</f>
        <v/>
      </c>
      <c r="L24" s="1"/>
      <c r="M24" s="24" t="str">
        <f>IFERROR(VLOOKUP(Aug[[#This Row],[Hour]],Shifts[],2,FALSE),"")</f>
        <v/>
      </c>
      <c r="N24" s="1"/>
      <c r="O24" s="24" t="str">
        <f>IFERROR(VLOOKUP(Aug[[#This Row],[BIMS Score]],BIMS[],2,FALSE),"")</f>
        <v/>
      </c>
      <c r="P24" s="3"/>
      <c r="Q24" s="3"/>
      <c r="R24" s="2"/>
      <c r="S24" s="168"/>
      <c r="T24" s="5"/>
      <c r="U24" s="5"/>
      <c r="V24" s="3"/>
    </row>
    <row r="25" spans="1:22" ht="20.85" customHeight="1" x14ac:dyDescent="0.25">
      <c r="A25" s="21"/>
      <c r="B25" s="266"/>
      <c r="C25" s="5"/>
      <c r="D25" s="263"/>
      <c r="E25" s="263"/>
      <c r="F25" s="267"/>
      <c r="G25" s="267"/>
      <c r="H25" s="1"/>
      <c r="I25" s="1"/>
      <c r="J25" s="1"/>
      <c r="K25" s="24" t="str">
        <f>IF(Aug[[#This Row],[Date of Incident]]="","",TEXT(Aug[[#This Row],[Date of Incident]],"ddd"))</f>
        <v/>
      </c>
      <c r="L25" s="1"/>
      <c r="M25" s="24" t="str">
        <f>IFERROR(VLOOKUP(Aug[[#This Row],[Hour]],Shifts[],2,FALSE),"")</f>
        <v/>
      </c>
      <c r="N25" s="1"/>
      <c r="O25" s="24" t="str">
        <f>IFERROR(VLOOKUP(Aug[[#This Row],[BIMS Score]],BIMS[],2,FALSE),"")</f>
        <v/>
      </c>
      <c r="P25" s="3"/>
      <c r="Q25" s="3"/>
      <c r="R25" s="2"/>
      <c r="S25" s="168"/>
      <c r="T25" s="5"/>
      <c r="U25" s="5"/>
      <c r="V25" s="3"/>
    </row>
    <row r="26" spans="1:22" ht="20.85" customHeight="1" x14ac:dyDescent="0.25">
      <c r="A26" s="21"/>
      <c r="B26" s="266"/>
      <c r="C26" s="5"/>
      <c r="D26" s="263"/>
      <c r="E26" s="263"/>
      <c r="F26" s="267"/>
      <c r="G26" s="267"/>
      <c r="H26" s="1"/>
      <c r="I26" s="1"/>
      <c r="J26" s="1"/>
      <c r="K26" s="24" t="str">
        <f>IF(Aug[[#This Row],[Date of Incident]]="","",TEXT(Aug[[#This Row],[Date of Incident]],"ddd"))</f>
        <v/>
      </c>
      <c r="L26" s="1"/>
      <c r="M26" s="24" t="str">
        <f>IFERROR(VLOOKUP(Aug[[#This Row],[Hour]],Shifts[],2,FALSE),"")</f>
        <v/>
      </c>
      <c r="N26" s="1"/>
      <c r="O26" s="24" t="str">
        <f>IFERROR(VLOOKUP(Aug[[#This Row],[BIMS Score]],BIMS[],2,FALSE),"")</f>
        <v/>
      </c>
      <c r="P26" s="3"/>
      <c r="Q26" s="3"/>
      <c r="R26" s="2"/>
      <c r="S26" s="168"/>
      <c r="T26" s="5"/>
      <c r="U26" s="5"/>
      <c r="V26" s="3"/>
    </row>
    <row r="27" spans="1:22" ht="20.85" customHeight="1" x14ac:dyDescent="0.25">
      <c r="A27" s="21"/>
      <c r="B27" s="266"/>
      <c r="C27" s="5"/>
      <c r="D27" s="263"/>
      <c r="E27" s="263"/>
      <c r="F27" s="267"/>
      <c r="G27" s="267"/>
      <c r="H27" s="1"/>
      <c r="I27" s="1"/>
      <c r="J27" s="1"/>
      <c r="K27" s="24" t="str">
        <f>IF(Aug[[#This Row],[Date of Incident]]="","",TEXT(Aug[[#This Row],[Date of Incident]],"ddd"))</f>
        <v/>
      </c>
      <c r="L27" s="1"/>
      <c r="M27" s="24" t="str">
        <f>IFERROR(VLOOKUP(Aug[[#This Row],[Hour]],Shifts[],2,FALSE),"")</f>
        <v/>
      </c>
      <c r="N27" s="1"/>
      <c r="O27" s="24" t="str">
        <f>IFERROR(VLOOKUP(Aug[[#This Row],[BIMS Score]],BIMS[],2,FALSE),"")</f>
        <v/>
      </c>
      <c r="P27" s="3"/>
      <c r="Q27" s="3"/>
      <c r="R27" s="2"/>
      <c r="S27" s="168"/>
      <c r="T27" s="5"/>
      <c r="U27" s="5"/>
      <c r="V27" s="3"/>
    </row>
    <row r="28" spans="1:22" ht="20.85" customHeight="1" x14ac:dyDescent="0.25">
      <c r="A28" s="21"/>
      <c r="B28" s="266"/>
      <c r="C28" s="5"/>
      <c r="D28" s="263"/>
      <c r="E28" s="263"/>
      <c r="F28" s="267"/>
      <c r="G28" s="267"/>
      <c r="H28" s="1"/>
      <c r="I28" s="1"/>
      <c r="J28" s="1"/>
      <c r="K28" s="24" t="str">
        <f>IF(Aug[[#This Row],[Date of Incident]]="","",TEXT(Aug[[#This Row],[Date of Incident]],"ddd"))</f>
        <v/>
      </c>
      <c r="L28" s="1"/>
      <c r="M28" s="24" t="str">
        <f>IFERROR(VLOOKUP(Aug[[#This Row],[Hour]],Shifts[],2,FALSE),"")</f>
        <v/>
      </c>
      <c r="N28" s="1"/>
      <c r="O28" s="24" t="str">
        <f>IFERROR(VLOOKUP(Aug[[#This Row],[BIMS Score]],BIMS[],2,FALSE),"")</f>
        <v/>
      </c>
      <c r="P28" s="3"/>
      <c r="Q28" s="3"/>
      <c r="R28" s="2"/>
      <c r="S28" s="168"/>
      <c r="T28" s="5"/>
      <c r="U28" s="5"/>
      <c r="V28" s="3"/>
    </row>
    <row r="29" spans="1:22" ht="20.85" customHeight="1" x14ac:dyDescent="0.25">
      <c r="B29" s="266"/>
      <c r="C29" s="5"/>
      <c r="D29" s="263"/>
      <c r="E29" s="263"/>
      <c r="F29" s="267"/>
      <c r="G29" s="267"/>
      <c r="H29" s="1"/>
      <c r="I29" s="1"/>
      <c r="J29" s="1"/>
      <c r="K29" s="27" t="str">
        <f>IF(Aug[[#This Row],[Date of Incident]]="","",TEXT(Aug[[#This Row],[Date of Incident]],"ddd"))</f>
        <v/>
      </c>
      <c r="L29" s="1"/>
      <c r="M29" s="27" t="str">
        <f>IFERROR(VLOOKUP(Aug[[#This Row],[Hour]],Shifts[],2,FALSE),"")</f>
        <v/>
      </c>
      <c r="N29" s="2"/>
      <c r="O29" s="24" t="str">
        <f>IFERROR(VLOOKUP(Aug[[#This Row],[BIMS Score]],BIMS[],2,FALSE),"")</f>
        <v/>
      </c>
      <c r="P29" s="3"/>
      <c r="Q29" s="3"/>
      <c r="R29" s="2"/>
      <c r="S29" s="168"/>
      <c r="T29" s="5"/>
      <c r="U29" s="5"/>
      <c r="V29" s="5"/>
    </row>
    <row r="30" spans="1:22" ht="20.85" customHeight="1" x14ac:dyDescent="0.25">
      <c r="B30" s="266"/>
      <c r="C30" s="5"/>
      <c r="D30" s="263"/>
      <c r="E30" s="263"/>
      <c r="F30" s="267"/>
      <c r="G30" s="267"/>
      <c r="H30" s="1"/>
      <c r="I30" s="1"/>
      <c r="J30" s="1"/>
      <c r="K30" s="27" t="str">
        <f>IF(Aug[[#This Row],[Date of Incident]]="","",TEXT(Aug[[#This Row],[Date of Incident]],"ddd"))</f>
        <v/>
      </c>
      <c r="L30" s="1"/>
      <c r="M30" s="27" t="str">
        <f>IFERROR(VLOOKUP(Aug[[#This Row],[Hour]],Shifts[],2,FALSE),"")</f>
        <v/>
      </c>
      <c r="N30" s="2"/>
      <c r="O30" s="24" t="str">
        <f>IFERROR(VLOOKUP(Aug[[#This Row],[BIMS Score]],BIMS[],2,FALSE),"")</f>
        <v/>
      </c>
      <c r="P30" s="3"/>
      <c r="Q30" s="3"/>
      <c r="R30" s="2"/>
      <c r="S30" s="168"/>
      <c r="T30" s="5"/>
      <c r="U30" s="5"/>
      <c r="V30" s="5"/>
    </row>
    <row r="31" spans="1:22" ht="20.85" customHeight="1" x14ac:dyDescent="0.25">
      <c r="B31" s="266"/>
      <c r="C31" s="5"/>
      <c r="D31" s="263"/>
      <c r="E31" s="263"/>
      <c r="F31" s="267"/>
      <c r="G31" s="267"/>
      <c r="H31" s="1"/>
      <c r="I31" s="1"/>
      <c r="J31" s="1"/>
      <c r="K31" s="27" t="str">
        <f>IF(Aug[[#This Row],[Date of Incident]]="","",TEXT(Aug[[#This Row],[Date of Incident]],"ddd"))</f>
        <v/>
      </c>
      <c r="L31" s="1"/>
      <c r="M31" s="27" t="str">
        <f>IFERROR(VLOOKUP(Aug[[#This Row],[Hour]],Shifts[],2,FALSE),"")</f>
        <v/>
      </c>
      <c r="N31" s="2"/>
      <c r="O31" s="24" t="str">
        <f>IFERROR(VLOOKUP(Aug[[#This Row],[BIMS Score]],BIMS[],2,FALSE),"")</f>
        <v/>
      </c>
      <c r="P31" s="3"/>
      <c r="Q31" s="3"/>
      <c r="R31" s="2"/>
      <c r="S31" s="168"/>
      <c r="T31" s="5"/>
      <c r="U31" s="5"/>
      <c r="V31" s="5"/>
    </row>
    <row r="32" spans="1:22" ht="20.85" customHeight="1" x14ac:dyDescent="0.25">
      <c r="B32" s="266"/>
      <c r="C32" s="5"/>
      <c r="D32" s="263"/>
      <c r="E32" s="263"/>
      <c r="F32" s="267"/>
      <c r="G32" s="267"/>
      <c r="H32" s="1"/>
      <c r="I32" s="1"/>
      <c r="J32" s="1"/>
      <c r="K32" s="27" t="str">
        <f>IF(Aug[[#This Row],[Date of Incident]]="","",TEXT(Aug[[#This Row],[Date of Incident]],"ddd"))</f>
        <v/>
      </c>
      <c r="L32" s="1"/>
      <c r="M32" s="27" t="str">
        <f>IFERROR(VLOOKUP(Aug[[#This Row],[Hour]],Shifts[],2,FALSE),"")</f>
        <v/>
      </c>
      <c r="N32" s="2"/>
      <c r="O32" s="24" t="str">
        <f>IFERROR(VLOOKUP(Aug[[#This Row],[BIMS Score]],BIMS[],2,FALSE),"")</f>
        <v/>
      </c>
      <c r="P32" s="3"/>
      <c r="Q32" s="3"/>
      <c r="R32" s="2"/>
      <c r="S32" s="168"/>
      <c r="T32" s="5"/>
      <c r="U32" s="5"/>
      <c r="V32" s="5"/>
    </row>
    <row r="33" spans="2:22" ht="20.85" customHeight="1" x14ac:dyDescent="0.25">
      <c r="B33" s="266"/>
      <c r="C33" s="5"/>
      <c r="D33" s="263"/>
      <c r="E33" s="263"/>
      <c r="F33" s="267"/>
      <c r="G33" s="267"/>
      <c r="H33" s="1"/>
      <c r="I33" s="1"/>
      <c r="J33" s="1"/>
      <c r="K33" s="27" t="str">
        <f>IF(Aug[[#This Row],[Date of Incident]]="","",TEXT(Aug[[#This Row],[Date of Incident]],"ddd"))</f>
        <v/>
      </c>
      <c r="L33" s="1"/>
      <c r="M33" s="27" t="str">
        <f>IFERROR(VLOOKUP(Aug[[#This Row],[Hour]],Shifts[],2,FALSE),"")</f>
        <v/>
      </c>
      <c r="N33" s="2"/>
      <c r="O33" s="24" t="str">
        <f>IFERROR(VLOOKUP(Aug[[#This Row],[BIMS Score]],BIMS[],2,FALSE),"")</f>
        <v/>
      </c>
      <c r="P33" s="3"/>
      <c r="Q33" s="3"/>
      <c r="R33" s="2"/>
      <c r="S33" s="168"/>
      <c r="T33" s="5"/>
      <c r="U33" s="5"/>
      <c r="V33" s="5"/>
    </row>
    <row r="34" spans="2:22" ht="20.85" customHeight="1" x14ac:dyDescent="0.25">
      <c r="B34" s="266"/>
      <c r="C34" s="5"/>
      <c r="D34" s="263"/>
      <c r="E34" s="263"/>
      <c r="F34" s="267"/>
      <c r="G34" s="267"/>
      <c r="H34" s="1"/>
      <c r="I34" s="1"/>
      <c r="J34" s="1"/>
      <c r="K34" s="27" t="str">
        <f>IF(Aug[[#This Row],[Date of Incident]]="","",TEXT(Aug[[#This Row],[Date of Incident]],"ddd"))</f>
        <v/>
      </c>
      <c r="L34" s="1"/>
      <c r="M34" s="27" t="str">
        <f>IFERROR(VLOOKUP(Aug[[#This Row],[Hour]],Shifts[],2,FALSE),"")</f>
        <v/>
      </c>
      <c r="N34" s="2"/>
      <c r="O34" s="24" t="str">
        <f>IFERROR(VLOOKUP(Aug[[#This Row],[BIMS Score]],BIMS[],2,FALSE),"")</f>
        <v/>
      </c>
      <c r="P34" s="3"/>
      <c r="Q34" s="3"/>
      <c r="R34" s="2"/>
      <c r="S34" s="168"/>
      <c r="T34" s="5"/>
      <c r="U34" s="5"/>
      <c r="V34" s="5"/>
    </row>
    <row r="35" spans="2:22" ht="20.85" customHeight="1" x14ac:dyDescent="0.25">
      <c r="B35" s="266"/>
      <c r="C35" s="5"/>
      <c r="D35" s="263"/>
      <c r="E35" s="263"/>
      <c r="F35" s="267"/>
      <c r="G35" s="267"/>
      <c r="H35" s="1"/>
      <c r="I35" s="1"/>
      <c r="J35" s="1"/>
      <c r="K35" s="27" t="str">
        <f>IF(Aug[[#This Row],[Date of Incident]]="","",TEXT(Aug[[#This Row],[Date of Incident]],"ddd"))</f>
        <v/>
      </c>
      <c r="L35" s="1"/>
      <c r="M35" s="27" t="str">
        <f>IFERROR(VLOOKUP(Aug[[#This Row],[Hour]],Shifts[],2,FALSE),"")</f>
        <v/>
      </c>
      <c r="N35" s="2"/>
      <c r="O35" s="24" t="str">
        <f>IFERROR(VLOOKUP(Aug[[#This Row],[BIMS Score]],BIMS[],2,FALSE),"")</f>
        <v/>
      </c>
      <c r="P35" s="3"/>
      <c r="Q35" s="3"/>
      <c r="R35" s="2"/>
      <c r="S35" s="168"/>
      <c r="T35" s="5"/>
      <c r="U35" s="5"/>
      <c r="V35" s="5"/>
    </row>
    <row r="36" spans="2:22" ht="20.85" customHeight="1" x14ac:dyDescent="0.25">
      <c r="B36" s="266"/>
      <c r="C36" s="5"/>
      <c r="D36" s="263"/>
      <c r="E36" s="263"/>
      <c r="F36" s="267"/>
      <c r="G36" s="267"/>
      <c r="H36" s="1"/>
      <c r="I36" s="1"/>
      <c r="J36" s="1"/>
      <c r="K36" s="27" t="str">
        <f>IF(Aug[[#This Row],[Date of Incident]]="","",TEXT(Aug[[#This Row],[Date of Incident]],"ddd"))</f>
        <v/>
      </c>
      <c r="L36" s="1"/>
      <c r="M36" s="27" t="str">
        <f>IFERROR(VLOOKUP(Aug[[#This Row],[Hour]],Shifts[],2,FALSE),"")</f>
        <v/>
      </c>
      <c r="N36" s="2"/>
      <c r="O36" s="24" t="str">
        <f>IFERROR(VLOOKUP(Aug[[#This Row],[BIMS Score]],BIMS[],2,FALSE),"")</f>
        <v/>
      </c>
      <c r="P36" s="3"/>
      <c r="Q36" s="3"/>
      <c r="R36" s="2"/>
      <c r="S36" s="168"/>
      <c r="T36" s="5"/>
      <c r="U36" s="5"/>
      <c r="V36" s="5"/>
    </row>
    <row r="37" spans="2:22" ht="20.85" customHeight="1" x14ac:dyDescent="0.25">
      <c r="B37" s="266"/>
      <c r="C37" s="5"/>
      <c r="D37" s="263"/>
      <c r="E37" s="263"/>
      <c r="F37" s="267"/>
      <c r="G37" s="267"/>
      <c r="H37" s="1"/>
      <c r="I37" s="1"/>
      <c r="J37" s="1"/>
      <c r="K37" s="27" t="str">
        <f>IF(Aug[[#This Row],[Date of Incident]]="","",TEXT(Aug[[#This Row],[Date of Incident]],"ddd"))</f>
        <v/>
      </c>
      <c r="L37" s="1"/>
      <c r="M37" s="27" t="str">
        <f>IFERROR(VLOOKUP(Aug[[#This Row],[Hour]],Shifts[],2,FALSE),"")</f>
        <v/>
      </c>
      <c r="N37" s="2"/>
      <c r="O37" s="24" t="str">
        <f>IFERROR(VLOOKUP(Aug[[#This Row],[BIMS Score]],BIMS[],2,FALSE),"")</f>
        <v/>
      </c>
      <c r="P37" s="3"/>
      <c r="Q37" s="3"/>
      <c r="R37" s="2"/>
      <c r="S37" s="168"/>
      <c r="T37" s="5"/>
      <c r="U37" s="5"/>
      <c r="V37" s="5"/>
    </row>
    <row r="38" spans="2:22" ht="20.85" customHeight="1" x14ac:dyDescent="0.25">
      <c r="B38" s="266"/>
      <c r="C38" s="5"/>
      <c r="D38" s="263"/>
      <c r="E38" s="263"/>
      <c r="F38" s="267"/>
      <c r="G38" s="267"/>
      <c r="H38" s="1"/>
      <c r="I38" s="1"/>
      <c r="J38" s="1"/>
      <c r="K38" s="27" t="str">
        <f>IF(Aug[[#This Row],[Date of Incident]]="","",TEXT(Aug[[#This Row],[Date of Incident]],"ddd"))</f>
        <v/>
      </c>
      <c r="L38" s="1"/>
      <c r="M38" s="27" t="str">
        <f>IFERROR(VLOOKUP(Aug[[#This Row],[Hour]],Shifts[],2,FALSE),"")</f>
        <v/>
      </c>
      <c r="N38" s="2"/>
      <c r="O38" s="24" t="str">
        <f>IFERROR(VLOOKUP(Aug[[#This Row],[BIMS Score]],BIMS[],2,FALSE),"")</f>
        <v/>
      </c>
      <c r="P38" s="3"/>
      <c r="Q38" s="3"/>
      <c r="R38" s="2"/>
      <c r="S38" s="168"/>
      <c r="T38" s="5"/>
      <c r="U38" s="5"/>
      <c r="V38" s="5"/>
    </row>
    <row r="39" spans="2:22" ht="20.85" customHeight="1" x14ac:dyDescent="0.25">
      <c r="B39" s="266"/>
      <c r="C39" s="5"/>
      <c r="D39" s="263"/>
      <c r="E39" s="263"/>
      <c r="F39" s="267"/>
      <c r="G39" s="267"/>
      <c r="H39" s="1"/>
      <c r="I39" s="1"/>
      <c r="J39" s="1"/>
      <c r="K39" s="27" t="str">
        <f>IF(Aug[[#This Row],[Date of Incident]]="","",TEXT(Aug[[#This Row],[Date of Incident]],"ddd"))</f>
        <v/>
      </c>
      <c r="L39" s="1"/>
      <c r="M39" s="27" t="str">
        <f>IFERROR(VLOOKUP(Aug[[#This Row],[Hour]],Shifts[],2,FALSE),"")</f>
        <v/>
      </c>
      <c r="N39" s="2"/>
      <c r="O39" s="24" t="str">
        <f>IFERROR(VLOOKUP(Aug[[#This Row],[BIMS Score]],BIMS[],2,FALSE),"")</f>
        <v/>
      </c>
      <c r="P39" s="3"/>
      <c r="Q39" s="3"/>
      <c r="R39" s="2"/>
      <c r="S39" s="168"/>
      <c r="T39" s="5"/>
      <c r="U39" s="5"/>
      <c r="V39" s="5"/>
    </row>
    <row r="40" spans="2:22" ht="20.85" customHeight="1" x14ac:dyDescent="0.25">
      <c r="B40" s="266"/>
      <c r="C40" s="5"/>
      <c r="D40" s="263"/>
      <c r="E40" s="263"/>
      <c r="F40" s="267"/>
      <c r="G40" s="267"/>
      <c r="H40" s="1"/>
      <c r="I40" s="1"/>
      <c r="J40" s="1"/>
      <c r="K40" s="27" t="str">
        <f>IF(Aug[[#This Row],[Date of Incident]]="","",TEXT(Aug[[#This Row],[Date of Incident]],"ddd"))</f>
        <v/>
      </c>
      <c r="L40" s="1"/>
      <c r="M40" s="27" t="str">
        <f>IFERROR(VLOOKUP(Aug[[#This Row],[Hour]],Shifts[],2,FALSE),"")</f>
        <v/>
      </c>
      <c r="N40" s="2"/>
      <c r="O40" s="24" t="str">
        <f>IFERROR(VLOOKUP(Aug[[#This Row],[BIMS Score]],BIMS[],2,FALSE),"")</f>
        <v/>
      </c>
      <c r="P40" s="3"/>
      <c r="Q40" s="3"/>
      <c r="R40" s="2"/>
      <c r="S40" s="168"/>
      <c r="T40" s="5"/>
      <c r="U40" s="5"/>
      <c r="V40" s="5"/>
    </row>
    <row r="41" spans="2:22" x14ac:dyDescent="0.25">
      <c r="B41" s="26"/>
      <c r="C41" s="21"/>
      <c r="D41" s="22"/>
      <c r="E41" s="23"/>
      <c r="F41" s="26"/>
      <c r="G41" s="26"/>
      <c r="H41" s="26"/>
      <c r="I41" s="26"/>
      <c r="J41" s="26"/>
      <c r="K41" s="26"/>
      <c r="L41" s="26"/>
      <c r="M41" s="26"/>
      <c r="N41" s="20"/>
      <c r="O41" s="25"/>
      <c r="P41" s="21"/>
      <c r="Q41" s="21"/>
      <c r="R41" s="25"/>
    </row>
    <row r="42" spans="2:22" x14ac:dyDescent="0.25">
      <c r="B42" s="26"/>
      <c r="C42" s="21"/>
      <c r="D42" s="22"/>
      <c r="E42" s="23"/>
      <c r="F42" s="26"/>
      <c r="G42" s="26"/>
      <c r="H42" s="26"/>
      <c r="I42" s="26"/>
      <c r="J42" s="26"/>
      <c r="K42" s="26"/>
      <c r="L42" s="26"/>
      <c r="M42" s="26"/>
      <c r="N42" s="20"/>
      <c r="O42" s="25"/>
      <c r="P42" s="21"/>
      <c r="Q42" s="21"/>
      <c r="R42" s="25"/>
    </row>
    <row r="43" spans="2:22" x14ac:dyDescent="0.25">
      <c r="B43" s="26"/>
      <c r="C43" s="21"/>
      <c r="D43" s="22"/>
      <c r="E43" s="23"/>
      <c r="F43" s="26"/>
      <c r="G43" s="26"/>
      <c r="H43" s="26"/>
      <c r="I43" s="26"/>
      <c r="J43" s="26"/>
      <c r="K43" s="26"/>
      <c r="L43" s="26"/>
      <c r="M43" s="26"/>
      <c r="N43" s="20"/>
      <c r="O43" s="25"/>
      <c r="P43" s="21"/>
      <c r="Q43" s="21"/>
      <c r="R43" s="25"/>
    </row>
    <row r="44" spans="2:22" x14ac:dyDescent="0.25">
      <c r="B44" s="26"/>
      <c r="C44" s="21"/>
      <c r="D44" s="22"/>
      <c r="E44" s="23"/>
      <c r="F44" s="26"/>
      <c r="G44" s="26"/>
      <c r="H44" s="26"/>
      <c r="I44" s="26"/>
      <c r="J44" s="26"/>
      <c r="K44" s="26"/>
      <c r="L44" s="26"/>
      <c r="M44" s="26"/>
      <c r="N44" s="20"/>
      <c r="O44" s="25"/>
      <c r="P44" s="21"/>
      <c r="Q44" s="21"/>
      <c r="R44" s="25"/>
    </row>
    <row r="45" spans="2:22" x14ac:dyDescent="0.25">
      <c r="B45" s="26"/>
      <c r="C45" s="21"/>
      <c r="D45" s="22"/>
      <c r="E45" s="23"/>
      <c r="F45" s="26"/>
      <c r="G45" s="26"/>
      <c r="H45" s="26"/>
      <c r="I45" s="26"/>
      <c r="J45" s="26"/>
      <c r="K45" s="26"/>
      <c r="L45" s="26"/>
      <c r="M45" s="26"/>
      <c r="N45" s="20"/>
      <c r="O45" s="25"/>
      <c r="P45" s="21"/>
      <c r="Q45" s="21"/>
      <c r="R45" s="25"/>
    </row>
    <row r="46" spans="2:22" x14ac:dyDescent="0.25">
      <c r="B46" s="26"/>
      <c r="C46" s="21"/>
      <c r="D46" s="22"/>
      <c r="E46" s="23"/>
      <c r="F46" s="26"/>
      <c r="G46" s="26"/>
      <c r="H46" s="26"/>
      <c r="I46" s="26"/>
      <c r="J46" s="26"/>
      <c r="K46" s="26"/>
      <c r="L46" s="26"/>
      <c r="M46" s="26"/>
      <c r="N46" s="20"/>
      <c r="O46" s="25"/>
      <c r="P46" s="21"/>
      <c r="Q46" s="21"/>
      <c r="R46" s="25"/>
    </row>
    <row r="47" spans="2:22" x14ac:dyDescent="0.25">
      <c r="B47" s="26"/>
      <c r="C47" s="21"/>
      <c r="D47" s="22"/>
      <c r="E47" s="23"/>
      <c r="F47" s="26"/>
      <c r="G47" s="26"/>
      <c r="H47" s="26"/>
      <c r="I47" s="26"/>
      <c r="J47" s="26"/>
      <c r="K47" s="26"/>
      <c r="L47" s="26"/>
      <c r="M47" s="26"/>
      <c r="N47" s="20"/>
      <c r="O47" s="25"/>
      <c r="P47" s="21"/>
      <c r="Q47" s="21"/>
      <c r="R47" s="25"/>
    </row>
    <row r="48" spans="2:22" x14ac:dyDescent="0.25">
      <c r="B48" s="26"/>
      <c r="C48" s="21"/>
      <c r="D48" s="22"/>
      <c r="E48" s="23"/>
      <c r="F48" s="26"/>
      <c r="G48" s="26"/>
      <c r="H48" s="26"/>
      <c r="I48" s="26"/>
      <c r="J48" s="26"/>
      <c r="K48" s="26"/>
      <c r="L48" s="26"/>
      <c r="M48" s="26"/>
      <c r="N48" s="20"/>
      <c r="O48" s="25"/>
      <c r="P48" s="21"/>
      <c r="Q48" s="21"/>
      <c r="R48" s="25"/>
    </row>
    <row r="49" spans="1:18" x14ac:dyDescent="0.25">
      <c r="B49" s="26"/>
      <c r="C49" s="21"/>
      <c r="D49" s="22"/>
      <c r="E49" s="23"/>
      <c r="F49" s="26"/>
      <c r="G49" s="26"/>
      <c r="H49" s="26"/>
      <c r="I49" s="26"/>
      <c r="J49" s="26"/>
      <c r="K49" s="26"/>
      <c r="L49" s="26"/>
      <c r="M49" s="26"/>
      <c r="N49" s="20"/>
      <c r="O49" s="25"/>
      <c r="P49" s="21"/>
      <c r="Q49" s="21"/>
      <c r="R49" s="25"/>
    </row>
    <row r="50" spans="1:18" ht="15.75" thickBot="1" x14ac:dyDescent="0.3">
      <c r="B50" s="26"/>
      <c r="C50" s="21"/>
      <c r="D50" s="22"/>
      <c r="E50" s="23"/>
      <c r="F50" s="26"/>
      <c r="G50" s="26"/>
      <c r="H50" s="26"/>
      <c r="I50" s="26"/>
      <c r="Q50" s="21"/>
    </row>
    <row r="51" spans="1:18" ht="22.35" customHeight="1" thickBot="1" x14ac:dyDescent="0.3">
      <c r="B51" s="280" t="s">
        <v>85</v>
      </c>
      <c r="C51" s="281"/>
      <c r="D51" s="282"/>
      <c r="F51" s="280" t="s">
        <v>100</v>
      </c>
      <c r="G51" s="281"/>
      <c r="H51" s="282"/>
    </row>
    <row r="52" spans="1:18" ht="15.6" customHeight="1" x14ac:dyDescent="0.25">
      <c r="B52" s="283" t="s">
        <v>83</v>
      </c>
      <c r="C52" s="284"/>
      <c r="D52" s="28" t="s">
        <v>35</v>
      </c>
      <c r="F52" s="283" t="s">
        <v>83</v>
      </c>
      <c r="G52" s="284"/>
      <c r="H52" s="28" t="s">
        <v>35</v>
      </c>
    </row>
    <row r="53" spans="1:18" x14ac:dyDescent="0.25">
      <c r="B53" s="29" t="s">
        <v>41</v>
      </c>
      <c r="C53" s="30"/>
      <c r="D53" s="31">
        <f>COUNTIFS(Aug[Witnessed
Fall?],$B53)</f>
        <v>0</v>
      </c>
      <c r="F53" s="29" t="s">
        <v>79</v>
      </c>
      <c r="G53" s="30"/>
      <c r="H53" s="31">
        <f>COUNTIFS(Aug[Fall Circumstances],$F53)</f>
        <v>0</v>
      </c>
    </row>
    <row r="54" spans="1:18" ht="15.75" thickBot="1" x14ac:dyDescent="0.3">
      <c r="B54" s="32" t="s">
        <v>42</v>
      </c>
      <c r="C54" s="33"/>
      <c r="D54" s="34">
        <f>COUNTIFS(Aug[Witnessed
Fall?],$B54)</f>
        <v>0</v>
      </c>
      <c r="F54" s="29" t="s">
        <v>101</v>
      </c>
      <c r="G54" s="30"/>
      <c r="H54" s="31">
        <f>COUNTIFS(Aug[Fall Circumstances],$F54)</f>
        <v>0</v>
      </c>
    </row>
    <row r="55" spans="1:18" ht="15.6" customHeight="1" thickBot="1" x14ac:dyDescent="0.3">
      <c r="B55" s="285" t="s">
        <v>16</v>
      </c>
      <c r="C55" s="286"/>
      <c r="D55" s="35">
        <f>SUM(D53:D54)</f>
        <v>0</v>
      </c>
      <c r="F55" s="32" t="s">
        <v>102</v>
      </c>
      <c r="G55" s="33"/>
      <c r="H55" s="36">
        <f>COUNTIFS(Aug[Fall Circumstances],$F55)</f>
        <v>0</v>
      </c>
    </row>
    <row r="56" spans="1:18" ht="15.6" customHeight="1" thickBot="1" x14ac:dyDescent="0.3">
      <c r="A56" s="26"/>
      <c r="B56" s="21"/>
      <c r="C56" s="22"/>
      <c r="D56" s="26"/>
      <c r="F56" s="285" t="s">
        <v>16</v>
      </c>
      <c r="G56" s="286"/>
      <c r="H56" s="37">
        <f>SUM(H53:H55)</f>
        <v>0</v>
      </c>
    </row>
    <row r="57" spans="1:18" ht="15.75" thickBot="1" x14ac:dyDescent="0.3">
      <c r="A57" s="26"/>
      <c r="B57" s="21"/>
      <c r="C57" s="22"/>
      <c r="D57" s="26"/>
      <c r="F57" s="26"/>
      <c r="G57" s="21"/>
      <c r="H57" s="22"/>
      <c r="L57" s="21"/>
      <c r="O57" s="22"/>
    </row>
    <row r="58" spans="1:18" ht="15.75" thickBot="1" x14ac:dyDescent="0.3">
      <c r="A58" s="26"/>
      <c r="B58" s="21"/>
      <c r="C58" s="22"/>
      <c r="D58" s="26"/>
      <c r="F58" s="280" t="s">
        <v>103</v>
      </c>
      <c r="G58" s="281"/>
      <c r="H58" s="282"/>
      <c r="L58" s="21"/>
      <c r="O58" s="22"/>
    </row>
    <row r="59" spans="1:18" x14ac:dyDescent="0.25">
      <c r="A59" s="26"/>
      <c r="B59" s="21"/>
      <c r="C59" s="22"/>
      <c r="D59" s="26"/>
      <c r="F59" s="283" t="s">
        <v>26</v>
      </c>
      <c r="G59" s="284"/>
      <c r="H59" s="28" t="s">
        <v>35</v>
      </c>
      <c r="L59" s="21"/>
      <c r="O59" s="22"/>
    </row>
    <row r="60" spans="1:18" ht="15.6" customHeight="1" x14ac:dyDescent="0.25">
      <c r="F60" s="29" t="s">
        <v>142</v>
      </c>
      <c r="G60" s="30"/>
      <c r="H60" s="31">
        <f>COUNTIFS(Aug[Cognitive Impairment],$F60)</f>
        <v>0</v>
      </c>
    </row>
    <row r="61" spans="1:18" x14ac:dyDescent="0.25">
      <c r="F61" s="29" t="s">
        <v>143</v>
      </c>
      <c r="G61" s="30"/>
      <c r="H61" s="31">
        <f>COUNTIFS(Aug[Cognitive Impairment],$F61)</f>
        <v>0</v>
      </c>
    </row>
    <row r="62" spans="1:18" ht="15.75" thickBot="1" x14ac:dyDescent="0.3">
      <c r="F62" s="32" t="s">
        <v>144</v>
      </c>
      <c r="G62" s="33"/>
      <c r="H62" s="31">
        <f>COUNTIFS(Aug[Cognitive Impairment],$F62)</f>
        <v>0</v>
      </c>
    </row>
    <row r="63" spans="1:18" ht="15.75" thickBot="1" x14ac:dyDescent="0.3">
      <c r="F63" s="285" t="s">
        <v>16</v>
      </c>
      <c r="G63" s="286"/>
      <c r="H63" s="37">
        <f>SUM(H60:H62)</f>
        <v>0</v>
      </c>
    </row>
    <row r="64" spans="1:18" ht="15.75" thickBot="1" x14ac:dyDescent="0.3"/>
    <row r="65" spans="1:8" ht="21.4" customHeight="1" thickBot="1" x14ac:dyDescent="0.3">
      <c r="B65" s="280" t="s">
        <v>78</v>
      </c>
      <c r="C65" s="281"/>
      <c r="D65" s="281"/>
      <c r="E65" s="281"/>
      <c r="F65" s="281"/>
      <c r="G65" s="282"/>
    </row>
    <row r="66" spans="1:8" ht="15.6" customHeight="1" x14ac:dyDescent="0.25">
      <c r="A66" s="38"/>
      <c r="B66" s="288" t="s">
        <v>86</v>
      </c>
      <c r="C66" s="289"/>
      <c r="D66" s="289"/>
      <c r="E66" s="289"/>
      <c r="F66" s="290"/>
      <c r="G66" s="28" t="s">
        <v>35</v>
      </c>
    </row>
    <row r="67" spans="1:8" x14ac:dyDescent="0.25">
      <c r="A67" s="38"/>
      <c r="B67" s="39" t="str" cm="1">
        <f t="array" ref="B67:B90">IF(_xlfn._xlws.SORT(PriortoFall[What was the resident doing prior to fall?],1,1,TRUE)=0,"",(_xlfn._xlws.SORT(PriortoFall[What was the resident doing prior to fall?],1,1,TRUE)))</f>
        <v>Ambulating with assistive device (walker, cane, wheelchair)</v>
      </c>
      <c r="C67" s="40"/>
      <c r="D67" s="40"/>
      <c r="E67" s="40"/>
      <c r="F67" s="41"/>
      <c r="G67" s="42">
        <f>IF($B67="",NA(),COUNTIFS(Aug[What was resident doing prior to fall?],$B67))</f>
        <v>0</v>
      </c>
      <c r="H67" s="43"/>
    </row>
    <row r="68" spans="1:8" x14ac:dyDescent="0.25">
      <c r="A68" s="38"/>
      <c r="B68" s="44" t="str">
        <v>Ambulating with staff assistance</v>
      </c>
      <c r="C68" s="45"/>
      <c r="D68" s="45"/>
      <c r="E68" s="45"/>
      <c r="F68" s="46"/>
      <c r="G68" s="42">
        <f>IF($B68="",NA(),COUNTIFS(Aug[What was resident doing prior to fall?],$B68))</f>
        <v>0</v>
      </c>
    </row>
    <row r="69" spans="1:8" x14ac:dyDescent="0.25">
      <c r="A69" s="38"/>
      <c r="B69" s="39" t="str">
        <v>Ambulating without assistance or assistive device</v>
      </c>
      <c r="C69" s="40"/>
      <c r="D69" s="40"/>
      <c r="E69" s="40"/>
      <c r="F69" s="41"/>
      <c r="G69" s="42">
        <f>IF($B69="",NA(),COUNTIFS(Aug[What was resident doing prior to fall?],$B69))</f>
        <v>0</v>
      </c>
    </row>
    <row r="70" spans="1:8" x14ac:dyDescent="0.25">
      <c r="A70" s="38"/>
      <c r="B70" s="44" t="str">
        <v>Changing position (e.g., in bed, chair)</v>
      </c>
      <c r="C70" s="45"/>
      <c r="D70" s="45"/>
      <c r="E70" s="45"/>
      <c r="F70" s="46"/>
      <c r="G70" s="42">
        <f>IF($B70="",NA(),COUNTIFS(Aug[What was resident doing prior to fall?],$B70))</f>
        <v>0</v>
      </c>
    </row>
    <row r="71" spans="1:8" x14ac:dyDescent="0.25">
      <c r="A71" s="38"/>
      <c r="B71" s="44" t="str">
        <v>Dressing or undressing</v>
      </c>
      <c r="C71" s="45"/>
      <c r="D71" s="45"/>
      <c r="E71" s="45"/>
      <c r="F71" s="46"/>
      <c r="G71" s="42">
        <f>IF($B71="",NA(),COUNTIFS(Aug[What was resident doing prior to fall?],$B71))</f>
        <v>0</v>
      </c>
    </row>
    <row r="72" spans="1:8" x14ac:dyDescent="0.25">
      <c r="A72" s="38"/>
      <c r="B72" s="44" t="str">
        <v>Other activity</v>
      </c>
      <c r="C72" s="45"/>
      <c r="D72" s="45"/>
      <c r="E72" s="45"/>
      <c r="F72" s="46"/>
      <c r="G72" s="42">
        <f>IF($B72="",NA(),COUNTIFS(Aug[What was resident doing prior to fall?],$B72))</f>
        <v>0</v>
      </c>
    </row>
    <row r="73" spans="1:8" x14ac:dyDescent="0.25">
      <c r="A73" s="38"/>
      <c r="B73" s="44" t="str">
        <v>Reaching for an item</v>
      </c>
      <c r="C73" s="45"/>
      <c r="D73" s="45"/>
      <c r="E73" s="45"/>
      <c r="F73" s="46"/>
      <c r="G73" s="42">
        <f>IF($B73="",NA(),COUNTIFS(Aug[What was resident doing prior to fall?],$B73))</f>
        <v>0</v>
      </c>
    </row>
    <row r="74" spans="1:8" x14ac:dyDescent="0.25">
      <c r="A74" s="38"/>
      <c r="B74" s="44" t="str">
        <v>Showering or bathing</v>
      </c>
      <c r="C74" s="45"/>
      <c r="D74" s="45"/>
      <c r="E74" s="45"/>
      <c r="F74" s="46"/>
      <c r="G74" s="42">
        <f>IF($B74="",NA(),COUNTIFS(Aug[What was resident doing prior to fall?],$B74))</f>
        <v>0</v>
      </c>
    </row>
    <row r="75" spans="1:8" x14ac:dyDescent="0.25">
      <c r="A75" s="38"/>
      <c r="B75" s="44" t="str">
        <v>Toileting</v>
      </c>
      <c r="C75" s="45"/>
      <c r="D75" s="45"/>
      <c r="E75" s="45"/>
      <c r="F75" s="46"/>
      <c r="G75" s="42">
        <f>IF($B75="",NA(),COUNTIFS(Aug[What was resident doing prior to fall?],$B75))</f>
        <v>0</v>
      </c>
    </row>
    <row r="76" spans="1:8" x14ac:dyDescent="0.25">
      <c r="A76" s="38"/>
      <c r="B76" s="44" t="str">
        <v>Transferring to or from bed, chair, wheelchair, etc.</v>
      </c>
      <c r="C76" s="45"/>
      <c r="D76" s="45"/>
      <c r="E76" s="45"/>
      <c r="F76" s="46"/>
      <c r="G76" s="42">
        <f>IF($B76="",NA(),COUNTIFS(Aug[What was resident doing prior to fall?],$B76))</f>
        <v>0</v>
      </c>
    </row>
    <row r="77" spans="1:8" x14ac:dyDescent="0.25">
      <c r="A77" s="38"/>
      <c r="B77" s="39" t="str">
        <v>Unknown</v>
      </c>
      <c r="C77" s="40"/>
      <c r="D77" s="40"/>
      <c r="E77" s="40"/>
      <c r="F77" s="41"/>
      <c r="G77" s="42">
        <f>IF($B77="",NA(),COUNTIFS(Aug[What was resident doing prior to fall?],$B77))</f>
        <v>0</v>
      </c>
    </row>
    <row r="78" spans="1:8" x14ac:dyDescent="0.25">
      <c r="A78" s="38"/>
      <c r="B78" s="44" t="str">
        <v/>
      </c>
      <c r="C78" s="45"/>
      <c r="D78" s="45"/>
      <c r="E78" s="45"/>
      <c r="F78" s="46"/>
      <c r="G78" s="42" t="e">
        <f>IF($B78="",NA(),COUNTIFS(Aug[What was resident doing prior to fall?],$B78))</f>
        <v>#N/A</v>
      </c>
    </row>
    <row r="79" spans="1:8" x14ac:dyDescent="0.25">
      <c r="A79" s="38"/>
      <c r="B79" s="39" t="str">
        <v/>
      </c>
      <c r="C79" s="40"/>
      <c r="D79" s="40"/>
      <c r="E79" s="40"/>
      <c r="F79" s="41"/>
      <c r="G79" s="42" t="e">
        <f>IF($B79="",NA(),COUNTIFS(Aug[What was resident doing prior to fall?],$B79))</f>
        <v>#N/A</v>
      </c>
    </row>
    <row r="80" spans="1:8" x14ac:dyDescent="0.25">
      <c r="A80" s="38"/>
      <c r="B80" s="44" t="str">
        <v/>
      </c>
      <c r="C80" s="45"/>
      <c r="D80" s="45"/>
      <c r="E80" s="45"/>
      <c r="F80" s="46"/>
      <c r="G80" s="42" t="e">
        <f>IF($B80="",NA(),COUNTIFS(Aug[What was resident doing prior to fall?],$B80))</f>
        <v>#N/A</v>
      </c>
    </row>
    <row r="81" spans="1:7" x14ac:dyDescent="0.25">
      <c r="A81" s="38"/>
      <c r="B81" s="39" t="str">
        <v/>
      </c>
      <c r="C81" s="40"/>
      <c r="D81" s="40"/>
      <c r="E81" s="40"/>
      <c r="F81" s="41"/>
      <c r="G81" s="42" t="e">
        <f>IF($B81="",NA(),COUNTIFS(Aug[What was resident doing prior to fall?],$B81))</f>
        <v>#N/A</v>
      </c>
    </row>
    <row r="82" spans="1:7" x14ac:dyDescent="0.25">
      <c r="A82" s="38"/>
      <c r="B82" s="44" t="str">
        <v/>
      </c>
      <c r="C82" s="45"/>
      <c r="D82" s="45"/>
      <c r="E82" s="45"/>
      <c r="F82" s="46"/>
      <c r="G82" s="42" t="e">
        <f>IF($B82="",NA(),COUNTIFS(Aug[What was resident doing prior to fall?],$B82))</f>
        <v>#N/A</v>
      </c>
    </row>
    <row r="83" spans="1:7" x14ac:dyDescent="0.25">
      <c r="A83" s="38"/>
      <c r="B83" s="39" t="str">
        <v/>
      </c>
      <c r="C83" s="40"/>
      <c r="D83" s="40"/>
      <c r="E83" s="40"/>
      <c r="F83" s="41"/>
      <c r="G83" s="42" t="e">
        <f>IF($B83="",NA(),COUNTIFS(Aug[What was resident doing prior to fall?],$B83))</f>
        <v>#N/A</v>
      </c>
    </row>
    <row r="84" spans="1:7" x14ac:dyDescent="0.25">
      <c r="A84" s="38"/>
      <c r="B84" s="44" t="str">
        <v/>
      </c>
      <c r="C84" s="45"/>
      <c r="D84" s="45"/>
      <c r="E84" s="45"/>
      <c r="F84" s="46"/>
      <c r="G84" s="42" t="e">
        <f>IF($B84="",NA(),COUNTIFS(Aug[What was resident doing prior to fall?],$B84))</f>
        <v>#N/A</v>
      </c>
    </row>
    <row r="85" spans="1:7" x14ac:dyDescent="0.25">
      <c r="A85" s="38"/>
      <c r="B85" s="44" t="str">
        <v/>
      </c>
      <c r="C85" s="45"/>
      <c r="D85" s="45"/>
      <c r="E85" s="45"/>
      <c r="F85" s="46"/>
      <c r="G85" s="42" t="e">
        <f>IF($B85="",NA(),COUNTIFS(Aug[What was resident doing prior to fall?],$B85))</f>
        <v>#N/A</v>
      </c>
    </row>
    <row r="86" spans="1:7" x14ac:dyDescent="0.25">
      <c r="A86" s="38"/>
      <c r="B86" s="39" t="str">
        <v/>
      </c>
      <c r="C86" s="40"/>
      <c r="D86" s="40"/>
      <c r="E86" s="40"/>
      <c r="F86" s="41"/>
      <c r="G86" s="42" t="e">
        <f>IF($B86="",NA(),COUNTIFS(Aug[What was resident doing prior to fall?],$B86))</f>
        <v>#N/A</v>
      </c>
    </row>
    <row r="87" spans="1:7" x14ac:dyDescent="0.25">
      <c r="A87" s="38"/>
      <c r="B87" s="44" t="str">
        <v/>
      </c>
      <c r="C87" s="45"/>
      <c r="D87" s="45"/>
      <c r="E87" s="45"/>
      <c r="F87" s="46"/>
      <c r="G87" s="42" t="e">
        <f>IF($B87="",NA(),COUNTIFS(Aug[What was resident doing prior to fall?],$B87))</f>
        <v>#N/A</v>
      </c>
    </row>
    <row r="88" spans="1:7" x14ac:dyDescent="0.25">
      <c r="A88" s="38"/>
      <c r="B88" s="39" t="str">
        <v/>
      </c>
      <c r="C88" s="40"/>
      <c r="D88" s="40"/>
      <c r="E88" s="40"/>
      <c r="F88" s="41"/>
      <c r="G88" s="42" t="e">
        <f>IF($B88="",NA(),COUNTIFS(Aug[What was resident doing prior to fall?],$B88))</f>
        <v>#N/A</v>
      </c>
    </row>
    <row r="89" spans="1:7" x14ac:dyDescent="0.25">
      <c r="A89" s="38"/>
      <c r="B89" s="44" t="str">
        <v/>
      </c>
      <c r="C89" s="45"/>
      <c r="D89" s="45"/>
      <c r="E89" s="45"/>
      <c r="F89" s="46"/>
      <c r="G89" s="42" t="e">
        <f>IF($B89="",NA(),COUNTIFS(Aug[What was resident doing prior to fall?],$B89))</f>
        <v>#N/A</v>
      </c>
    </row>
    <row r="90" spans="1:7" ht="15.75" thickBot="1" x14ac:dyDescent="0.3">
      <c r="A90" s="38"/>
      <c r="B90" s="47" t="str">
        <v/>
      </c>
      <c r="C90" s="47"/>
      <c r="D90" s="47"/>
      <c r="E90" s="47"/>
      <c r="F90" s="48"/>
      <c r="G90" s="42" t="e">
        <f>IF($B90="",NA(),COUNTIFS(Aug[What was resident doing prior to fall?],$B90))</f>
        <v>#N/A</v>
      </c>
    </row>
    <row r="91" spans="1:7" ht="15.6" customHeight="1" thickBot="1" x14ac:dyDescent="0.3">
      <c r="B91" s="285" t="s">
        <v>35</v>
      </c>
      <c r="C91" s="286"/>
      <c r="D91" s="286"/>
      <c r="E91" s="286"/>
      <c r="F91" s="287"/>
      <c r="G91" s="37">
        <f>_xlfn.AGGREGATE(9,6,G67:G90)</f>
        <v>0</v>
      </c>
    </row>
    <row r="92" spans="1:7" ht="15.75" thickBot="1" x14ac:dyDescent="0.3"/>
    <row r="93" spans="1:7" ht="22.35" customHeight="1" thickBot="1" x14ac:dyDescent="0.3">
      <c r="B93" s="293" t="s">
        <v>173</v>
      </c>
      <c r="C93" s="294"/>
      <c r="D93" s="295"/>
    </row>
    <row r="94" spans="1:7" x14ac:dyDescent="0.25">
      <c r="A94" s="38"/>
      <c r="B94" s="298" t="s">
        <v>1</v>
      </c>
      <c r="C94" s="299"/>
      <c r="D94" s="49" t="s">
        <v>35</v>
      </c>
    </row>
    <row r="95" spans="1:7" x14ac:dyDescent="0.25">
      <c r="A95" s="38"/>
      <c r="B95" s="50" t="str" cm="1">
        <f t="array" ref="B95:B105">IF(_xlfn._xlws.SORT(Location[Location],1,1,TRUE)=0,"",(_xlfn._xlws.SORT(Location[Location],1,1,TRUE)))</f>
        <v>Activity Room</v>
      </c>
      <c r="C95" s="51"/>
      <c r="D95" s="52">
        <f>IF($B95="",NA(),COUNTIFS(Aug[Location],$B95))</f>
        <v>0</v>
      </c>
    </row>
    <row r="96" spans="1:7" x14ac:dyDescent="0.25">
      <c r="A96" s="38"/>
      <c r="B96" s="50" t="str">
        <v>Bedroom</v>
      </c>
      <c r="C96" s="51"/>
      <c r="D96" s="52">
        <f>IF($B96="",NA(),COUNTIFS(Aug[Location],$B96))</f>
        <v>0</v>
      </c>
    </row>
    <row r="97" spans="1:4" x14ac:dyDescent="0.25">
      <c r="A97" s="38"/>
      <c r="B97" s="50" t="str">
        <v>Bathroom</v>
      </c>
      <c r="C97" s="51"/>
      <c r="D97" s="52">
        <f>IF($B97="",NA(),COUNTIFS(Aug[Location],$B97))</f>
        <v>0</v>
      </c>
    </row>
    <row r="98" spans="1:4" x14ac:dyDescent="0.25">
      <c r="A98" s="38"/>
      <c r="B98" s="50" t="str">
        <v>Hallway</v>
      </c>
      <c r="C98" s="51"/>
      <c r="D98" s="52">
        <f>IF($B98="",NA(),COUNTIFS(Aug[Location],$B98))</f>
        <v>0</v>
      </c>
    </row>
    <row r="99" spans="1:4" x14ac:dyDescent="0.25">
      <c r="A99" s="38"/>
      <c r="B99" s="50" t="str">
        <v>Offsite</v>
      </c>
      <c r="C99" s="51"/>
      <c r="D99" s="52">
        <f>IF($B99="",NA(),COUNTIFS(Aug[Location],$B99))</f>
        <v>0</v>
      </c>
    </row>
    <row r="100" spans="1:4" x14ac:dyDescent="0.25">
      <c r="A100" s="38"/>
      <c r="B100" s="53" t="str">
        <v>Shower Room</v>
      </c>
      <c r="C100" s="54"/>
      <c r="D100" s="52">
        <f>IF($B100="",NA(),COUNTIFS(Aug[Location],$B100))</f>
        <v>0</v>
      </c>
    </row>
    <row r="101" spans="1:4" x14ac:dyDescent="0.25">
      <c r="A101" s="38"/>
      <c r="B101" s="55" t="str">
        <v>Dining Room</v>
      </c>
      <c r="C101" s="56"/>
      <c r="D101" s="52">
        <f>IF($B101="",NA(),COUNTIFS(Aug[Location],$B101))</f>
        <v>0</v>
      </c>
    </row>
    <row r="102" spans="1:4" x14ac:dyDescent="0.25">
      <c r="A102" s="38"/>
      <c r="B102" s="57" t="str">
        <v/>
      </c>
      <c r="C102" s="58"/>
      <c r="D102" s="52" t="e">
        <f>IF($B102="",NA(),COUNTIFS(Aug[Location],$B102))</f>
        <v>#N/A</v>
      </c>
    </row>
    <row r="103" spans="1:4" x14ac:dyDescent="0.25">
      <c r="A103" s="38"/>
      <c r="B103" s="59" t="str">
        <v/>
      </c>
      <c r="C103" s="51"/>
      <c r="D103" s="52" t="e">
        <f>IF($B103="",NA(),COUNTIFS(Aug[Location],$B103))</f>
        <v>#N/A</v>
      </c>
    </row>
    <row r="104" spans="1:4" x14ac:dyDescent="0.25">
      <c r="A104" s="38"/>
      <c r="B104" s="53" t="str">
        <v/>
      </c>
      <c r="C104" s="60"/>
      <c r="D104" s="52" t="e">
        <f>IF($B104="",NA(),COUNTIFS(Aug[Location],$B104))</f>
        <v>#N/A</v>
      </c>
    </row>
    <row r="105" spans="1:4" ht="15.75" thickBot="1" x14ac:dyDescent="0.3">
      <c r="A105" s="38"/>
      <c r="B105" s="59" t="str">
        <v/>
      </c>
      <c r="C105" s="61"/>
      <c r="D105" s="52" t="e">
        <f>IF($B105="",NA(),COUNTIFS(Aug[Location],$B105))</f>
        <v>#N/A</v>
      </c>
    </row>
    <row r="106" spans="1:4" ht="15.75" thickBot="1" x14ac:dyDescent="0.3">
      <c r="B106" s="296" t="s">
        <v>16</v>
      </c>
      <c r="C106" s="297"/>
      <c r="D106" s="37">
        <f>_xlfn.AGGREGATE(9,6,D95:D105)</f>
        <v>0</v>
      </c>
    </row>
    <row r="107" spans="1:4" ht="15.75" thickBot="1" x14ac:dyDescent="0.3"/>
    <row r="108" spans="1:4" ht="21.4" customHeight="1" thickBot="1" x14ac:dyDescent="0.3">
      <c r="B108" s="280" t="str">
        <f>"Falls by Nursing Station "</f>
        <v xml:space="preserve">Falls by Nursing Station </v>
      </c>
      <c r="C108" s="281"/>
      <c r="D108" s="282"/>
    </row>
    <row r="109" spans="1:4" ht="15.75" x14ac:dyDescent="0.25">
      <c r="B109" s="291" t="s">
        <v>2</v>
      </c>
      <c r="C109" s="291"/>
      <c r="D109" s="28" t="s">
        <v>35</v>
      </c>
    </row>
    <row r="110" spans="1:4" x14ac:dyDescent="0.25">
      <c r="B110" s="62" cm="1">
        <f t="array" ref="B110:B120">IF(_xlfn._xlws.SORT(NS[Nurses Stations],1,1,TRUE)=0,"",(_xlfn._xlws.SORT(NS[Nurses Stations],1,1,TRUE)))</f>
        <v>1</v>
      </c>
      <c r="C110" s="63"/>
      <c r="D110" s="31">
        <f>IF($B110="",NA(),COUNTIFS(Aug[Station],$B110))</f>
        <v>0</v>
      </c>
    </row>
    <row r="111" spans="1:4" x14ac:dyDescent="0.25">
      <c r="B111" s="62">
        <v>2</v>
      </c>
      <c r="C111" s="63"/>
      <c r="D111" s="31">
        <f>IF($B111="",NA(),COUNTIFS(Aug[Station],$B111))</f>
        <v>0</v>
      </c>
    </row>
    <row r="112" spans="1:4" x14ac:dyDescent="0.25">
      <c r="B112" s="62">
        <v>3</v>
      </c>
      <c r="C112" s="63"/>
      <c r="D112" s="31">
        <f>IF($B112="",NA(),COUNTIFS(Aug[Station],$B112))</f>
        <v>0</v>
      </c>
    </row>
    <row r="113" spans="2:4" x14ac:dyDescent="0.25">
      <c r="B113" s="62">
        <v>4</v>
      </c>
      <c r="C113" s="63"/>
      <c r="D113" s="31">
        <f>IF($B113="",NA(),COUNTIFS(Aug[Station],$B113))</f>
        <v>0</v>
      </c>
    </row>
    <row r="114" spans="2:4" x14ac:dyDescent="0.25">
      <c r="B114" s="62">
        <v>5</v>
      </c>
      <c r="C114" s="63"/>
      <c r="D114" s="31">
        <f>IF($B114="",NA(),COUNTIFS(Aug[Station],$B114))</f>
        <v>0</v>
      </c>
    </row>
    <row r="115" spans="2:4" x14ac:dyDescent="0.25">
      <c r="B115" s="62" t="str">
        <v/>
      </c>
      <c r="C115" s="63"/>
      <c r="D115" s="31" t="e">
        <f>IF($B115="",NA(),COUNTIFS(Aug[Station],$B115))</f>
        <v>#N/A</v>
      </c>
    </row>
    <row r="116" spans="2:4" x14ac:dyDescent="0.25">
      <c r="B116" s="62" t="str">
        <v/>
      </c>
      <c r="C116" s="63"/>
      <c r="D116" s="31" t="e">
        <f>IF($B116="",NA(),COUNTIFS(Aug[Station],$B116))</f>
        <v>#N/A</v>
      </c>
    </row>
    <row r="117" spans="2:4" x14ac:dyDescent="0.25">
      <c r="B117" s="62" t="str">
        <v/>
      </c>
      <c r="C117" s="63"/>
      <c r="D117" s="31" t="e">
        <f>IF($B117="",NA(),COUNTIFS(Aug[Station],$B117))</f>
        <v>#N/A</v>
      </c>
    </row>
    <row r="118" spans="2:4" x14ac:dyDescent="0.25">
      <c r="B118" s="62" t="str">
        <v/>
      </c>
      <c r="C118" s="63"/>
      <c r="D118" s="31" t="e">
        <f>IF($B118="",NA(),COUNTIFS(Aug[Station],$B118))</f>
        <v>#N/A</v>
      </c>
    </row>
    <row r="119" spans="2:4" x14ac:dyDescent="0.25">
      <c r="B119" s="62" t="str">
        <v/>
      </c>
      <c r="C119" s="63"/>
      <c r="D119" s="31" t="e">
        <f>IF($B119="",NA(),COUNTIFS(Aug[Station],$B119))</f>
        <v>#N/A</v>
      </c>
    </row>
    <row r="120" spans="2:4" ht="15.75" thickBot="1" x14ac:dyDescent="0.3">
      <c r="B120" s="64" t="str">
        <v/>
      </c>
      <c r="C120" s="63"/>
      <c r="D120" s="31" t="e">
        <f>IF($B120="",NA(),COUNTIFS(Aug[Station],$B120))</f>
        <v>#N/A</v>
      </c>
    </row>
    <row r="121" spans="2:4" ht="15.6" customHeight="1" thickBot="1" x14ac:dyDescent="0.3">
      <c r="B121" s="285" t="s">
        <v>16</v>
      </c>
      <c r="C121" s="286"/>
      <c r="D121" s="37">
        <f>_xlfn.AGGREGATE(9,6,D110:D120)</f>
        <v>0</v>
      </c>
    </row>
    <row r="122" spans="2:4" ht="15.6" customHeight="1" thickBot="1" x14ac:dyDescent="0.3">
      <c r="B122" s="65"/>
      <c r="C122" s="66"/>
      <c r="D122" s="67"/>
    </row>
    <row r="123" spans="2:4" ht="21.95" customHeight="1" thickBot="1" x14ac:dyDescent="0.3">
      <c r="B123" s="280" t="str">
        <f>"Falls by Day of the Week "</f>
        <v xml:space="preserve">Falls by Day of the Week </v>
      </c>
      <c r="C123" s="281"/>
      <c r="D123" s="282"/>
    </row>
    <row r="124" spans="2:4" ht="15.75" x14ac:dyDescent="0.25">
      <c r="B124" s="291" t="s">
        <v>3</v>
      </c>
      <c r="C124" s="291"/>
      <c r="D124" s="28" t="s">
        <v>35</v>
      </c>
    </row>
    <row r="125" spans="2:4" x14ac:dyDescent="0.25">
      <c r="B125" s="292" t="s">
        <v>46</v>
      </c>
      <c r="C125" s="292"/>
      <c r="D125" s="31">
        <f>COUNTIFS(Aug[Day],$B125)</f>
        <v>0</v>
      </c>
    </row>
    <row r="126" spans="2:4" x14ac:dyDescent="0.25">
      <c r="B126" s="292" t="s">
        <v>47</v>
      </c>
      <c r="C126" s="292"/>
      <c r="D126" s="31">
        <f>COUNTIFS(Aug[Day],$B126)</f>
        <v>0</v>
      </c>
    </row>
    <row r="127" spans="2:4" x14ac:dyDescent="0.25">
      <c r="B127" s="292" t="s">
        <v>52</v>
      </c>
      <c r="C127" s="292"/>
      <c r="D127" s="31">
        <f>COUNTIFS(Aug[Day],$B127)</f>
        <v>0</v>
      </c>
    </row>
    <row r="128" spans="2:4" x14ac:dyDescent="0.25">
      <c r="B128" s="292" t="s">
        <v>48</v>
      </c>
      <c r="C128" s="292"/>
      <c r="D128" s="31">
        <f>COUNTIFS(Aug[Day],$B128)</f>
        <v>0</v>
      </c>
    </row>
    <row r="129" spans="2:4" x14ac:dyDescent="0.25">
      <c r="B129" s="292" t="s">
        <v>51</v>
      </c>
      <c r="C129" s="292"/>
      <c r="D129" s="31">
        <f>COUNTIFS(Aug[Day],$B129)</f>
        <v>0</v>
      </c>
    </row>
    <row r="130" spans="2:4" x14ac:dyDescent="0.25">
      <c r="B130" s="292" t="s">
        <v>49</v>
      </c>
      <c r="C130" s="292"/>
      <c r="D130" s="31">
        <f>COUNTIFS(Aug[Day],$B130)</f>
        <v>0</v>
      </c>
    </row>
    <row r="131" spans="2:4" ht="15.75" thickBot="1" x14ac:dyDescent="0.3">
      <c r="B131" s="292" t="s">
        <v>50</v>
      </c>
      <c r="C131" s="292"/>
      <c r="D131" s="34">
        <f>COUNTIFS(Aug[Day],$B131)</f>
        <v>0</v>
      </c>
    </row>
    <row r="132" spans="2:4" ht="15.6" customHeight="1" thickBot="1" x14ac:dyDescent="0.3">
      <c r="B132" s="285" t="s">
        <v>16</v>
      </c>
      <c r="C132" s="286"/>
      <c r="D132" s="35">
        <f>SUM(D125:D131)</f>
        <v>0</v>
      </c>
    </row>
    <row r="133" spans="2:4" ht="15.75" thickBot="1" x14ac:dyDescent="0.3"/>
    <row r="134" spans="2:4" ht="21.4" customHeight="1" thickBot="1" x14ac:dyDescent="0.3">
      <c r="B134" s="280" t="str">
        <f>"Falls by Shift"</f>
        <v>Falls by Shift</v>
      </c>
      <c r="C134" s="281"/>
      <c r="D134" s="282"/>
    </row>
    <row r="135" spans="2:4" ht="15.75" x14ac:dyDescent="0.25">
      <c r="B135" s="291" t="s">
        <v>34</v>
      </c>
      <c r="C135" s="291"/>
      <c r="D135" s="28" t="s">
        <v>35</v>
      </c>
    </row>
    <row r="136" spans="2:4" x14ac:dyDescent="0.25">
      <c r="B136" s="29" t="str" cm="1">
        <f t="array" ref="B136:B140">IF(_xlfn._xlws.SORT('Data Validation'!P3:P7,1,1,TRUE)=0,"",(_xlfn._xlws.SORT('Data Validation'!P3:P7,1,1,TRUE)))</f>
        <v>11-7</v>
      </c>
      <c r="C136" s="58"/>
      <c r="D136" s="31">
        <f>IF($B136="",NA(),COUNTIFS(Aug[Shift],$B136))</f>
        <v>0</v>
      </c>
    </row>
    <row r="137" spans="2:4" x14ac:dyDescent="0.25">
      <c r="B137" s="29" t="str">
        <v>11–7</v>
      </c>
      <c r="C137" s="58"/>
      <c r="D137" s="31">
        <f>IF($B137="",NA(),COUNTIFS(Aug[Shift],$B137))</f>
        <v>0</v>
      </c>
    </row>
    <row r="138" spans="2:4" x14ac:dyDescent="0.25">
      <c r="B138" s="29" t="str">
        <v>7–3</v>
      </c>
      <c r="C138" s="58"/>
      <c r="D138" s="31">
        <f>IF($B138="",NA(),COUNTIFS(Aug[Shift],$B138))</f>
        <v>0</v>
      </c>
    </row>
    <row r="139" spans="2:4" x14ac:dyDescent="0.25">
      <c r="B139" s="29" t="str">
        <v>3–11</v>
      </c>
      <c r="C139" s="58"/>
      <c r="D139" s="31">
        <f>IF($B139="",NA(),COUNTIFS(Aug[Shift],$B139))</f>
        <v>0</v>
      </c>
    </row>
    <row r="140" spans="2:4" ht="15.75" thickBot="1" x14ac:dyDescent="0.3">
      <c r="B140" s="29" t="str">
        <v/>
      </c>
      <c r="C140" s="68"/>
      <c r="D140" s="34" t="e">
        <f>IF($B140="",NA(),COUNTIFS(Aug[Shift],$B140))</f>
        <v>#N/A</v>
      </c>
    </row>
    <row r="141" spans="2:4" ht="15.75" thickBot="1" x14ac:dyDescent="0.3">
      <c r="B141" s="285" t="s">
        <v>16</v>
      </c>
      <c r="C141" s="286"/>
      <c r="D141" s="35">
        <f>_xlfn.AGGREGATE(9,6,D136:D140)</f>
        <v>0</v>
      </c>
    </row>
    <row r="142" spans="2:4" ht="15.75" thickBot="1" x14ac:dyDescent="0.3"/>
    <row r="143" spans="2:4" ht="21.4" customHeight="1" thickBot="1" x14ac:dyDescent="0.3">
      <c r="B143" s="280" t="str">
        <f>"Falls by Hour "</f>
        <v xml:space="preserve">Falls by Hour </v>
      </c>
      <c r="C143" s="281"/>
      <c r="D143" s="282"/>
    </row>
    <row r="144" spans="2:4" ht="15.75" x14ac:dyDescent="0.25">
      <c r="B144" s="291" t="s">
        <v>33</v>
      </c>
      <c r="C144" s="291"/>
      <c r="D144" s="28" t="s">
        <v>35</v>
      </c>
    </row>
    <row r="145" spans="2:4" x14ac:dyDescent="0.25">
      <c r="B145" s="292" t="s">
        <v>115</v>
      </c>
      <c r="C145" s="292"/>
      <c r="D145" s="31">
        <f>COUNTIFS(Aug[Hour],$B145)</f>
        <v>0</v>
      </c>
    </row>
    <row r="146" spans="2:4" x14ac:dyDescent="0.25">
      <c r="B146" s="292" t="s">
        <v>116</v>
      </c>
      <c r="C146" s="292"/>
      <c r="D146" s="31">
        <f>COUNTIFS(Aug[Hour],$B146)</f>
        <v>0</v>
      </c>
    </row>
    <row r="147" spans="2:4" x14ac:dyDescent="0.25">
      <c r="B147" s="292" t="s">
        <v>117</v>
      </c>
      <c r="C147" s="292"/>
      <c r="D147" s="31">
        <f>COUNTIFS(Aug[Hour],$B147)</f>
        <v>0</v>
      </c>
    </row>
    <row r="148" spans="2:4" x14ac:dyDescent="0.25">
      <c r="B148" s="292" t="s">
        <v>118</v>
      </c>
      <c r="C148" s="292"/>
      <c r="D148" s="31">
        <f>COUNTIFS(Aug[Hour],$B148)</f>
        <v>0</v>
      </c>
    </row>
    <row r="149" spans="2:4" x14ac:dyDescent="0.25">
      <c r="B149" s="292" t="s">
        <v>119</v>
      </c>
      <c r="C149" s="292"/>
      <c r="D149" s="31">
        <f>COUNTIFS(Aug[Hour],$B149)</f>
        <v>0</v>
      </c>
    </row>
    <row r="150" spans="2:4" x14ac:dyDescent="0.25">
      <c r="B150" s="292" t="s">
        <v>120</v>
      </c>
      <c r="C150" s="292"/>
      <c r="D150" s="31">
        <f>COUNTIFS(Aug[Hour],$B150)</f>
        <v>0</v>
      </c>
    </row>
    <row r="151" spans="2:4" x14ac:dyDescent="0.25">
      <c r="B151" s="292" t="s">
        <v>121</v>
      </c>
      <c r="C151" s="292"/>
      <c r="D151" s="31">
        <f>COUNTIFS(Aug[Hour],$B151)</f>
        <v>0</v>
      </c>
    </row>
    <row r="152" spans="2:4" x14ac:dyDescent="0.25">
      <c r="B152" s="292" t="s">
        <v>122</v>
      </c>
      <c r="C152" s="292"/>
      <c r="D152" s="31">
        <f>COUNTIFS(Aug[Hour],$B152)</f>
        <v>0</v>
      </c>
    </row>
    <row r="153" spans="2:4" x14ac:dyDescent="0.25">
      <c r="B153" s="292" t="s">
        <v>123</v>
      </c>
      <c r="C153" s="292"/>
      <c r="D153" s="31">
        <f>COUNTIFS(Aug[Hour],$B153)</f>
        <v>0</v>
      </c>
    </row>
    <row r="154" spans="2:4" x14ac:dyDescent="0.25">
      <c r="B154" s="292" t="s">
        <v>124</v>
      </c>
      <c r="C154" s="292"/>
      <c r="D154" s="31">
        <f>COUNTIFS(Aug[Hour],$B154)</f>
        <v>0</v>
      </c>
    </row>
    <row r="155" spans="2:4" x14ac:dyDescent="0.25">
      <c r="B155" s="292" t="s">
        <v>125</v>
      </c>
      <c r="C155" s="292"/>
      <c r="D155" s="31">
        <f>COUNTIFS(Aug[Hour],$B155)</f>
        <v>0</v>
      </c>
    </row>
    <row r="156" spans="2:4" x14ac:dyDescent="0.25">
      <c r="B156" s="292" t="s">
        <v>126</v>
      </c>
      <c r="C156" s="292"/>
      <c r="D156" s="31">
        <f>COUNTIFS(Aug[Hour],$B156)</f>
        <v>0</v>
      </c>
    </row>
    <row r="157" spans="2:4" x14ac:dyDescent="0.25">
      <c r="B157" s="292" t="s">
        <v>127</v>
      </c>
      <c r="C157" s="292"/>
      <c r="D157" s="31">
        <f>COUNTIFS(Aug[Hour],$B157)</f>
        <v>0</v>
      </c>
    </row>
    <row r="158" spans="2:4" x14ac:dyDescent="0.25">
      <c r="B158" s="292" t="s">
        <v>128</v>
      </c>
      <c r="C158" s="292"/>
      <c r="D158" s="31">
        <f>COUNTIFS(Aug[Hour],$B158)</f>
        <v>0</v>
      </c>
    </row>
    <row r="159" spans="2:4" x14ac:dyDescent="0.25">
      <c r="B159" s="292" t="s">
        <v>129</v>
      </c>
      <c r="C159" s="292"/>
      <c r="D159" s="31">
        <f>COUNTIFS(Aug[Hour],$B159)</f>
        <v>0</v>
      </c>
    </row>
    <row r="160" spans="2:4" x14ac:dyDescent="0.25">
      <c r="B160" s="292" t="s">
        <v>130</v>
      </c>
      <c r="C160" s="292"/>
      <c r="D160" s="31">
        <f>COUNTIFS(Aug[Hour],$B160)</f>
        <v>0</v>
      </c>
    </row>
    <row r="161" spans="1:8" x14ac:dyDescent="0.25">
      <c r="B161" s="292" t="s">
        <v>131</v>
      </c>
      <c r="C161" s="292"/>
      <c r="D161" s="31">
        <f>COUNTIFS(Aug[Hour],$B161)</f>
        <v>0</v>
      </c>
    </row>
    <row r="162" spans="1:8" x14ac:dyDescent="0.25">
      <c r="B162" s="292" t="s">
        <v>132</v>
      </c>
      <c r="C162" s="292"/>
      <c r="D162" s="31">
        <f>COUNTIFS(Aug[Hour],$B162)</f>
        <v>0</v>
      </c>
    </row>
    <row r="163" spans="1:8" x14ac:dyDescent="0.25">
      <c r="B163" s="292" t="s">
        <v>133</v>
      </c>
      <c r="C163" s="292"/>
      <c r="D163" s="31">
        <f>COUNTIFS(Aug[Hour],$B163)</f>
        <v>0</v>
      </c>
    </row>
    <row r="164" spans="1:8" x14ac:dyDescent="0.25">
      <c r="B164" s="292" t="s">
        <v>134</v>
      </c>
      <c r="C164" s="292"/>
      <c r="D164" s="31">
        <f>COUNTIFS(Aug[Hour],$B164)</f>
        <v>0</v>
      </c>
    </row>
    <row r="165" spans="1:8" x14ac:dyDescent="0.25">
      <c r="B165" s="292" t="s">
        <v>135</v>
      </c>
      <c r="C165" s="292"/>
      <c r="D165" s="31">
        <f>COUNTIFS(Aug[Hour],$B165)</f>
        <v>0</v>
      </c>
    </row>
    <row r="166" spans="1:8" x14ac:dyDescent="0.25">
      <c r="B166" s="292" t="s">
        <v>136</v>
      </c>
      <c r="C166" s="292"/>
      <c r="D166" s="31">
        <f>COUNTIFS(Aug[Hour],$B166)</f>
        <v>0</v>
      </c>
    </row>
    <row r="167" spans="1:8" x14ac:dyDescent="0.25">
      <c r="B167" s="292" t="s">
        <v>137</v>
      </c>
      <c r="C167" s="292"/>
      <c r="D167" s="31">
        <f>COUNTIFS(Aug[Hour],$B167)</f>
        <v>0</v>
      </c>
    </row>
    <row r="168" spans="1:8" ht="15.75" thickBot="1" x14ac:dyDescent="0.3">
      <c r="B168" s="292" t="s">
        <v>138</v>
      </c>
      <c r="C168" s="292"/>
      <c r="D168" s="34">
        <f>COUNTIFS(Aug[Hour],$B168)</f>
        <v>0</v>
      </c>
    </row>
    <row r="169" spans="1:8" ht="15.75" thickBot="1" x14ac:dyDescent="0.3">
      <c r="B169" s="285" t="s">
        <v>35</v>
      </c>
      <c r="C169" s="286"/>
      <c r="D169" s="35">
        <f>SUM(D145:D168)</f>
        <v>0</v>
      </c>
    </row>
    <row r="170" spans="1:8" ht="15.75" thickBot="1" x14ac:dyDescent="0.3"/>
    <row r="171" spans="1:8" ht="21.4" customHeight="1" thickBot="1" x14ac:dyDescent="0.3">
      <c r="B171" s="280" t="str">
        <f>"Falls by Contributing Factors"</f>
        <v>Falls by Contributing Factors</v>
      </c>
      <c r="C171" s="281"/>
      <c r="D171" s="281"/>
      <c r="E171" s="281"/>
      <c r="F171" s="281"/>
      <c r="G171" s="282"/>
    </row>
    <row r="172" spans="1:8" ht="15.6" customHeight="1" x14ac:dyDescent="0.25">
      <c r="A172" s="38"/>
      <c r="B172" s="288" t="s">
        <v>92</v>
      </c>
      <c r="C172" s="289"/>
      <c r="D172" s="289"/>
      <c r="E172" s="289"/>
      <c r="F172" s="290"/>
      <c r="G172" s="28" t="s">
        <v>35</v>
      </c>
    </row>
    <row r="173" spans="1:8" x14ac:dyDescent="0.25">
      <c r="A173" s="38"/>
      <c r="B173" s="44" t="str" cm="1">
        <f t="array" ref="B173:B196">IF(_xlfn._xlws.SORT(CF[Contributing Factors],1,1,TRUE)=0,"",(_xlfn._xlws.SORT(CF[Contributing Factors],1,1,TRUE)))</f>
        <v>Assisted/caregiver transfer</v>
      </c>
      <c r="C173" s="45"/>
      <c r="D173" s="45"/>
      <c r="E173" s="45"/>
      <c r="F173" s="46"/>
      <c r="G173" s="42">
        <f>IF($B173="",NA(),COUNTIFS(Aug[Contributing Factors],$B173))</f>
        <v>0</v>
      </c>
      <c r="H173" s="43"/>
    </row>
    <row r="174" spans="1:8" x14ac:dyDescent="0.25">
      <c r="A174" s="38"/>
      <c r="B174" s="39" t="str">
        <v>Bowel and bladder (B&amp;B) needs</v>
      </c>
      <c r="C174" s="40"/>
      <c r="D174" s="40"/>
      <c r="E174" s="40"/>
      <c r="F174" s="41"/>
      <c r="G174" s="42">
        <f>IF($B174="",NA(),COUNTIFS(Aug[Contributing Factors],$B174))</f>
        <v>0</v>
      </c>
    </row>
    <row r="175" spans="1:8" x14ac:dyDescent="0.25">
      <c r="A175" s="38"/>
      <c r="B175" s="44" t="str">
        <v>Behavioral or situational</v>
      </c>
      <c r="C175" s="45"/>
      <c r="D175" s="45"/>
      <c r="E175" s="45"/>
      <c r="F175" s="46"/>
      <c r="G175" s="42">
        <f>IF($B175="",NA(),COUNTIFS(Aug[Contributing Factors],$B175))</f>
        <v>0</v>
      </c>
    </row>
    <row r="176" spans="1:8" x14ac:dyDescent="0.25">
      <c r="A176" s="38"/>
      <c r="B176" s="39" t="str">
        <v>Change of condition</v>
      </c>
      <c r="C176" s="40"/>
      <c r="D176" s="40"/>
      <c r="E176" s="40"/>
      <c r="F176" s="41"/>
      <c r="G176" s="42">
        <f>IF($B176="",NA(),COUNTIFS(Aug[Contributing Factors],$B176))</f>
        <v>0</v>
      </c>
    </row>
    <row r="177" spans="1:7" x14ac:dyDescent="0.25">
      <c r="A177" s="38"/>
      <c r="B177" s="44" t="str">
        <v>Environmental factors</v>
      </c>
      <c r="C177" s="45"/>
      <c r="D177" s="45"/>
      <c r="E177" s="45"/>
      <c r="F177" s="46"/>
      <c r="G177" s="42">
        <f>IF($B177="",NA(),COUNTIFS(Aug[Contributing Factors],$B177))</f>
        <v>0</v>
      </c>
    </row>
    <row r="178" spans="1:7" x14ac:dyDescent="0.25">
      <c r="A178" s="38"/>
      <c r="B178" s="39" t="str">
        <v>Equipment malfunction</v>
      </c>
      <c r="C178" s="40"/>
      <c r="D178" s="40"/>
      <c r="E178" s="40"/>
      <c r="F178" s="41"/>
      <c r="G178" s="42">
        <f>IF($B178="",NA(),COUNTIFS(Aug[Contributing Factors],$B178))</f>
        <v>0</v>
      </c>
    </row>
    <row r="179" spans="1:7" x14ac:dyDescent="0.25">
      <c r="A179" s="38"/>
      <c r="B179" s="44" t="str">
        <v>Equipment or assistive device</v>
      </c>
      <c r="C179" s="45"/>
      <c r="D179" s="45"/>
      <c r="E179" s="45"/>
      <c r="F179" s="46"/>
      <c r="G179" s="42">
        <f>IF($B179="",NA(),COUNTIFS(Aug[Contributing Factors],$B179))</f>
        <v>0</v>
      </c>
    </row>
    <row r="180" spans="1:7" x14ac:dyDescent="0.25">
      <c r="A180" s="38"/>
      <c r="B180" s="39" t="str">
        <v>Medication related</v>
      </c>
      <c r="C180" s="40"/>
      <c r="D180" s="40"/>
      <c r="E180" s="40"/>
      <c r="F180" s="41"/>
      <c r="G180" s="42">
        <f>IF($B180="",NA(),COUNTIFS(Aug[Contributing Factors],$B180))</f>
        <v>0</v>
      </c>
    </row>
    <row r="181" spans="1:7" x14ac:dyDescent="0.25">
      <c r="A181" s="38"/>
      <c r="B181" s="44" t="str">
        <v>Process(s) not followed</v>
      </c>
      <c r="C181" s="45"/>
      <c r="D181" s="45"/>
      <c r="E181" s="45"/>
      <c r="F181" s="46"/>
      <c r="G181" s="42">
        <f>IF($B181="",NA(),COUNTIFS(Aug[Contributing Factors],$B181))</f>
        <v>0</v>
      </c>
    </row>
    <row r="182" spans="1:7" x14ac:dyDescent="0.25">
      <c r="A182" s="38"/>
      <c r="B182" s="39" t="str">
        <v>Resident health conditions</v>
      </c>
      <c r="C182" s="40"/>
      <c r="D182" s="40"/>
      <c r="E182" s="40"/>
      <c r="F182" s="41"/>
      <c r="G182" s="42">
        <f>IF($B182="",NA(),COUNTIFS(Aug[Contributing Factors],$B182))</f>
        <v>0</v>
      </c>
    </row>
    <row r="183" spans="1:7" x14ac:dyDescent="0.25">
      <c r="A183" s="38"/>
      <c r="B183" s="44" t="str">
        <v>Staff</v>
      </c>
      <c r="C183" s="45"/>
      <c r="D183" s="45"/>
      <c r="E183" s="45"/>
      <c r="F183" s="46"/>
      <c r="G183" s="42">
        <f>IF($B183="",NA(),COUNTIFS(Aug[Contributing Factors],$B183))</f>
        <v>0</v>
      </c>
    </row>
    <row r="184" spans="1:7" x14ac:dyDescent="0.25">
      <c r="A184" s="38"/>
      <c r="B184" s="39" t="str">
        <v/>
      </c>
      <c r="C184" s="40"/>
      <c r="D184" s="40"/>
      <c r="E184" s="40"/>
      <c r="F184" s="41"/>
      <c r="G184" s="42" t="e">
        <f>IF($B184="",NA(),COUNTIFS(Aug[Contributing Factors],$B184))</f>
        <v>#N/A</v>
      </c>
    </row>
    <row r="185" spans="1:7" x14ac:dyDescent="0.25">
      <c r="A185" s="38"/>
      <c r="B185" s="44" t="str">
        <v/>
      </c>
      <c r="C185" s="45"/>
      <c r="D185" s="45"/>
      <c r="E185" s="45"/>
      <c r="F185" s="46"/>
      <c r="G185" s="42" t="e">
        <f>IF($B185="",NA(),COUNTIFS(Aug[Contributing Factors],$B185))</f>
        <v>#N/A</v>
      </c>
    </row>
    <row r="186" spans="1:7" x14ac:dyDescent="0.25">
      <c r="A186" s="38"/>
      <c r="B186" s="39" t="str">
        <v/>
      </c>
      <c r="C186" s="40"/>
      <c r="D186" s="40"/>
      <c r="E186" s="40"/>
      <c r="F186" s="41"/>
      <c r="G186" s="42" t="e">
        <f>IF($B186="",NA(),COUNTIFS(Aug[Contributing Factors],$B186))</f>
        <v>#N/A</v>
      </c>
    </row>
    <row r="187" spans="1:7" x14ac:dyDescent="0.25">
      <c r="A187" s="38"/>
      <c r="B187" s="44" t="str">
        <v/>
      </c>
      <c r="C187" s="45"/>
      <c r="D187" s="45"/>
      <c r="E187" s="45"/>
      <c r="F187" s="46"/>
      <c r="G187" s="42" t="e">
        <f>IF($B187="",NA(),COUNTIFS(Aug[Contributing Factors],$B187))</f>
        <v>#N/A</v>
      </c>
    </row>
    <row r="188" spans="1:7" x14ac:dyDescent="0.25">
      <c r="A188" s="38"/>
      <c r="B188" s="39" t="str">
        <v/>
      </c>
      <c r="C188" s="40"/>
      <c r="D188" s="40"/>
      <c r="E188" s="40"/>
      <c r="F188" s="41"/>
      <c r="G188" s="42" t="e">
        <f>IF($B188="",NA(),COUNTIFS(Aug[Contributing Factors],$B188))</f>
        <v>#N/A</v>
      </c>
    </row>
    <row r="189" spans="1:7" x14ac:dyDescent="0.25">
      <c r="A189" s="38"/>
      <c r="B189" s="44" t="str">
        <v/>
      </c>
      <c r="C189" s="45"/>
      <c r="D189" s="45"/>
      <c r="E189" s="45"/>
      <c r="F189" s="46"/>
      <c r="G189" s="42" t="e">
        <f>IF($B189="",NA(),COUNTIFS(Aug[Contributing Factors],$B189))</f>
        <v>#N/A</v>
      </c>
    </row>
    <row r="190" spans="1:7" x14ac:dyDescent="0.25">
      <c r="A190" s="38"/>
      <c r="B190" s="39" t="str">
        <v/>
      </c>
      <c r="C190" s="40"/>
      <c r="D190" s="40"/>
      <c r="E190" s="40"/>
      <c r="F190" s="41"/>
      <c r="G190" s="42" t="e">
        <f>IF($B190="",NA(),COUNTIFS(Aug[Contributing Factors],$B190))</f>
        <v>#N/A</v>
      </c>
    </row>
    <row r="191" spans="1:7" x14ac:dyDescent="0.25">
      <c r="A191" s="38"/>
      <c r="B191" s="44" t="str">
        <v/>
      </c>
      <c r="C191" s="45"/>
      <c r="D191" s="45"/>
      <c r="E191" s="45"/>
      <c r="F191" s="46"/>
      <c r="G191" s="42" t="e">
        <f>IF($B191="",NA(),COUNTIFS(Aug[Contributing Factors],$B191))</f>
        <v>#N/A</v>
      </c>
    </row>
    <row r="192" spans="1:7" x14ac:dyDescent="0.25">
      <c r="A192" s="38"/>
      <c r="B192" s="39" t="str">
        <v/>
      </c>
      <c r="C192" s="40"/>
      <c r="D192" s="40"/>
      <c r="E192" s="40"/>
      <c r="F192" s="41"/>
      <c r="G192" s="42" t="e">
        <f>IF($B192="",NA(),COUNTIFS(Aug[Contributing Factors],$B192))</f>
        <v>#N/A</v>
      </c>
    </row>
    <row r="193" spans="1:7" x14ac:dyDescent="0.25">
      <c r="A193" s="38"/>
      <c r="B193" s="44" t="str">
        <v/>
      </c>
      <c r="C193" s="45"/>
      <c r="D193" s="45"/>
      <c r="E193" s="45"/>
      <c r="F193" s="46"/>
      <c r="G193" s="42" t="e">
        <f>IF($B193="",NA(),COUNTIFS(Aug[Contributing Factors],$B193))</f>
        <v>#N/A</v>
      </c>
    </row>
    <row r="194" spans="1:7" x14ac:dyDescent="0.25">
      <c r="A194" s="38"/>
      <c r="B194" s="39" t="str">
        <v/>
      </c>
      <c r="C194" s="40"/>
      <c r="D194" s="40"/>
      <c r="E194" s="40"/>
      <c r="F194" s="41"/>
      <c r="G194" s="42" t="e">
        <f>IF($B194="",NA(),COUNTIFS(Aug[Contributing Factors],$B194))</f>
        <v>#N/A</v>
      </c>
    </row>
    <row r="195" spans="1:7" x14ac:dyDescent="0.25">
      <c r="A195" s="38"/>
      <c r="B195" s="44" t="str">
        <v/>
      </c>
      <c r="C195" s="45"/>
      <c r="D195" s="45"/>
      <c r="E195" s="45"/>
      <c r="F195" s="46"/>
      <c r="G195" s="42" t="e">
        <f>IF($B195="",NA(),COUNTIFS(Aug[Contributing Factors],$B195))</f>
        <v>#N/A</v>
      </c>
    </row>
    <row r="196" spans="1:7" ht="15.75" thickBot="1" x14ac:dyDescent="0.3">
      <c r="A196" s="38"/>
      <c r="B196" s="39" t="str">
        <v/>
      </c>
      <c r="C196" s="40"/>
      <c r="D196" s="40"/>
      <c r="E196" s="40"/>
      <c r="F196" s="41"/>
      <c r="G196" s="42" t="e">
        <f>IF($B196="",NA(),COUNTIFS(Aug[Contributing Factors],$B196))</f>
        <v>#N/A</v>
      </c>
    </row>
    <row r="197" spans="1:7" ht="15.6" customHeight="1" thickBot="1" x14ac:dyDescent="0.3">
      <c r="B197" s="285" t="s">
        <v>35</v>
      </c>
      <c r="C197" s="286"/>
      <c r="D197" s="286"/>
      <c r="E197" s="286"/>
      <c r="F197" s="287"/>
      <c r="G197" s="37">
        <f>_xlfn.AGGREGATE(9,6,G173:G196)</f>
        <v>0</v>
      </c>
    </row>
  </sheetData>
  <sheetProtection algorithmName="SHA-512" hashValue="bnyVMUvsup3zpioOkvWdhJM8tqljCOfhZO41ysPXiZfTsqxqZBFKm0XZfQKoCgRD+WBGLNje4eg92W5T/7k+FA==" saltValue="t5NrbIfJER59ATBXl7QZZw==" spinCount="100000" sheet="1" formatCells="0" formatColumns="0" formatRows="0" sort="0" autoFilter="0"/>
  <mergeCells count="61">
    <mergeCell ref="F56:G56"/>
    <mergeCell ref="B51:D51"/>
    <mergeCell ref="F51:H51"/>
    <mergeCell ref="B52:C52"/>
    <mergeCell ref="F52:G52"/>
    <mergeCell ref="B55:C55"/>
    <mergeCell ref="B121:C121"/>
    <mergeCell ref="F58:H58"/>
    <mergeCell ref="F59:G59"/>
    <mergeCell ref="F63:G63"/>
    <mergeCell ref="B65:G65"/>
    <mergeCell ref="B66:F66"/>
    <mergeCell ref="B91:F91"/>
    <mergeCell ref="B93:D93"/>
    <mergeCell ref="B94:C94"/>
    <mergeCell ref="B106:C106"/>
    <mergeCell ref="B108:D108"/>
    <mergeCell ref="B109:C109"/>
    <mergeCell ref="B135:C135"/>
    <mergeCell ref="B123:D123"/>
    <mergeCell ref="B124:C124"/>
    <mergeCell ref="B125:C125"/>
    <mergeCell ref="B126:C126"/>
    <mergeCell ref="B127:C127"/>
    <mergeCell ref="B128:C128"/>
    <mergeCell ref="B129:C129"/>
    <mergeCell ref="B130:C130"/>
    <mergeCell ref="B131:C131"/>
    <mergeCell ref="B132:C132"/>
    <mergeCell ref="B134:D134"/>
    <mergeCell ref="B153:C153"/>
    <mergeCell ref="B141:C141"/>
    <mergeCell ref="B143:D143"/>
    <mergeCell ref="B144:C144"/>
    <mergeCell ref="B145:C145"/>
    <mergeCell ref="B146:C146"/>
    <mergeCell ref="B147:C147"/>
    <mergeCell ref="B148:C148"/>
    <mergeCell ref="B149:C149"/>
    <mergeCell ref="B150:C150"/>
    <mergeCell ref="B151:C151"/>
    <mergeCell ref="B152:C152"/>
    <mergeCell ref="B165:C165"/>
    <mergeCell ref="B154:C154"/>
    <mergeCell ref="B155:C155"/>
    <mergeCell ref="B156:C156"/>
    <mergeCell ref="B157:C157"/>
    <mergeCell ref="B158:C158"/>
    <mergeCell ref="B159:C159"/>
    <mergeCell ref="B160:C160"/>
    <mergeCell ref="B161:C161"/>
    <mergeCell ref="B162:C162"/>
    <mergeCell ref="B163:C163"/>
    <mergeCell ref="B164:C164"/>
    <mergeCell ref="B197:F197"/>
    <mergeCell ref="B166:C166"/>
    <mergeCell ref="B167:C167"/>
    <mergeCell ref="B168:C168"/>
    <mergeCell ref="B169:C169"/>
    <mergeCell ref="B171:G171"/>
    <mergeCell ref="B172:F172"/>
  </mergeCells>
  <conditionalFormatting sqref="C1">
    <cfRule type="expression" dxfId="157" priority="18">
      <formula>OR($C$1="",$C$1=0)</formula>
    </cfRule>
  </conditionalFormatting>
  <conditionalFormatting sqref="D1">
    <cfRule type="cellIs" dxfId="156" priority="19" operator="equal">
      <formula>"Enter year in Data Validation tab"</formula>
    </cfRule>
  </conditionalFormatting>
  <conditionalFormatting sqref="D4:D40">
    <cfRule type="expression" dxfId="155" priority="22">
      <formula>AND($C4&lt;&gt;"",$D4="")</formula>
    </cfRule>
  </conditionalFormatting>
  <conditionalFormatting sqref="D95:D105">
    <cfRule type="expression" dxfId="154" priority="9">
      <formula>ISERROR($D95)</formula>
    </cfRule>
  </conditionalFormatting>
  <conditionalFormatting sqref="D110:D120">
    <cfRule type="expression" dxfId="153" priority="10">
      <formula>ISERROR($D110)</formula>
    </cfRule>
  </conditionalFormatting>
  <conditionalFormatting sqref="D136:D140">
    <cfRule type="expression" dxfId="152" priority="1">
      <formula>ISERROR(D136)</formula>
    </cfRule>
  </conditionalFormatting>
  <conditionalFormatting sqref="E4:E40">
    <cfRule type="expression" dxfId="151" priority="21">
      <formula>AND($C4&lt;&gt;"",$E4="")</formula>
    </cfRule>
  </conditionalFormatting>
  <conditionalFormatting sqref="F4:F40">
    <cfRule type="expression" dxfId="150" priority="14">
      <formula>AND($C4&lt;&gt;"",$F4="")</formula>
    </cfRule>
  </conditionalFormatting>
  <conditionalFormatting sqref="G4:G40">
    <cfRule type="expression" dxfId="149" priority="13">
      <formula>AND($C4&lt;&gt;"",$G4="")</formula>
    </cfRule>
  </conditionalFormatting>
  <conditionalFormatting sqref="G67:G90">
    <cfRule type="expression" dxfId="148" priority="8">
      <formula>ISERROR($G67)</formula>
    </cfRule>
  </conditionalFormatting>
  <conditionalFormatting sqref="G173:G196">
    <cfRule type="expression" dxfId="147" priority="7">
      <formula>ISERROR($G173)</formula>
    </cfRule>
  </conditionalFormatting>
  <conditionalFormatting sqref="H4:H40">
    <cfRule type="expression" dxfId="146" priority="12">
      <formula>AND($C4&lt;&gt;"",$H4="")</formula>
    </cfRule>
  </conditionalFormatting>
  <conditionalFormatting sqref="I4:I40">
    <cfRule type="expression" dxfId="145" priority="11">
      <formula>AND($C4&lt;&gt;"",$I4="")</formula>
    </cfRule>
  </conditionalFormatting>
  <conditionalFormatting sqref="J4:J40">
    <cfRule type="expression" dxfId="144" priority="23">
      <formula>AND($C4&lt;&gt;"",$J4="")</formula>
    </cfRule>
  </conditionalFormatting>
  <conditionalFormatting sqref="L4:L40">
    <cfRule type="expression" dxfId="143" priority="20">
      <formula>AND($C4&lt;&gt;"",$L4="")</formula>
    </cfRule>
  </conditionalFormatting>
  <conditionalFormatting sqref="N4:N40">
    <cfRule type="expression" dxfId="142" priority="25">
      <formula>AND($C4&lt;&gt;"",$N4="")</formula>
    </cfRule>
  </conditionalFormatting>
  <conditionalFormatting sqref="O4:O40">
    <cfRule type="expression" dxfId="141" priority="4">
      <formula>AND($C4&lt;&gt;"",$O4="")</formula>
    </cfRule>
    <cfRule type="cellIs" dxfId="140" priority="15" operator="equal">
      <formula>"Intact (13-15)"</formula>
    </cfRule>
    <cfRule type="cellIs" dxfId="139" priority="16" operator="equal">
      <formula>"Moderate (8-12)"</formula>
    </cfRule>
    <cfRule type="cellIs" dxfId="138" priority="17" operator="equal">
      <formula>"Severe (1-7)"</formula>
    </cfRule>
  </conditionalFormatting>
  <conditionalFormatting sqref="P4:P40">
    <cfRule type="expression" dxfId="137" priority="5">
      <formula>AND($C4&lt;&gt;"",$P4="")</formula>
    </cfRule>
  </conditionalFormatting>
  <conditionalFormatting sqref="Q4:Q40">
    <cfRule type="expression" dxfId="136" priority="3">
      <formula>AND($C4&lt;&gt;"",$Q4="")</formula>
    </cfRule>
  </conditionalFormatting>
  <conditionalFormatting sqref="R4:R40">
    <cfRule type="expression" dxfId="135" priority="26">
      <formula>AND($C4&lt;&gt;"",$R4="")</formula>
    </cfRule>
  </conditionalFormatting>
  <conditionalFormatting sqref="S4:S40">
    <cfRule type="expression" dxfId="134" priority="6">
      <formula>AND($C4&lt;&gt;"",$S4="")</formula>
    </cfRule>
  </conditionalFormatting>
  <conditionalFormatting sqref="T4:T40">
    <cfRule type="expression" dxfId="133" priority="27">
      <formula>AND($C4&lt;&gt;"",$T4="")</formula>
    </cfRule>
  </conditionalFormatting>
  <conditionalFormatting sqref="U4:U40">
    <cfRule type="expression" dxfId="132" priority="24">
      <formula>AND($C4&lt;&gt;"",$U4="")</formula>
    </cfRule>
  </conditionalFormatting>
  <conditionalFormatting sqref="V4:V40">
    <cfRule type="expression" dxfId="131" priority="2">
      <formula>AND($C4&lt;&gt;"",$V4="")</formula>
    </cfRule>
  </conditionalFormatting>
  <dataValidations count="9">
    <dataValidation type="list" allowBlank="1" showInputMessage="1" showErrorMessage="1" sqref="R4:R40" xr:uid="{B5ECF3DE-EA3B-478E-AFF1-2EA308D7A608}">
      <formula1>DV_RCAComp</formula1>
    </dataValidation>
    <dataValidation type="list" allowBlank="1" showInputMessage="1" showErrorMessage="1" sqref="G4:G40" xr:uid="{BD386A4C-23D2-4607-9351-A0B3FBE1105A}">
      <formula1>DV_FallCircumstances</formula1>
    </dataValidation>
    <dataValidation type="list" allowBlank="1" showInputMessage="1" showErrorMessage="1" sqref="P4:P40" xr:uid="{F41AE14B-32C4-4DA0-AA8D-5A468887428D}">
      <formula1>DV_PriortoFall</formula1>
    </dataValidation>
    <dataValidation type="list" allowBlank="1" showInputMessage="1" showErrorMessage="1" sqref="F4:F40" xr:uid="{D59BD8CC-342D-4017-8EE2-1E9AD7D0ED88}">
      <formula1>DV_Witnessed</formula1>
    </dataValidation>
    <dataValidation type="list" allowBlank="1" showInputMessage="1" showErrorMessage="1" sqref="N4:N40" xr:uid="{688D8894-659D-44E7-8465-ED1568428252}">
      <formula1>DV_BIMSScore</formula1>
    </dataValidation>
    <dataValidation type="list" allowBlank="1" showInputMessage="1" showErrorMessage="1" sqref="L4:L40" xr:uid="{1EFFB9D8-3E97-497F-9595-CD3795EE40DC}">
      <formula1>DV_Shifts</formula1>
    </dataValidation>
    <dataValidation type="list" allowBlank="1" showInputMessage="1" showErrorMessage="1" sqref="J4:J40" xr:uid="{1F3791F3-2B07-4C42-9986-19B14432CD97}">
      <formula1>DV_Station</formula1>
    </dataValidation>
    <dataValidation type="list" allowBlank="1" showInputMessage="1" showErrorMessage="1" sqref="I4:I40" xr:uid="{44806997-81C7-487A-8DDF-ED3EEA3AD52A}">
      <formula1>DV_Location</formula1>
    </dataValidation>
    <dataValidation type="list" allowBlank="1" showInputMessage="1" showErrorMessage="1" sqref="H4:H40" xr:uid="{4351D504-DC14-4A61-BE50-C58D607AEB4F}">
      <formula1>DV_FallType</formula1>
    </dataValidation>
  </dataValidations>
  <printOptions horizontalCentered="1"/>
  <pageMargins left="0.15" right="0.15" top="0.5" bottom="0.25" header="0.3" footer="0.3"/>
  <pageSetup scale="59" fitToHeight="0" orientation="landscape" r:id="rId1"/>
  <rowBreaks count="3" manualBreakCount="3">
    <brk id="49" max="16383" man="1"/>
    <brk id="91" max="16383" man="1"/>
    <brk id="141" max="16383" man="1"/>
  </rowBreaks>
  <drawing r:id="rId2"/>
  <tableParts count="1">
    <tablePart r:id="rId3"/>
  </tableParts>
  <extLst>
    <ext xmlns:x14="http://schemas.microsoft.com/office/spreadsheetml/2009/9/main" uri="{CCE6A557-97BC-4b89-ADB6-D9C93CAAB3DF}">
      <x14:dataValidations xmlns:xm="http://schemas.microsoft.com/office/excel/2006/main" count="1">
        <x14:dataValidation type="list" allowBlank="1" showInputMessage="1" showErrorMessage="1" xr:uid="{6AAB810C-65CB-47D6-B7C0-11061E8E3608}">
          <x14:formula1>
            <xm:f>'Data Validation'!$K$3:$K$26</xm:f>
          </x14:formula1>
          <xm:sqref>S4:S40</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03729F-32DA-4981-B99B-3B2B4EDFA89A}">
  <sheetPr>
    <pageSetUpPr autoPageBreaks="0" fitToPage="1"/>
  </sheetPr>
  <dimension ref="A1:V197"/>
  <sheetViews>
    <sheetView showGridLines="0" zoomScaleNormal="100" zoomScaleSheetLayoutView="98" workbookViewId="0">
      <selection activeCell="B4" sqref="B4"/>
    </sheetView>
  </sheetViews>
  <sheetFormatPr defaultRowHeight="15" x14ac:dyDescent="0.25"/>
  <cols>
    <col min="1" max="1" width="1.28515625" customWidth="1"/>
    <col min="2" max="2" width="5.85546875" customWidth="1"/>
    <col min="3" max="3" width="17.140625" customWidth="1"/>
    <col min="4" max="4" width="9.28515625" customWidth="1"/>
    <col min="5" max="5" width="11" customWidth="1"/>
    <col min="6" max="6" width="8" customWidth="1"/>
    <col min="7" max="7" width="12.140625" customWidth="1"/>
    <col min="8" max="8" width="10.5703125" customWidth="1"/>
    <col min="9" max="9" width="7.7109375" customWidth="1"/>
    <col min="10" max="10" width="6" customWidth="1"/>
    <col min="11" max="11" width="4.7109375" customWidth="1"/>
    <col min="12" max="12" width="9.28515625" customWidth="1"/>
    <col min="13" max="14" width="4.7109375" customWidth="1"/>
    <col min="15" max="15" width="12.140625" customWidth="1"/>
    <col min="16" max="17" width="23.7109375" customWidth="1"/>
    <col min="18" max="18" width="8.7109375" customWidth="1"/>
    <col min="19" max="19" width="23.7109375" customWidth="1"/>
    <col min="20" max="22" width="11.7109375" customWidth="1"/>
    <col min="23" max="24" width="10.7109375" customWidth="1"/>
  </cols>
  <sheetData>
    <row r="1" spans="1:22" ht="18.75" customHeight="1" x14ac:dyDescent="0.25">
      <c r="B1" s="13" t="s">
        <v>28</v>
      </c>
      <c r="C1" s="14">
        <f>'Data Validation'!$C$4</f>
        <v>0</v>
      </c>
      <c r="D1" s="15" t="str">
        <f>IF(OR($C$1="",$C$1=0),"Enter Year in Data Validation tab",'Data Validation'!$C$2&amp;" September ")</f>
        <v>Enter Year in Data Validation tab</v>
      </c>
      <c r="E1" s="16"/>
      <c r="F1" s="16"/>
      <c r="G1" s="16"/>
      <c r="H1" s="16"/>
      <c r="I1" s="16"/>
      <c r="J1" s="16"/>
      <c r="K1" s="16"/>
      <c r="L1" s="16"/>
      <c r="M1" s="16"/>
      <c r="N1" s="4"/>
      <c r="O1" s="16"/>
      <c r="P1" s="16"/>
      <c r="Q1" s="16"/>
      <c r="R1" s="17" t="s">
        <v>59</v>
      </c>
      <c r="S1" s="14" t="str">
        <f>IF(COUNTIFS(Sept[Resident Name],"&lt;&gt;")=0,"No Data",COUNTIFS(Sept[Resident Name],"&lt;&gt;"))</f>
        <v>No Data</v>
      </c>
      <c r="T1" s="17" t="s">
        <v>62</v>
      </c>
      <c r="U1" s="14" t="str">
        <f>'Fall Rate and Census'!$Z$35</f>
        <v>No Data</v>
      </c>
    </row>
    <row r="2" spans="1:22" ht="8.1" customHeight="1" x14ac:dyDescent="0.25">
      <c r="B2" s="18"/>
      <c r="C2" s="16"/>
      <c r="D2" s="16"/>
      <c r="E2" s="16"/>
      <c r="F2" s="16"/>
      <c r="G2" s="16"/>
      <c r="H2" s="16"/>
      <c r="I2" s="16"/>
      <c r="J2" s="16"/>
      <c r="K2" s="16"/>
      <c r="L2" s="16"/>
      <c r="M2" s="16"/>
      <c r="N2" s="16"/>
      <c r="O2" s="16"/>
      <c r="P2" s="16"/>
      <c r="Q2" s="16"/>
      <c r="R2" s="16"/>
    </row>
    <row r="3" spans="1:22" ht="22.35" customHeight="1" x14ac:dyDescent="0.25">
      <c r="B3" s="19" t="s">
        <v>104</v>
      </c>
      <c r="C3" s="19" t="s">
        <v>105</v>
      </c>
      <c r="D3" s="20" t="s">
        <v>0</v>
      </c>
      <c r="E3" s="20" t="s">
        <v>89</v>
      </c>
      <c r="F3" s="20" t="s">
        <v>84</v>
      </c>
      <c r="G3" s="20" t="s">
        <v>100</v>
      </c>
      <c r="H3" s="20" t="s">
        <v>90</v>
      </c>
      <c r="I3" s="20" t="s">
        <v>1</v>
      </c>
      <c r="J3" s="20" t="s">
        <v>2</v>
      </c>
      <c r="K3" s="20" t="s">
        <v>3</v>
      </c>
      <c r="L3" s="20" t="s">
        <v>33</v>
      </c>
      <c r="M3" s="20" t="s">
        <v>34</v>
      </c>
      <c r="N3" s="20" t="s">
        <v>26</v>
      </c>
      <c r="O3" s="20" t="s">
        <v>30</v>
      </c>
      <c r="P3" s="19" t="s">
        <v>158</v>
      </c>
      <c r="Q3" s="19" t="s">
        <v>80</v>
      </c>
      <c r="R3" s="20" t="s">
        <v>81</v>
      </c>
      <c r="S3" s="20" t="s">
        <v>92</v>
      </c>
      <c r="T3" s="12" t="s">
        <v>95</v>
      </c>
      <c r="U3" s="12" t="s">
        <v>94</v>
      </c>
      <c r="V3" s="12" t="s">
        <v>96</v>
      </c>
    </row>
    <row r="4" spans="1:22" ht="20.85" customHeight="1" x14ac:dyDescent="0.25">
      <c r="A4" s="21"/>
      <c r="B4" s="266"/>
      <c r="C4" s="5"/>
      <c r="D4" s="263"/>
      <c r="E4" s="263"/>
      <c r="F4" s="266"/>
      <c r="G4" s="267"/>
      <c r="H4" s="2"/>
      <c r="I4" s="2"/>
      <c r="J4" s="2"/>
      <c r="K4" s="24" t="str">
        <f>IF(Sept[[#This Row],[Date of Incident]]="","",TEXT(Sept[[#This Row],[Date of Incident]],"ddd"))</f>
        <v/>
      </c>
      <c r="L4" s="1"/>
      <c r="M4" s="24" t="str">
        <f>IFERROR(VLOOKUP(Sept[[#This Row],[Hour]],Shifts[],2,FALSE),"")</f>
        <v/>
      </c>
      <c r="N4" s="2"/>
      <c r="O4" s="24" t="str">
        <f>IFERROR(VLOOKUP(Sept[[#This Row],[BIMS Score]],BIMS[],2,FALSE),"")</f>
        <v/>
      </c>
      <c r="P4" s="3"/>
      <c r="Q4" s="3"/>
      <c r="R4" s="2"/>
      <c r="S4" s="168"/>
      <c r="T4" s="3"/>
      <c r="U4" s="3"/>
      <c r="V4" s="3"/>
    </row>
    <row r="5" spans="1:22" ht="20.85" customHeight="1" x14ac:dyDescent="0.25">
      <c r="A5" s="21"/>
      <c r="B5" s="266"/>
      <c r="C5" s="5"/>
      <c r="D5" s="263"/>
      <c r="E5" s="263"/>
      <c r="F5" s="266"/>
      <c r="G5" s="267"/>
      <c r="H5" s="2"/>
      <c r="I5" s="2"/>
      <c r="J5" s="2"/>
      <c r="K5" s="24" t="str">
        <f>IF(Sept[[#This Row],[Date of Incident]]="","",TEXT(Sept[[#This Row],[Date of Incident]],"ddd"))</f>
        <v/>
      </c>
      <c r="L5" s="1"/>
      <c r="M5" s="24" t="str">
        <f>IFERROR(VLOOKUP(Sept[[#This Row],[Hour]],Shifts[],2,FALSE),"")</f>
        <v/>
      </c>
      <c r="N5" s="2"/>
      <c r="O5" s="24" t="str">
        <f>IFERROR(VLOOKUP(Sept[[#This Row],[BIMS Score]],BIMS[],2,FALSE),"")</f>
        <v/>
      </c>
      <c r="P5" s="3"/>
      <c r="Q5" s="3"/>
      <c r="R5" s="2"/>
      <c r="S5" s="168"/>
      <c r="T5" s="3"/>
      <c r="U5" s="3"/>
      <c r="V5" s="3"/>
    </row>
    <row r="6" spans="1:22" ht="20.85" customHeight="1" x14ac:dyDescent="0.25">
      <c r="A6" s="21"/>
      <c r="B6" s="266"/>
      <c r="C6" s="5"/>
      <c r="D6" s="263"/>
      <c r="E6" s="263"/>
      <c r="F6" s="266"/>
      <c r="G6" s="267"/>
      <c r="H6" s="2"/>
      <c r="I6" s="2"/>
      <c r="J6" s="2"/>
      <c r="K6" s="24" t="str">
        <f>IF(Sept[[#This Row],[Date of Incident]]="","",TEXT(Sept[[#This Row],[Date of Incident]],"ddd"))</f>
        <v/>
      </c>
      <c r="L6" s="1"/>
      <c r="M6" s="24" t="str">
        <f>IFERROR(VLOOKUP(Sept[[#This Row],[Hour]],Shifts[],2,FALSE),"")</f>
        <v/>
      </c>
      <c r="N6" s="2"/>
      <c r="O6" s="24" t="str">
        <f>IFERROR(VLOOKUP(Sept[[#This Row],[BIMS Score]],BIMS[],2,FALSE),"")</f>
        <v/>
      </c>
      <c r="P6" s="3"/>
      <c r="Q6" s="3"/>
      <c r="R6" s="2"/>
      <c r="S6" s="168"/>
      <c r="T6" s="3"/>
      <c r="U6" s="3"/>
      <c r="V6" s="3"/>
    </row>
    <row r="7" spans="1:22" ht="20.85" customHeight="1" x14ac:dyDescent="0.25">
      <c r="A7" s="21"/>
      <c r="B7" s="266"/>
      <c r="C7" s="5"/>
      <c r="D7" s="263"/>
      <c r="E7" s="263"/>
      <c r="F7" s="266"/>
      <c r="G7" s="267"/>
      <c r="H7" s="2"/>
      <c r="I7" s="2"/>
      <c r="J7" s="2"/>
      <c r="K7" s="24" t="str">
        <f>IF(Sept[[#This Row],[Date of Incident]]="","",TEXT(Sept[[#This Row],[Date of Incident]],"ddd"))</f>
        <v/>
      </c>
      <c r="L7" s="1"/>
      <c r="M7" s="24" t="str">
        <f>IFERROR(VLOOKUP(Sept[[#This Row],[Hour]],Shifts[],2,FALSE),"")</f>
        <v/>
      </c>
      <c r="N7" s="2"/>
      <c r="O7" s="24" t="str">
        <f>IFERROR(VLOOKUP(Sept[[#This Row],[BIMS Score]],BIMS[],2,FALSE),"")</f>
        <v/>
      </c>
      <c r="P7" s="3"/>
      <c r="Q7" s="3"/>
      <c r="R7" s="2"/>
      <c r="S7" s="168"/>
      <c r="T7" s="3"/>
      <c r="U7" s="3"/>
      <c r="V7" s="3"/>
    </row>
    <row r="8" spans="1:22" ht="20.85" customHeight="1" x14ac:dyDescent="0.25">
      <c r="A8" s="21"/>
      <c r="B8" s="266"/>
      <c r="C8" s="5"/>
      <c r="D8" s="263"/>
      <c r="E8" s="263"/>
      <c r="F8" s="266"/>
      <c r="G8" s="267"/>
      <c r="H8" s="2"/>
      <c r="I8" s="2"/>
      <c r="J8" s="2"/>
      <c r="K8" s="24" t="str">
        <f>IF(Sept[[#This Row],[Date of Incident]]="","",TEXT(Sept[[#This Row],[Date of Incident]],"ddd"))</f>
        <v/>
      </c>
      <c r="L8" s="1"/>
      <c r="M8" s="24" t="str">
        <f>IFERROR(VLOOKUP(Sept[[#This Row],[Hour]],Shifts[],2,FALSE),"")</f>
        <v/>
      </c>
      <c r="N8" s="2"/>
      <c r="O8" s="24" t="str">
        <f>IFERROR(VLOOKUP(Sept[[#This Row],[BIMS Score]],BIMS[],2,FALSE),"")</f>
        <v/>
      </c>
      <c r="P8" s="3"/>
      <c r="Q8" s="3"/>
      <c r="R8" s="2"/>
      <c r="S8" s="168"/>
      <c r="T8" s="3"/>
      <c r="U8" s="3"/>
      <c r="V8" s="3"/>
    </row>
    <row r="9" spans="1:22" ht="20.85" customHeight="1" x14ac:dyDescent="0.25">
      <c r="A9" s="21"/>
      <c r="B9" s="266"/>
      <c r="C9" s="5"/>
      <c r="D9" s="263"/>
      <c r="E9" s="263"/>
      <c r="F9" s="266"/>
      <c r="G9" s="267"/>
      <c r="H9" s="2"/>
      <c r="I9" s="2"/>
      <c r="J9" s="2"/>
      <c r="K9" s="24" t="str">
        <f>IF(Sept[[#This Row],[Date of Incident]]="","",TEXT(Sept[[#This Row],[Date of Incident]],"ddd"))</f>
        <v/>
      </c>
      <c r="L9" s="1"/>
      <c r="M9" s="24" t="str">
        <f>IFERROR(VLOOKUP(Sept[[#This Row],[Hour]],Shifts[],2,FALSE),"")</f>
        <v/>
      </c>
      <c r="N9" s="2"/>
      <c r="O9" s="24" t="str">
        <f>IFERROR(VLOOKUP(Sept[[#This Row],[BIMS Score]],BIMS[],2,FALSE),"")</f>
        <v/>
      </c>
      <c r="P9" s="3"/>
      <c r="Q9" s="3"/>
      <c r="R9" s="2"/>
      <c r="S9" s="168"/>
      <c r="T9" s="3"/>
      <c r="U9" s="3"/>
      <c r="V9" s="3"/>
    </row>
    <row r="10" spans="1:22" ht="20.85" customHeight="1" x14ac:dyDescent="0.25">
      <c r="A10" s="21"/>
      <c r="B10" s="266"/>
      <c r="C10" s="5"/>
      <c r="D10" s="263"/>
      <c r="E10" s="263"/>
      <c r="F10" s="266"/>
      <c r="G10" s="267"/>
      <c r="H10" s="2"/>
      <c r="I10" s="2"/>
      <c r="J10" s="2"/>
      <c r="K10" s="24" t="str">
        <f>IF(Sept[[#This Row],[Date of Incident]]="","",TEXT(Sept[[#This Row],[Date of Incident]],"ddd"))</f>
        <v/>
      </c>
      <c r="L10" s="1"/>
      <c r="M10" s="24" t="str">
        <f>IFERROR(VLOOKUP(Sept[[#This Row],[Hour]],Shifts[],2,FALSE),"")</f>
        <v/>
      </c>
      <c r="N10" s="2"/>
      <c r="O10" s="24" t="str">
        <f>IFERROR(VLOOKUP(Sept[[#This Row],[BIMS Score]],BIMS[],2,FALSE),"")</f>
        <v/>
      </c>
      <c r="P10" s="3"/>
      <c r="Q10" s="3"/>
      <c r="R10" s="2"/>
      <c r="S10" s="168"/>
      <c r="T10" s="3"/>
      <c r="U10" s="3"/>
      <c r="V10" s="3"/>
    </row>
    <row r="11" spans="1:22" ht="20.85" customHeight="1" x14ac:dyDescent="0.25">
      <c r="A11" s="21"/>
      <c r="B11" s="266"/>
      <c r="C11" s="5"/>
      <c r="D11" s="263"/>
      <c r="E11" s="263"/>
      <c r="F11" s="266"/>
      <c r="G11" s="267"/>
      <c r="H11" s="2"/>
      <c r="I11" s="2"/>
      <c r="J11" s="2"/>
      <c r="K11" s="24" t="str">
        <f>IF(Sept[[#This Row],[Date of Incident]]="","",TEXT(Sept[[#This Row],[Date of Incident]],"ddd"))</f>
        <v/>
      </c>
      <c r="L11" s="1"/>
      <c r="M11" s="24" t="str">
        <f>IFERROR(VLOOKUP(Sept[[#This Row],[Hour]],Shifts[],2,FALSE),"")</f>
        <v/>
      </c>
      <c r="N11" s="2"/>
      <c r="O11" s="24" t="str">
        <f>IFERROR(VLOOKUP(Sept[[#This Row],[BIMS Score]],BIMS[],2,FALSE),"")</f>
        <v/>
      </c>
      <c r="P11" s="3"/>
      <c r="Q11" s="3"/>
      <c r="R11" s="2"/>
      <c r="S11" s="168"/>
      <c r="T11" s="3"/>
      <c r="U11" s="3"/>
      <c r="V11" s="3"/>
    </row>
    <row r="12" spans="1:22" ht="20.85" customHeight="1" x14ac:dyDescent="0.25">
      <c r="A12" s="21"/>
      <c r="B12" s="267"/>
      <c r="C12" s="5"/>
      <c r="D12" s="264"/>
      <c r="E12" s="263"/>
      <c r="F12" s="267"/>
      <c r="G12" s="267"/>
      <c r="H12" s="2"/>
      <c r="I12" s="2"/>
      <c r="J12" s="2"/>
      <c r="K12" s="24" t="str">
        <f>IF(Sept[[#This Row],[Date of Incident]]="","",TEXT(Sept[[#This Row],[Date of Incident]],"ddd"))</f>
        <v/>
      </c>
      <c r="L12" s="1"/>
      <c r="M12" s="24" t="str">
        <f>IFERROR(VLOOKUP(Sept[[#This Row],[Hour]],Shifts[],2,FALSE),"")</f>
        <v/>
      </c>
      <c r="N12" s="2"/>
      <c r="O12" s="24" t="str">
        <f>IFERROR(VLOOKUP(Sept[[#This Row],[BIMS Score]],BIMS[],2,FALSE),"")</f>
        <v/>
      </c>
      <c r="P12" s="3"/>
      <c r="Q12" s="3"/>
      <c r="R12" s="2"/>
      <c r="S12" s="168"/>
      <c r="T12" s="3"/>
      <c r="U12" s="3"/>
      <c r="V12" s="3"/>
    </row>
    <row r="13" spans="1:22" ht="20.85" customHeight="1" x14ac:dyDescent="0.25">
      <c r="A13" s="21"/>
      <c r="B13" s="267"/>
      <c r="C13" s="5"/>
      <c r="D13" s="264"/>
      <c r="E13" s="263"/>
      <c r="F13" s="267"/>
      <c r="G13" s="267"/>
      <c r="H13" s="2"/>
      <c r="I13" s="2"/>
      <c r="J13" s="2"/>
      <c r="K13" s="24" t="str">
        <f>IF(Sept[[#This Row],[Date of Incident]]="","",TEXT(Sept[[#This Row],[Date of Incident]],"ddd"))</f>
        <v/>
      </c>
      <c r="L13" s="1"/>
      <c r="M13" s="24" t="str">
        <f>IFERROR(VLOOKUP(Sept[[#This Row],[Hour]],Shifts[],2,FALSE),"")</f>
        <v/>
      </c>
      <c r="N13" s="2"/>
      <c r="O13" s="24" t="str">
        <f>IFERROR(VLOOKUP(Sept[[#This Row],[BIMS Score]],BIMS[],2,FALSE),"")</f>
        <v/>
      </c>
      <c r="P13" s="3"/>
      <c r="Q13" s="3"/>
      <c r="R13" s="2"/>
      <c r="S13" s="168"/>
      <c r="T13" s="3"/>
      <c r="U13" s="3"/>
      <c r="V13" s="3"/>
    </row>
    <row r="14" spans="1:22" ht="20.85" customHeight="1" x14ac:dyDescent="0.25">
      <c r="A14" s="21"/>
      <c r="B14" s="267"/>
      <c r="C14" s="5"/>
      <c r="D14" s="264"/>
      <c r="E14" s="263"/>
      <c r="F14" s="267"/>
      <c r="G14" s="267"/>
      <c r="H14" s="2"/>
      <c r="I14" s="2"/>
      <c r="J14" s="2"/>
      <c r="K14" s="24" t="str">
        <f>IF(Sept[[#This Row],[Date of Incident]]="","",TEXT(Sept[[#This Row],[Date of Incident]],"ddd"))</f>
        <v/>
      </c>
      <c r="L14" s="1"/>
      <c r="M14" s="24" t="str">
        <f>IFERROR(VLOOKUP(Sept[[#This Row],[Hour]],Shifts[],2,FALSE),"")</f>
        <v/>
      </c>
      <c r="N14" s="2"/>
      <c r="O14" s="24" t="str">
        <f>IFERROR(VLOOKUP(Sept[[#This Row],[BIMS Score]],BIMS[],2,FALSE),"")</f>
        <v/>
      </c>
      <c r="P14" s="3"/>
      <c r="Q14" s="3"/>
      <c r="R14" s="2"/>
      <c r="S14" s="168"/>
      <c r="T14" s="3"/>
      <c r="U14" s="3"/>
      <c r="V14" s="3"/>
    </row>
    <row r="15" spans="1:22" ht="20.85" customHeight="1" x14ac:dyDescent="0.25">
      <c r="A15" s="21"/>
      <c r="B15" s="267"/>
      <c r="C15" s="5"/>
      <c r="D15" s="264"/>
      <c r="E15" s="263"/>
      <c r="F15" s="267"/>
      <c r="G15" s="267"/>
      <c r="H15" s="2"/>
      <c r="I15" s="2"/>
      <c r="J15" s="2"/>
      <c r="K15" s="24" t="str">
        <f>IF(Sept[[#This Row],[Date of Incident]]="","",TEXT(Sept[[#This Row],[Date of Incident]],"ddd"))</f>
        <v/>
      </c>
      <c r="L15" s="1"/>
      <c r="M15" s="24" t="str">
        <f>IFERROR(VLOOKUP(Sept[[#This Row],[Hour]],Shifts[],2,FALSE),"")</f>
        <v/>
      </c>
      <c r="N15" s="2"/>
      <c r="O15" s="24" t="str">
        <f>IFERROR(VLOOKUP(Sept[[#This Row],[BIMS Score]],BIMS[],2,FALSE),"")</f>
        <v/>
      </c>
      <c r="P15" s="3"/>
      <c r="Q15" s="3"/>
      <c r="R15" s="2"/>
      <c r="S15" s="168"/>
      <c r="T15" s="3"/>
      <c r="U15" s="3"/>
      <c r="V15" s="3"/>
    </row>
    <row r="16" spans="1:22" ht="20.85" customHeight="1" x14ac:dyDescent="0.25">
      <c r="A16" s="21"/>
      <c r="B16" s="267"/>
      <c r="C16" s="3"/>
      <c r="D16" s="264"/>
      <c r="E16" s="264"/>
      <c r="F16" s="267"/>
      <c r="G16" s="267"/>
      <c r="H16" s="2"/>
      <c r="I16" s="2"/>
      <c r="J16" s="2"/>
      <c r="K16" s="24" t="str">
        <f>IF(Sept[[#This Row],[Date of Incident]]="","",TEXT(Sept[[#This Row],[Date of Incident]],"ddd"))</f>
        <v/>
      </c>
      <c r="L16" s="1"/>
      <c r="M16" s="24" t="str">
        <f>IFERROR(VLOOKUP(Sept[[#This Row],[Hour]],Shifts[],2,FALSE),"")</f>
        <v/>
      </c>
      <c r="N16" s="2"/>
      <c r="O16" s="24" t="str">
        <f>IFERROR(VLOOKUP(Sept[[#This Row],[BIMS Score]],BIMS[],2,FALSE),"")</f>
        <v/>
      </c>
      <c r="P16" s="3"/>
      <c r="Q16" s="3"/>
      <c r="R16" s="2"/>
      <c r="S16" s="168"/>
      <c r="T16" s="3"/>
      <c r="U16" s="3"/>
      <c r="V16" s="3"/>
    </row>
    <row r="17" spans="1:22" ht="20.85" customHeight="1" x14ac:dyDescent="0.25">
      <c r="A17" s="21"/>
      <c r="B17" s="267"/>
      <c r="C17" s="3"/>
      <c r="D17" s="264"/>
      <c r="E17" s="264"/>
      <c r="F17" s="267"/>
      <c r="G17" s="267"/>
      <c r="H17" s="2"/>
      <c r="I17" s="2"/>
      <c r="J17" s="2"/>
      <c r="K17" s="24" t="str">
        <f>IF(Sept[[#This Row],[Date of Incident]]="","",TEXT(Sept[[#This Row],[Date of Incident]],"ddd"))</f>
        <v/>
      </c>
      <c r="L17" s="1"/>
      <c r="M17" s="24" t="str">
        <f>IFERROR(VLOOKUP(Sept[[#This Row],[Hour]],Shifts[],2,FALSE),"")</f>
        <v/>
      </c>
      <c r="N17" s="2"/>
      <c r="O17" s="24" t="str">
        <f>IFERROR(VLOOKUP(Sept[[#This Row],[BIMS Score]],BIMS[],2,FALSE),"")</f>
        <v/>
      </c>
      <c r="P17" s="3"/>
      <c r="Q17" s="3"/>
      <c r="R17" s="2"/>
      <c r="S17" s="168"/>
      <c r="T17" s="3"/>
      <c r="U17" s="3"/>
      <c r="V17" s="3"/>
    </row>
    <row r="18" spans="1:22" ht="20.85" customHeight="1" x14ac:dyDescent="0.25">
      <c r="A18" s="21"/>
      <c r="B18" s="267"/>
      <c r="C18" s="3"/>
      <c r="D18" s="264"/>
      <c r="E18" s="264"/>
      <c r="F18" s="267"/>
      <c r="G18" s="267"/>
      <c r="H18" s="2"/>
      <c r="I18" s="2"/>
      <c r="J18" s="2"/>
      <c r="K18" s="24" t="str">
        <f>IF(Sept[[#This Row],[Date of Incident]]="","",TEXT(Sept[[#This Row],[Date of Incident]],"ddd"))</f>
        <v/>
      </c>
      <c r="L18" s="1"/>
      <c r="M18" s="24" t="str">
        <f>IFERROR(VLOOKUP(Sept[[#This Row],[Hour]],Shifts[],2,FALSE),"")</f>
        <v/>
      </c>
      <c r="N18" s="2"/>
      <c r="O18" s="24" t="str">
        <f>IFERROR(VLOOKUP(Sept[[#This Row],[BIMS Score]],BIMS[],2,FALSE),"")</f>
        <v/>
      </c>
      <c r="P18" s="3"/>
      <c r="Q18" s="3"/>
      <c r="R18" s="2"/>
      <c r="S18" s="168"/>
      <c r="T18" s="3"/>
      <c r="U18" s="3"/>
      <c r="V18" s="3"/>
    </row>
    <row r="19" spans="1:22" ht="20.85" customHeight="1" x14ac:dyDescent="0.25">
      <c r="A19" s="21"/>
      <c r="B19" s="267"/>
      <c r="C19" s="3"/>
      <c r="D19" s="264"/>
      <c r="E19" s="264"/>
      <c r="F19" s="267"/>
      <c r="G19" s="267"/>
      <c r="H19" s="2"/>
      <c r="I19" s="2"/>
      <c r="J19" s="2"/>
      <c r="K19" s="24" t="str">
        <f>IF(Sept[[#This Row],[Date of Incident]]="","",TEXT(Sept[[#This Row],[Date of Incident]],"ddd"))</f>
        <v/>
      </c>
      <c r="L19" s="1"/>
      <c r="M19" s="24" t="str">
        <f>IFERROR(VLOOKUP(Sept[[#This Row],[Hour]],Shifts[],2,FALSE),"")</f>
        <v/>
      </c>
      <c r="N19" s="2"/>
      <c r="O19" s="24" t="str">
        <f>IFERROR(VLOOKUP(Sept[[#This Row],[BIMS Score]],BIMS[],2,FALSE),"")</f>
        <v/>
      </c>
      <c r="P19" s="3"/>
      <c r="Q19" s="3"/>
      <c r="R19" s="2"/>
      <c r="S19" s="168"/>
      <c r="T19" s="3"/>
      <c r="U19" s="3"/>
      <c r="V19" s="3"/>
    </row>
    <row r="20" spans="1:22" ht="20.85" customHeight="1" x14ac:dyDescent="0.25">
      <c r="A20" s="21"/>
      <c r="B20" s="267"/>
      <c r="C20" s="3"/>
      <c r="D20" s="264"/>
      <c r="E20" s="264"/>
      <c r="F20" s="267"/>
      <c r="G20" s="267"/>
      <c r="H20" s="2"/>
      <c r="I20" s="2"/>
      <c r="J20" s="2"/>
      <c r="K20" s="24" t="str">
        <f>IF(Sept[[#This Row],[Date of Incident]]="","",TEXT(Sept[[#This Row],[Date of Incident]],"ddd"))</f>
        <v/>
      </c>
      <c r="L20" s="1"/>
      <c r="M20" s="24" t="str">
        <f>IFERROR(VLOOKUP(Sept[[#This Row],[Hour]],Shifts[],2,FALSE),"")</f>
        <v/>
      </c>
      <c r="N20" s="2"/>
      <c r="O20" s="24" t="str">
        <f>IFERROR(VLOOKUP(Sept[[#This Row],[BIMS Score]],BIMS[],2,FALSE),"")</f>
        <v/>
      </c>
      <c r="P20" s="3"/>
      <c r="Q20" s="3"/>
      <c r="R20" s="2"/>
      <c r="S20" s="168"/>
      <c r="T20" s="3"/>
      <c r="U20" s="3"/>
      <c r="V20" s="3"/>
    </row>
    <row r="21" spans="1:22" ht="20.85" customHeight="1" x14ac:dyDescent="0.25">
      <c r="A21" s="21"/>
      <c r="B21" s="267"/>
      <c r="C21" s="3"/>
      <c r="D21" s="264"/>
      <c r="E21" s="264"/>
      <c r="F21" s="267"/>
      <c r="G21" s="267"/>
      <c r="H21" s="2"/>
      <c r="I21" s="2"/>
      <c r="J21" s="2"/>
      <c r="K21" s="24" t="str">
        <f>IF(Sept[[#This Row],[Date of Incident]]="","",TEXT(Sept[[#This Row],[Date of Incident]],"ddd"))</f>
        <v/>
      </c>
      <c r="L21" s="1"/>
      <c r="M21" s="24" t="str">
        <f>IFERROR(VLOOKUP(Sept[[#This Row],[Hour]],Shifts[],2,FALSE),"")</f>
        <v/>
      </c>
      <c r="N21" s="2"/>
      <c r="O21" s="24" t="str">
        <f>IFERROR(VLOOKUP(Sept[[#This Row],[BIMS Score]],BIMS[],2,FALSE),"")</f>
        <v/>
      </c>
      <c r="P21" s="3"/>
      <c r="Q21" s="3"/>
      <c r="R21" s="2"/>
      <c r="S21" s="168"/>
      <c r="T21" s="3"/>
      <c r="U21" s="3"/>
      <c r="V21" s="3"/>
    </row>
    <row r="22" spans="1:22" ht="20.85" customHeight="1" x14ac:dyDescent="0.25">
      <c r="A22" s="21"/>
      <c r="B22" s="267"/>
      <c r="C22" s="3"/>
      <c r="D22" s="264"/>
      <c r="E22" s="264"/>
      <c r="F22" s="267"/>
      <c r="G22" s="267"/>
      <c r="H22" s="2"/>
      <c r="I22" s="2"/>
      <c r="J22" s="2"/>
      <c r="K22" s="24" t="str">
        <f>IF(Sept[[#This Row],[Date of Incident]]="","",TEXT(Sept[[#This Row],[Date of Incident]],"ddd"))</f>
        <v/>
      </c>
      <c r="L22" s="1"/>
      <c r="M22" s="24" t="str">
        <f>IFERROR(VLOOKUP(Sept[[#This Row],[Hour]],Shifts[],2,FALSE),"")</f>
        <v/>
      </c>
      <c r="N22" s="1"/>
      <c r="O22" s="24" t="str">
        <f>IFERROR(VLOOKUP(Sept[[#This Row],[BIMS Score]],BIMS[],2,FALSE),"")</f>
        <v/>
      </c>
      <c r="P22" s="3"/>
      <c r="Q22" s="3"/>
      <c r="R22" s="2"/>
      <c r="S22" s="168"/>
      <c r="T22" s="3"/>
      <c r="U22" s="3"/>
      <c r="V22" s="3"/>
    </row>
    <row r="23" spans="1:22" ht="20.85" customHeight="1" x14ac:dyDescent="0.25">
      <c r="A23" s="21"/>
      <c r="B23" s="267"/>
      <c r="C23" s="3"/>
      <c r="D23" s="264"/>
      <c r="E23" s="264"/>
      <c r="F23" s="267"/>
      <c r="G23" s="267"/>
      <c r="H23" s="2"/>
      <c r="I23" s="2"/>
      <c r="J23" s="2"/>
      <c r="K23" s="24" t="str">
        <f>IF(Sept[[#This Row],[Date of Incident]]="","",TEXT(Sept[[#This Row],[Date of Incident]],"ddd"))</f>
        <v/>
      </c>
      <c r="L23" s="1"/>
      <c r="M23" s="24" t="str">
        <f>IFERROR(VLOOKUP(Sept[[#This Row],[Hour]],Shifts[],2,FALSE),"")</f>
        <v/>
      </c>
      <c r="N23" s="1"/>
      <c r="O23" s="24" t="str">
        <f>IFERROR(VLOOKUP(Sept[[#This Row],[BIMS Score]],BIMS[],2,FALSE),"")</f>
        <v/>
      </c>
      <c r="P23" s="3"/>
      <c r="Q23" s="3"/>
      <c r="R23" s="2"/>
      <c r="S23" s="168"/>
      <c r="T23" s="3"/>
      <c r="U23" s="3"/>
      <c r="V23" s="3"/>
    </row>
    <row r="24" spans="1:22" s="10" customFormat="1" ht="20.85" customHeight="1" x14ac:dyDescent="0.25">
      <c r="A24" s="26"/>
      <c r="B24" s="266"/>
      <c r="C24" s="5"/>
      <c r="D24" s="263"/>
      <c r="E24" s="263"/>
      <c r="F24" s="267"/>
      <c r="G24" s="267"/>
      <c r="H24" s="1"/>
      <c r="I24" s="1"/>
      <c r="J24" s="1"/>
      <c r="K24" s="24" t="str">
        <f>IF(Sept[[#This Row],[Date of Incident]]="","",TEXT(Sept[[#This Row],[Date of Incident]],"ddd"))</f>
        <v/>
      </c>
      <c r="L24" s="1"/>
      <c r="M24" s="24" t="str">
        <f>IFERROR(VLOOKUP(Sept[[#This Row],[Hour]],Shifts[],2,FALSE),"")</f>
        <v/>
      </c>
      <c r="N24" s="1"/>
      <c r="O24" s="24" t="str">
        <f>IFERROR(VLOOKUP(Sept[[#This Row],[BIMS Score]],BIMS[],2,FALSE),"")</f>
        <v/>
      </c>
      <c r="P24" s="3"/>
      <c r="Q24" s="3"/>
      <c r="R24" s="2"/>
      <c r="S24" s="168"/>
      <c r="T24" s="5"/>
      <c r="U24" s="5"/>
      <c r="V24" s="3"/>
    </row>
    <row r="25" spans="1:22" ht="20.85" customHeight="1" x14ac:dyDescent="0.25">
      <c r="A25" s="21"/>
      <c r="B25" s="266"/>
      <c r="C25" s="5"/>
      <c r="D25" s="263"/>
      <c r="E25" s="263"/>
      <c r="F25" s="267"/>
      <c r="G25" s="267"/>
      <c r="H25" s="1"/>
      <c r="I25" s="1"/>
      <c r="J25" s="1"/>
      <c r="K25" s="24" t="str">
        <f>IF(Sept[[#This Row],[Date of Incident]]="","",TEXT(Sept[[#This Row],[Date of Incident]],"ddd"))</f>
        <v/>
      </c>
      <c r="L25" s="1"/>
      <c r="M25" s="24" t="str">
        <f>IFERROR(VLOOKUP(Sept[[#This Row],[Hour]],Shifts[],2,FALSE),"")</f>
        <v/>
      </c>
      <c r="N25" s="1"/>
      <c r="O25" s="24" t="str">
        <f>IFERROR(VLOOKUP(Sept[[#This Row],[BIMS Score]],BIMS[],2,FALSE),"")</f>
        <v/>
      </c>
      <c r="P25" s="3"/>
      <c r="Q25" s="3"/>
      <c r="R25" s="2"/>
      <c r="S25" s="168"/>
      <c r="T25" s="5"/>
      <c r="U25" s="5"/>
      <c r="V25" s="3"/>
    </row>
    <row r="26" spans="1:22" ht="20.85" customHeight="1" x14ac:dyDescent="0.25">
      <c r="A26" s="21"/>
      <c r="B26" s="266"/>
      <c r="C26" s="5"/>
      <c r="D26" s="263"/>
      <c r="E26" s="263"/>
      <c r="F26" s="267"/>
      <c r="G26" s="267"/>
      <c r="H26" s="1"/>
      <c r="I26" s="1"/>
      <c r="J26" s="1"/>
      <c r="K26" s="24" t="str">
        <f>IF(Sept[[#This Row],[Date of Incident]]="","",TEXT(Sept[[#This Row],[Date of Incident]],"ddd"))</f>
        <v/>
      </c>
      <c r="L26" s="1"/>
      <c r="M26" s="24" t="str">
        <f>IFERROR(VLOOKUP(Sept[[#This Row],[Hour]],Shifts[],2,FALSE),"")</f>
        <v/>
      </c>
      <c r="N26" s="1"/>
      <c r="O26" s="24" t="str">
        <f>IFERROR(VLOOKUP(Sept[[#This Row],[BIMS Score]],BIMS[],2,FALSE),"")</f>
        <v/>
      </c>
      <c r="P26" s="3"/>
      <c r="Q26" s="3"/>
      <c r="R26" s="2"/>
      <c r="S26" s="168"/>
      <c r="T26" s="5"/>
      <c r="U26" s="5"/>
      <c r="V26" s="3"/>
    </row>
    <row r="27" spans="1:22" ht="20.85" customHeight="1" x14ac:dyDescent="0.25">
      <c r="A27" s="21"/>
      <c r="B27" s="266"/>
      <c r="C27" s="5"/>
      <c r="D27" s="263"/>
      <c r="E27" s="263"/>
      <c r="F27" s="267"/>
      <c r="G27" s="267"/>
      <c r="H27" s="1"/>
      <c r="I27" s="1"/>
      <c r="J27" s="1"/>
      <c r="K27" s="24" t="str">
        <f>IF(Sept[[#This Row],[Date of Incident]]="","",TEXT(Sept[[#This Row],[Date of Incident]],"ddd"))</f>
        <v/>
      </c>
      <c r="L27" s="1"/>
      <c r="M27" s="24" t="str">
        <f>IFERROR(VLOOKUP(Sept[[#This Row],[Hour]],Shifts[],2,FALSE),"")</f>
        <v/>
      </c>
      <c r="N27" s="1"/>
      <c r="O27" s="24" t="str">
        <f>IFERROR(VLOOKUP(Sept[[#This Row],[BIMS Score]],BIMS[],2,FALSE),"")</f>
        <v/>
      </c>
      <c r="P27" s="3"/>
      <c r="Q27" s="3"/>
      <c r="R27" s="2"/>
      <c r="S27" s="168"/>
      <c r="T27" s="5"/>
      <c r="U27" s="5"/>
      <c r="V27" s="3"/>
    </row>
    <row r="28" spans="1:22" ht="20.85" customHeight="1" x14ac:dyDescent="0.25">
      <c r="A28" s="21"/>
      <c r="B28" s="266"/>
      <c r="C28" s="5"/>
      <c r="D28" s="263"/>
      <c r="E28" s="263"/>
      <c r="F28" s="267"/>
      <c r="G28" s="267"/>
      <c r="H28" s="1"/>
      <c r="I28" s="1"/>
      <c r="J28" s="1"/>
      <c r="K28" s="24" t="str">
        <f>IF(Sept[[#This Row],[Date of Incident]]="","",TEXT(Sept[[#This Row],[Date of Incident]],"ddd"))</f>
        <v/>
      </c>
      <c r="L28" s="1"/>
      <c r="M28" s="24" t="str">
        <f>IFERROR(VLOOKUP(Sept[[#This Row],[Hour]],Shifts[],2,FALSE),"")</f>
        <v/>
      </c>
      <c r="N28" s="1"/>
      <c r="O28" s="24" t="str">
        <f>IFERROR(VLOOKUP(Sept[[#This Row],[BIMS Score]],BIMS[],2,FALSE),"")</f>
        <v/>
      </c>
      <c r="P28" s="3"/>
      <c r="Q28" s="3"/>
      <c r="R28" s="2"/>
      <c r="S28" s="168"/>
      <c r="T28" s="5"/>
      <c r="U28" s="5"/>
      <c r="V28" s="3"/>
    </row>
    <row r="29" spans="1:22" ht="20.85" customHeight="1" x14ac:dyDescent="0.25">
      <c r="B29" s="266"/>
      <c r="C29" s="5"/>
      <c r="D29" s="263"/>
      <c r="E29" s="263"/>
      <c r="F29" s="267"/>
      <c r="G29" s="267"/>
      <c r="H29" s="1"/>
      <c r="I29" s="1"/>
      <c r="J29" s="1"/>
      <c r="K29" s="27" t="str">
        <f>IF(Sept[[#This Row],[Date of Incident]]="","",TEXT(Sept[[#This Row],[Date of Incident]],"ddd"))</f>
        <v/>
      </c>
      <c r="L29" s="1"/>
      <c r="M29" s="27" t="str">
        <f>IFERROR(VLOOKUP(Sept[[#This Row],[Hour]],Shifts[],2,FALSE),"")</f>
        <v/>
      </c>
      <c r="N29" s="2"/>
      <c r="O29" s="24" t="str">
        <f>IFERROR(VLOOKUP(Sept[[#This Row],[BIMS Score]],BIMS[],2,FALSE),"")</f>
        <v/>
      </c>
      <c r="P29" s="3"/>
      <c r="Q29" s="3"/>
      <c r="R29" s="2"/>
      <c r="S29" s="168"/>
      <c r="T29" s="5"/>
      <c r="U29" s="5"/>
      <c r="V29" s="5"/>
    </row>
    <row r="30" spans="1:22" ht="20.85" customHeight="1" x14ac:dyDescent="0.25">
      <c r="B30" s="266"/>
      <c r="C30" s="5"/>
      <c r="D30" s="263"/>
      <c r="E30" s="263"/>
      <c r="F30" s="267"/>
      <c r="G30" s="267"/>
      <c r="H30" s="1"/>
      <c r="I30" s="1"/>
      <c r="J30" s="1"/>
      <c r="K30" s="27" t="str">
        <f>IF(Sept[[#This Row],[Date of Incident]]="","",TEXT(Sept[[#This Row],[Date of Incident]],"ddd"))</f>
        <v/>
      </c>
      <c r="L30" s="1"/>
      <c r="M30" s="27" t="str">
        <f>IFERROR(VLOOKUP(Sept[[#This Row],[Hour]],Shifts[],2,FALSE),"")</f>
        <v/>
      </c>
      <c r="N30" s="2"/>
      <c r="O30" s="24" t="str">
        <f>IFERROR(VLOOKUP(Sept[[#This Row],[BIMS Score]],BIMS[],2,FALSE),"")</f>
        <v/>
      </c>
      <c r="P30" s="3"/>
      <c r="Q30" s="3"/>
      <c r="R30" s="2"/>
      <c r="S30" s="168"/>
      <c r="T30" s="5"/>
      <c r="U30" s="5"/>
      <c r="V30" s="5"/>
    </row>
    <row r="31" spans="1:22" ht="20.85" customHeight="1" x14ac:dyDescent="0.25">
      <c r="B31" s="266"/>
      <c r="C31" s="5"/>
      <c r="D31" s="263"/>
      <c r="E31" s="263"/>
      <c r="F31" s="267"/>
      <c r="G31" s="267"/>
      <c r="H31" s="1"/>
      <c r="I31" s="1"/>
      <c r="J31" s="1"/>
      <c r="K31" s="27" t="str">
        <f>IF(Sept[[#This Row],[Date of Incident]]="","",TEXT(Sept[[#This Row],[Date of Incident]],"ddd"))</f>
        <v/>
      </c>
      <c r="L31" s="1"/>
      <c r="M31" s="27" t="str">
        <f>IFERROR(VLOOKUP(Sept[[#This Row],[Hour]],Shifts[],2,FALSE),"")</f>
        <v/>
      </c>
      <c r="N31" s="2"/>
      <c r="O31" s="24" t="str">
        <f>IFERROR(VLOOKUP(Sept[[#This Row],[BIMS Score]],BIMS[],2,FALSE),"")</f>
        <v/>
      </c>
      <c r="P31" s="3"/>
      <c r="Q31" s="3"/>
      <c r="R31" s="2"/>
      <c r="S31" s="168"/>
      <c r="T31" s="5"/>
      <c r="U31" s="5"/>
      <c r="V31" s="5"/>
    </row>
    <row r="32" spans="1:22" ht="20.85" customHeight="1" x14ac:dyDescent="0.25">
      <c r="B32" s="266"/>
      <c r="C32" s="5"/>
      <c r="D32" s="263"/>
      <c r="E32" s="263"/>
      <c r="F32" s="267"/>
      <c r="G32" s="267"/>
      <c r="H32" s="1"/>
      <c r="I32" s="1"/>
      <c r="J32" s="1"/>
      <c r="K32" s="27" t="str">
        <f>IF(Sept[[#This Row],[Date of Incident]]="","",TEXT(Sept[[#This Row],[Date of Incident]],"ddd"))</f>
        <v/>
      </c>
      <c r="L32" s="1"/>
      <c r="M32" s="27" t="str">
        <f>IFERROR(VLOOKUP(Sept[[#This Row],[Hour]],Shifts[],2,FALSE),"")</f>
        <v/>
      </c>
      <c r="N32" s="2"/>
      <c r="O32" s="24" t="str">
        <f>IFERROR(VLOOKUP(Sept[[#This Row],[BIMS Score]],BIMS[],2,FALSE),"")</f>
        <v/>
      </c>
      <c r="P32" s="3"/>
      <c r="Q32" s="3"/>
      <c r="R32" s="2"/>
      <c r="S32" s="168"/>
      <c r="T32" s="5"/>
      <c r="U32" s="5"/>
      <c r="V32" s="5"/>
    </row>
    <row r="33" spans="2:22" ht="20.85" customHeight="1" x14ac:dyDescent="0.25">
      <c r="B33" s="266"/>
      <c r="C33" s="5"/>
      <c r="D33" s="263"/>
      <c r="E33" s="263"/>
      <c r="F33" s="267"/>
      <c r="G33" s="267"/>
      <c r="H33" s="1"/>
      <c r="I33" s="1"/>
      <c r="J33" s="1"/>
      <c r="K33" s="27" t="str">
        <f>IF(Sept[[#This Row],[Date of Incident]]="","",TEXT(Sept[[#This Row],[Date of Incident]],"ddd"))</f>
        <v/>
      </c>
      <c r="L33" s="1"/>
      <c r="M33" s="27" t="str">
        <f>IFERROR(VLOOKUP(Sept[[#This Row],[Hour]],Shifts[],2,FALSE),"")</f>
        <v/>
      </c>
      <c r="N33" s="2"/>
      <c r="O33" s="24" t="str">
        <f>IFERROR(VLOOKUP(Sept[[#This Row],[BIMS Score]],BIMS[],2,FALSE),"")</f>
        <v/>
      </c>
      <c r="P33" s="3"/>
      <c r="Q33" s="3"/>
      <c r="R33" s="2"/>
      <c r="S33" s="168"/>
      <c r="T33" s="5"/>
      <c r="U33" s="5"/>
      <c r="V33" s="5"/>
    </row>
    <row r="34" spans="2:22" ht="20.85" customHeight="1" x14ac:dyDescent="0.25">
      <c r="B34" s="266"/>
      <c r="C34" s="5"/>
      <c r="D34" s="263"/>
      <c r="E34" s="263"/>
      <c r="F34" s="267"/>
      <c r="G34" s="267"/>
      <c r="H34" s="1"/>
      <c r="I34" s="1"/>
      <c r="J34" s="1"/>
      <c r="K34" s="27" t="str">
        <f>IF(Sept[[#This Row],[Date of Incident]]="","",TEXT(Sept[[#This Row],[Date of Incident]],"ddd"))</f>
        <v/>
      </c>
      <c r="L34" s="1"/>
      <c r="M34" s="27" t="str">
        <f>IFERROR(VLOOKUP(Sept[[#This Row],[Hour]],Shifts[],2,FALSE),"")</f>
        <v/>
      </c>
      <c r="N34" s="2"/>
      <c r="O34" s="24" t="str">
        <f>IFERROR(VLOOKUP(Sept[[#This Row],[BIMS Score]],BIMS[],2,FALSE),"")</f>
        <v/>
      </c>
      <c r="P34" s="3"/>
      <c r="Q34" s="3"/>
      <c r="R34" s="2"/>
      <c r="S34" s="168"/>
      <c r="T34" s="5"/>
      <c r="U34" s="5"/>
      <c r="V34" s="5"/>
    </row>
    <row r="35" spans="2:22" ht="20.85" customHeight="1" x14ac:dyDescent="0.25">
      <c r="B35" s="266"/>
      <c r="C35" s="5"/>
      <c r="D35" s="263"/>
      <c r="E35" s="263"/>
      <c r="F35" s="267"/>
      <c r="G35" s="267"/>
      <c r="H35" s="1"/>
      <c r="I35" s="1"/>
      <c r="J35" s="1"/>
      <c r="K35" s="27" t="str">
        <f>IF(Sept[[#This Row],[Date of Incident]]="","",TEXT(Sept[[#This Row],[Date of Incident]],"ddd"))</f>
        <v/>
      </c>
      <c r="L35" s="1"/>
      <c r="M35" s="27" t="str">
        <f>IFERROR(VLOOKUP(Sept[[#This Row],[Hour]],Shifts[],2,FALSE),"")</f>
        <v/>
      </c>
      <c r="N35" s="2"/>
      <c r="O35" s="24" t="str">
        <f>IFERROR(VLOOKUP(Sept[[#This Row],[BIMS Score]],BIMS[],2,FALSE),"")</f>
        <v/>
      </c>
      <c r="P35" s="3"/>
      <c r="Q35" s="3"/>
      <c r="R35" s="2"/>
      <c r="S35" s="168"/>
      <c r="T35" s="5"/>
      <c r="U35" s="5"/>
      <c r="V35" s="5"/>
    </row>
    <row r="36" spans="2:22" ht="20.85" customHeight="1" x14ac:dyDescent="0.25">
      <c r="B36" s="266"/>
      <c r="C36" s="5"/>
      <c r="D36" s="263"/>
      <c r="E36" s="263"/>
      <c r="F36" s="267"/>
      <c r="G36" s="267"/>
      <c r="H36" s="1"/>
      <c r="I36" s="1"/>
      <c r="J36" s="1"/>
      <c r="K36" s="27" t="str">
        <f>IF(Sept[[#This Row],[Date of Incident]]="","",TEXT(Sept[[#This Row],[Date of Incident]],"ddd"))</f>
        <v/>
      </c>
      <c r="L36" s="1"/>
      <c r="M36" s="27" t="str">
        <f>IFERROR(VLOOKUP(Sept[[#This Row],[Hour]],Shifts[],2,FALSE),"")</f>
        <v/>
      </c>
      <c r="N36" s="2"/>
      <c r="O36" s="24" t="str">
        <f>IFERROR(VLOOKUP(Sept[[#This Row],[BIMS Score]],BIMS[],2,FALSE),"")</f>
        <v/>
      </c>
      <c r="P36" s="3"/>
      <c r="Q36" s="3"/>
      <c r="R36" s="2"/>
      <c r="S36" s="168"/>
      <c r="T36" s="5"/>
      <c r="U36" s="5"/>
      <c r="V36" s="5"/>
    </row>
    <row r="37" spans="2:22" ht="20.85" customHeight="1" x14ac:dyDescent="0.25">
      <c r="B37" s="266"/>
      <c r="C37" s="5"/>
      <c r="D37" s="263"/>
      <c r="E37" s="263"/>
      <c r="F37" s="267"/>
      <c r="G37" s="267"/>
      <c r="H37" s="1"/>
      <c r="I37" s="1"/>
      <c r="J37" s="1"/>
      <c r="K37" s="27" t="str">
        <f>IF(Sept[[#This Row],[Date of Incident]]="","",TEXT(Sept[[#This Row],[Date of Incident]],"ddd"))</f>
        <v/>
      </c>
      <c r="L37" s="1"/>
      <c r="M37" s="27" t="str">
        <f>IFERROR(VLOOKUP(Sept[[#This Row],[Hour]],Shifts[],2,FALSE),"")</f>
        <v/>
      </c>
      <c r="N37" s="2"/>
      <c r="O37" s="24" t="str">
        <f>IFERROR(VLOOKUP(Sept[[#This Row],[BIMS Score]],BIMS[],2,FALSE),"")</f>
        <v/>
      </c>
      <c r="P37" s="3"/>
      <c r="Q37" s="3"/>
      <c r="R37" s="2"/>
      <c r="S37" s="168"/>
      <c r="T37" s="5"/>
      <c r="U37" s="5"/>
      <c r="V37" s="5"/>
    </row>
    <row r="38" spans="2:22" ht="20.85" customHeight="1" x14ac:dyDescent="0.25">
      <c r="B38" s="266"/>
      <c r="C38" s="5"/>
      <c r="D38" s="263"/>
      <c r="E38" s="263"/>
      <c r="F38" s="267"/>
      <c r="G38" s="267"/>
      <c r="H38" s="1"/>
      <c r="I38" s="1"/>
      <c r="J38" s="1"/>
      <c r="K38" s="27" t="str">
        <f>IF(Sept[[#This Row],[Date of Incident]]="","",TEXT(Sept[[#This Row],[Date of Incident]],"ddd"))</f>
        <v/>
      </c>
      <c r="L38" s="1"/>
      <c r="M38" s="27" t="str">
        <f>IFERROR(VLOOKUP(Sept[[#This Row],[Hour]],Shifts[],2,FALSE),"")</f>
        <v/>
      </c>
      <c r="N38" s="2"/>
      <c r="O38" s="24" t="str">
        <f>IFERROR(VLOOKUP(Sept[[#This Row],[BIMS Score]],BIMS[],2,FALSE),"")</f>
        <v/>
      </c>
      <c r="P38" s="3"/>
      <c r="Q38" s="3"/>
      <c r="R38" s="2"/>
      <c r="S38" s="168"/>
      <c r="T38" s="5"/>
      <c r="U38" s="5"/>
      <c r="V38" s="5"/>
    </row>
    <row r="39" spans="2:22" ht="20.85" customHeight="1" x14ac:dyDescent="0.25">
      <c r="B39" s="266"/>
      <c r="C39" s="5"/>
      <c r="D39" s="263"/>
      <c r="E39" s="263"/>
      <c r="F39" s="267"/>
      <c r="G39" s="267"/>
      <c r="H39" s="1"/>
      <c r="I39" s="1"/>
      <c r="J39" s="1"/>
      <c r="K39" s="27" t="str">
        <f>IF(Sept[[#This Row],[Date of Incident]]="","",TEXT(Sept[[#This Row],[Date of Incident]],"ddd"))</f>
        <v/>
      </c>
      <c r="L39" s="1"/>
      <c r="M39" s="27" t="str">
        <f>IFERROR(VLOOKUP(Sept[[#This Row],[Hour]],Shifts[],2,FALSE),"")</f>
        <v/>
      </c>
      <c r="N39" s="2"/>
      <c r="O39" s="24" t="str">
        <f>IFERROR(VLOOKUP(Sept[[#This Row],[BIMS Score]],BIMS[],2,FALSE),"")</f>
        <v/>
      </c>
      <c r="P39" s="3"/>
      <c r="Q39" s="3"/>
      <c r="R39" s="2"/>
      <c r="S39" s="168"/>
      <c r="T39" s="5"/>
      <c r="U39" s="5"/>
      <c r="V39" s="5"/>
    </row>
    <row r="40" spans="2:22" ht="20.85" customHeight="1" x14ac:dyDescent="0.25">
      <c r="B40" s="266"/>
      <c r="C40" s="5"/>
      <c r="D40" s="263"/>
      <c r="E40" s="263"/>
      <c r="F40" s="267"/>
      <c r="G40" s="267"/>
      <c r="H40" s="1"/>
      <c r="I40" s="1"/>
      <c r="J40" s="1"/>
      <c r="K40" s="27" t="str">
        <f>IF(Sept[[#This Row],[Date of Incident]]="","",TEXT(Sept[[#This Row],[Date of Incident]],"ddd"))</f>
        <v/>
      </c>
      <c r="L40" s="1"/>
      <c r="M40" s="27" t="str">
        <f>IFERROR(VLOOKUP(Sept[[#This Row],[Hour]],Shifts[],2,FALSE),"")</f>
        <v/>
      </c>
      <c r="N40" s="2"/>
      <c r="O40" s="24" t="str">
        <f>IFERROR(VLOOKUP(Sept[[#This Row],[BIMS Score]],BIMS[],2,FALSE),"")</f>
        <v/>
      </c>
      <c r="P40" s="3"/>
      <c r="Q40" s="3"/>
      <c r="R40" s="2"/>
      <c r="S40" s="168"/>
      <c r="T40" s="5"/>
      <c r="U40" s="5"/>
      <c r="V40" s="5"/>
    </row>
    <row r="41" spans="2:22" x14ac:dyDescent="0.25">
      <c r="B41" s="26"/>
      <c r="C41" s="21"/>
      <c r="D41" s="22"/>
      <c r="E41" s="23"/>
      <c r="F41" s="26"/>
      <c r="G41" s="26"/>
      <c r="H41" s="26"/>
      <c r="I41" s="26"/>
      <c r="J41" s="26"/>
      <c r="K41" s="26"/>
      <c r="L41" s="26"/>
      <c r="M41" s="26"/>
      <c r="N41" s="20"/>
      <c r="O41" s="25"/>
      <c r="P41" s="21"/>
      <c r="Q41" s="21"/>
      <c r="R41" s="25"/>
    </row>
    <row r="42" spans="2:22" x14ac:dyDescent="0.25">
      <c r="B42" s="26"/>
      <c r="C42" s="21"/>
      <c r="D42" s="22"/>
      <c r="E42" s="23"/>
      <c r="F42" s="26"/>
      <c r="G42" s="26"/>
      <c r="H42" s="26"/>
      <c r="I42" s="26"/>
      <c r="J42" s="26"/>
      <c r="K42" s="26"/>
      <c r="L42" s="26"/>
      <c r="M42" s="26"/>
      <c r="N42" s="20"/>
      <c r="O42" s="25"/>
      <c r="P42" s="21"/>
      <c r="Q42" s="21"/>
      <c r="R42" s="25"/>
    </row>
    <row r="43" spans="2:22" x14ac:dyDescent="0.25">
      <c r="B43" s="26"/>
      <c r="C43" s="21"/>
      <c r="D43" s="22"/>
      <c r="E43" s="23"/>
      <c r="F43" s="26"/>
      <c r="G43" s="26"/>
      <c r="H43" s="26"/>
      <c r="I43" s="26"/>
      <c r="J43" s="26"/>
      <c r="K43" s="26"/>
      <c r="L43" s="26"/>
      <c r="M43" s="26"/>
      <c r="N43" s="20"/>
      <c r="O43" s="25"/>
      <c r="P43" s="21"/>
      <c r="Q43" s="21"/>
      <c r="R43" s="25"/>
    </row>
    <row r="44" spans="2:22" x14ac:dyDescent="0.25">
      <c r="B44" s="26"/>
      <c r="C44" s="21"/>
      <c r="D44" s="22"/>
      <c r="E44" s="23"/>
      <c r="F44" s="26"/>
      <c r="G44" s="26"/>
      <c r="H44" s="26"/>
      <c r="I44" s="26"/>
      <c r="J44" s="26"/>
      <c r="K44" s="26"/>
      <c r="L44" s="26"/>
      <c r="M44" s="26"/>
      <c r="N44" s="20"/>
      <c r="O44" s="25"/>
      <c r="P44" s="21"/>
      <c r="Q44" s="21"/>
      <c r="R44" s="25"/>
    </row>
    <row r="45" spans="2:22" x14ac:dyDescent="0.25">
      <c r="B45" s="26"/>
      <c r="C45" s="21"/>
      <c r="D45" s="22"/>
      <c r="E45" s="23"/>
      <c r="F45" s="26"/>
      <c r="G45" s="26"/>
      <c r="H45" s="26"/>
      <c r="I45" s="26"/>
      <c r="J45" s="26"/>
      <c r="K45" s="26"/>
      <c r="L45" s="26"/>
      <c r="M45" s="26"/>
      <c r="N45" s="20"/>
      <c r="O45" s="25"/>
      <c r="P45" s="21"/>
      <c r="Q45" s="21"/>
      <c r="R45" s="25"/>
    </row>
    <row r="46" spans="2:22" x14ac:dyDescent="0.25">
      <c r="B46" s="26"/>
      <c r="C46" s="21"/>
      <c r="D46" s="22"/>
      <c r="E46" s="23"/>
      <c r="F46" s="26"/>
      <c r="G46" s="26"/>
      <c r="H46" s="26"/>
      <c r="I46" s="26"/>
      <c r="J46" s="26"/>
      <c r="K46" s="26"/>
      <c r="L46" s="26"/>
      <c r="M46" s="26"/>
      <c r="N46" s="20"/>
      <c r="O46" s="25"/>
      <c r="P46" s="21"/>
      <c r="Q46" s="21"/>
      <c r="R46" s="25"/>
    </row>
    <row r="47" spans="2:22" x14ac:dyDescent="0.25">
      <c r="B47" s="26"/>
      <c r="C47" s="21"/>
      <c r="D47" s="22"/>
      <c r="E47" s="23"/>
      <c r="F47" s="26"/>
      <c r="G47" s="26"/>
      <c r="H47" s="26"/>
      <c r="I47" s="26"/>
      <c r="J47" s="26"/>
      <c r="K47" s="26"/>
      <c r="L47" s="26"/>
      <c r="M47" s="26"/>
      <c r="N47" s="20"/>
      <c r="O47" s="25"/>
      <c r="P47" s="21"/>
      <c r="Q47" s="21"/>
      <c r="R47" s="25"/>
    </row>
    <row r="48" spans="2:22" x14ac:dyDescent="0.25">
      <c r="B48" s="26"/>
      <c r="C48" s="21"/>
      <c r="D48" s="22"/>
      <c r="E48" s="23"/>
      <c r="F48" s="26"/>
      <c r="G48" s="26"/>
      <c r="H48" s="26"/>
      <c r="I48" s="26"/>
      <c r="J48" s="26"/>
      <c r="K48" s="26"/>
      <c r="L48" s="26"/>
      <c r="M48" s="26"/>
      <c r="N48" s="20"/>
      <c r="O48" s="25"/>
      <c r="P48" s="21"/>
      <c r="Q48" s="21"/>
      <c r="R48" s="25"/>
    </row>
    <row r="49" spans="1:18" x14ac:dyDescent="0.25">
      <c r="B49" s="26"/>
      <c r="C49" s="21"/>
      <c r="D49" s="22"/>
      <c r="E49" s="23"/>
      <c r="F49" s="26"/>
      <c r="G49" s="26"/>
      <c r="H49" s="26"/>
      <c r="I49" s="26"/>
      <c r="J49" s="26"/>
      <c r="K49" s="26"/>
      <c r="L49" s="26"/>
      <c r="M49" s="26"/>
      <c r="N49" s="20"/>
      <c r="O49" s="25"/>
      <c r="P49" s="21"/>
      <c r="Q49" s="21"/>
      <c r="R49" s="25"/>
    </row>
    <row r="50" spans="1:18" ht="15.75" thickBot="1" x14ac:dyDescent="0.3">
      <c r="B50" s="26"/>
      <c r="C50" s="21"/>
      <c r="D50" s="22"/>
      <c r="E50" s="23"/>
      <c r="F50" s="26"/>
      <c r="G50" s="26"/>
      <c r="H50" s="26"/>
      <c r="I50" s="26"/>
      <c r="Q50" s="21"/>
    </row>
    <row r="51" spans="1:18" ht="22.35" customHeight="1" thickBot="1" x14ac:dyDescent="0.3">
      <c r="B51" s="280" t="s">
        <v>85</v>
      </c>
      <c r="C51" s="281"/>
      <c r="D51" s="282"/>
      <c r="F51" s="280" t="s">
        <v>100</v>
      </c>
      <c r="G51" s="281"/>
      <c r="H51" s="282"/>
    </row>
    <row r="52" spans="1:18" ht="15.6" customHeight="1" x14ac:dyDescent="0.25">
      <c r="B52" s="283" t="s">
        <v>83</v>
      </c>
      <c r="C52" s="284"/>
      <c r="D52" s="28" t="s">
        <v>35</v>
      </c>
      <c r="F52" s="283" t="s">
        <v>83</v>
      </c>
      <c r="G52" s="284"/>
      <c r="H52" s="28" t="s">
        <v>35</v>
      </c>
    </row>
    <row r="53" spans="1:18" x14ac:dyDescent="0.25">
      <c r="B53" s="29" t="s">
        <v>41</v>
      </c>
      <c r="C53" s="30"/>
      <c r="D53" s="31">
        <f>COUNTIFS(Sept[Witnessed
Fall?],$B53)</f>
        <v>0</v>
      </c>
      <c r="F53" s="29" t="s">
        <v>79</v>
      </c>
      <c r="G53" s="30"/>
      <c r="H53" s="31">
        <f>COUNTIFS(Sept[Fall Circumstances],$F53)</f>
        <v>0</v>
      </c>
    </row>
    <row r="54" spans="1:18" ht="15.75" thickBot="1" x14ac:dyDescent="0.3">
      <c r="B54" s="32" t="s">
        <v>42</v>
      </c>
      <c r="C54" s="33"/>
      <c r="D54" s="34">
        <f>COUNTIFS(Sept[Witnessed
Fall?],$B54)</f>
        <v>0</v>
      </c>
      <c r="F54" s="29" t="s">
        <v>101</v>
      </c>
      <c r="G54" s="30"/>
      <c r="H54" s="31">
        <f>COUNTIFS(Sept[Fall Circumstances],$F54)</f>
        <v>0</v>
      </c>
    </row>
    <row r="55" spans="1:18" ht="15.6" customHeight="1" thickBot="1" x14ac:dyDescent="0.3">
      <c r="B55" s="285" t="s">
        <v>16</v>
      </c>
      <c r="C55" s="286"/>
      <c r="D55" s="35">
        <f>SUM(D53:D54)</f>
        <v>0</v>
      </c>
      <c r="F55" s="32" t="s">
        <v>102</v>
      </c>
      <c r="G55" s="33"/>
      <c r="H55" s="36">
        <f>COUNTIFS(Sept[Fall Circumstances],$F55)</f>
        <v>0</v>
      </c>
    </row>
    <row r="56" spans="1:18" ht="15.6" customHeight="1" thickBot="1" x14ac:dyDescent="0.3">
      <c r="A56" s="26"/>
      <c r="B56" s="21"/>
      <c r="C56" s="22"/>
      <c r="D56" s="26"/>
      <c r="F56" s="285" t="s">
        <v>16</v>
      </c>
      <c r="G56" s="286"/>
      <c r="H56" s="37">
        <f>SUM(H53:H55)</f>
        <v>0</v>
      </c>
    </row>
    <row r="57" spans="1:18" ht="15.75" thickBot="1" x14ac:dyDescent="0.3">
      <c r="A57" s="26"/>
      <c r="B57" s="21"/>
      <c r="C57" s="22"/>
      <c r="D57" s="26"/>
      <c r="F57" s="26"/>
      <c r="G57" s="21"/>
      <c r="H57" s="22"/>
      <c r="L57" s="21"/>
      <c r="O57" s="22"/>
    </row>
    <row r="58" spans="1:18" ht="15.75" thickBot="1" x14ac:dyDescent="0.3">
      <c r="A58" s="26"/>
      <c r="B58" s="21"/>
      <c r="C58" s="22"/>
      <c r="D58" s="26"/>
      <c r="F58" s="280" t="s">
        <v>103</v>
      </c>
      <c r="G58" s="281"/>
      <c r="H58" s="282"/>
      <c r="L58" s="21"/>
      <c r="O58" s="22"/>
    </row>
    <row r="59" spans="1:18" x14ac:dyDescent="0.25">
      <c r="A59" s="26"/>
      <c r="B59" s="21"/>
      <c r="C59" s="22"/>
      <c r="D59" s="26"/>
      <c r="F59" s="283" t="s">
        <v>26</v>
      </c>
      <c r="G59" s="284"/>
      <c r="H59" s="28" t="s">
        <v>35</v>
      </c>
      <c r="L59" s="21"/>
      <c r="O59" s="22"/>
    </row>
    <row r="60" spans="1:18" ht="15.6" customHeight="1" x14ac:dyDescent="0.25">
      <c r="F60" s="29" t="s">
        <v>142</v>
      </c>
      <c r="G60" s="30"/>
      <c r="H60" s="31">
        <f>COUNTIFS(Sept[Cognitive Impairment],$F60)</f>
        <v>0</v>
      </c>
    </row>
    <row r="61" spans="1:18" x14ac:dyDescent="0.25">
      <c r="F61" s="29" t="s">
        <v>143</v>
      </c>
      <c r="G61" s="30"/>
      <c r="H61" s="31">
        <f>COUNTIFS(Sept[Cognitive Impairment],$F61)</f>
        <v>0</v>
      </c>
    </row>
    <row r="62" spans="1:18" ht="15.75" thickBot="1" x14ac:dyDescent="0.3">
      <c r="F62" s="32" t="s">
        <v>144</v>
      </c>
      <c r="G62" s="33"/>
      <c r="H62" s="31">
        <f>COUNTIFS(Sept[Cognitive Impairment],$F62)</f>
        <v>0</v>
      </c>
    </row>
    <row r="63" spans="1:18" ht="15.75" thickBot="1" x14ac:dyDescent="0.3">
      <c r="F63" s="285" t="s">
        <v>16</v>
      </c>
      <c r="G63" s="286"/>
      <c r="H63" s="37">
        <f>SUM(H60:H62)</f>
        <v>0</v>
      </c>
    </row>
    <row r="64" spans="1:18" ht="15.75" thickBot="1" x14ac:dyDescent="0.3"/>
    <row r="65" spans="1:8" ht="21.4" customHeight="1" thickBot="1" x14ac:dyDescent="0.3">
      <c r="B65" s="280" t="s">
        <v>78</v>
      </c>
      <c r="C65" s="281"/>
      <c r="D65" s="281"/>
      <c r="E65" s="281"/>
      <c r="F65" s="281"/>
      <c r="G65" s="282"/>
    </row>
    <row r="66" spans="1:8" ht="15.6" customHeight="1" x14ac:dyDescent="0.25">
      <c r="A66" s="38"/>
      <c r="B66" s="288" t="s">
        <v>86</v>
      </c>
      <c r="C66" s="289"/>
      <c r="D66" s="289"/>
      <c r="E66" s="289"/>
      <c r="F66" s="290"/>
      <c r="G66" s="28" t="s">
        <v>35</v>
      </c>
    </row>
    <row r="67" spans="1:8" x14ac:dyDescent="0.25">
      <c r="A67" s="38"/>
      <c r="B67" s="39" t="str" cm="1">
        <f t="array" ref="B67:B90">IF(_xlfn._xlws.SORT(PriortoFall[What was the resident doing prior to fall?],1,1,TRUE)=0,"",(_xlfn._xlws.SORT(PriortoFall[What was the resident doing prior to fall?],1,1,TRUE)))</f>
        <v>Ambulating with assistive device (walker, cane, wheelchair)</v>
      </c>
      <c r="C67" s="40"/>
      <c r="D67" s="40"/>
      <c r="E67" s="40"/>
      <c r="F67" s="41"/>
      <c r="G67" s="42">
        <f>IF($B67="",NA(),COUNTIFS(Sept[What was resident doing prior to fall?],$B67))</f>
        <v>0</v>
      </c>
      <c r="H67" s="43"/>
    </row>
    <row r="68" spans="1:8" x14ac:dyDescent="0.25">
      <c r="A68" s="38"/>
      <c r="B68" s="44" t="str">
        <v>Ambulating with staff assistance</v>
      </c>
      <c r="C68" s="45"/>
      <c r="D68" s="45"/>
      <c r="E68" s="45"/>
      <c r="F68" s="46"/>
      <c r="G68" s="42">
        <f>IF($B68="",NA(),COUNTIFS(Sept[What was resident doing prior to fall?],$B68))</f>
        <v>0</v>
      </c>
    </row>
    <row r="69" spans="1:8" x14ac:dyDescent="0.25">
      <c r="A69" s="38"/>
      <c r="B69" s="39" t="str">
        <v>Ambulating without assistance or assistive device</v>
      </c>
      <c r="C69" s="40"/>
      <c r="D69" s="40"/>
      <c r="E69" s="40"/>
      <c r="F69" s="41"/>
      <c r="G69" s="42">
        <f>IF($B69="",NA(),COUNTIFS(Sept[What was resident doing prior to fall?],$B69))</f>
        <v>0</v>
      </c>
    </row>
    <row r="70" spans="1:8" x14ac:dyDescent="0.25">
      <c r="A70" s="38"/>
      <c r="B70" s="44" t="str">
        <v>Changing position (e.g., in bed, chair)</v>
      </c>
      <c r="C70" s="45"/>
      <c r="D70" s="45"/>
      <c r="E70" s="45"/>
      <c r="F70" s="46"/>
      <c r="G70" s="42">
        <f>IF($B70="",NA(),COUNTIFS(Sept[What was resident doing prior to fall?],$B70))</f>
        <v>0</v>
      </c>
    </row>
    <row r="71" spans="1:8" x14ac:dyDescent="0.25">
      <c r="A71" s="38"/>
      <c r="B71" s="44" t="str">
        <v>Dressing or undressing</v>
      </c>
      <c r="C71" s="45"/>
      <c r="D71" s="45"/>
      <c r="E71" s="45"/>
      <c r="F71" s="46"/>
      <c r="G71" s="42">
        <f>IF($B71="",NA(),COUNTIFS(Sept[What was resident doing prior to fall?],$B71))</f>
        <v>0</v>
      </c>
    </row>
    <row r="72" spans="1:8" x14ac:dyDescent="0.25">
      <c r="A72" s="38"/>
      <c r="B72" s="44" t="str">
        <v>Other activity</v>
      </c>
      <c r="C72" s="45"/>
      <c r="D72" s="45"/>
      <c r="E72" s="45"/>
      <c r="F72" s="46"/>
      <c r="G72" s="42">
        <f>IF($B72="",NA(),COUNTIFS(Sept[What was resident doing prior to fall?],$B72))</f>
        <v>0</v>
      </c>
    </row>
    <row r="73" spans="1:8" x14ac:dyDescent="0.25">
      <c r="A73" s="38"/>
      <c r="B73" s="44" t="str">
        <v>Reaching for an item</v>
      </c>
      <c r="C73" s="45"/>
      <c r="D73" s="45"/>
      <c r="E73" s="45"/>
      <c r="F73" s="46"/>
      <c r="G73" s="42">
        <f>IF($B73="",NA(),COUNTIFS(Sept[What was resident doing prior to fall?],$B73))</f>
        <v>0</v>
      </c>
    </row>
    <row r="74" spans="1:8" x14ac:dyDescent="0.25">
      <c r="A74" s="38"/>
      <c r="B74" s="44" t="str">
        <v>Showering or bathing</v>
      </c>
      <c r="C74" s="45"/>
      <c r="D74" s="45"/>
      <c r="E74" s="45"/>
      <c r="F74" s="46"/>
      <c r="G74" s="42">
        <f>IF($B74="",NA(),COUNTIFS(Sept[What was resident doing prior to fall?],$B74))</f>
        <v>0</v>
      </c>
    </row>
    <row r="75" spans="1:8" x14ac:dyDescent="0.25">
      <c r="A75" s="38"/>
      <c r="B75" s="44" t="str">
        <v>Toileting</v>
      </c>
      <c r="C75" s="45"/>
      <c r="D75" s="45"/>
      <c r="E75" s="45"/>
      <c r="F75" s="46"/>
      <c r="G75" s="42">
        <f>IF($B75="",NA(),COUNTIFS(Sept[What was resident doing prior to fall?],$B75))</f>
        <v>0</v>
      </c>
    </row>
    <row r="76" spans="1:8" x14ac:dyDescent="0.25">
      <c r="A76" s="38"/>
      <c r="B76" s="44" t="str">
        <v>Transferring to or from bed, chair, wheelchair, etc.</v>
      </c>
      <c r="C76" s="45"/>
      <c r="D76" s="45"/>
      <c r="E76" s="45"/>
      <c r="F76" s="46"/>
      <c r="G76" s="42">
        <f>IF($B76="",NA(),COUNTIFS(Sept[What was resident doing prior to fall?],$B76))</f>
        <v>0</v>
      </c>
    </row>
    <row r="77" spans="1:8" x14ac:dyDescent="0.25">
      <c r="A77" s="38"/>
      <c r="B77" s="39" t="str">
        <v>Unknown</v>
      </c>
      <c r="C77" s="40"/>
      <c r="D77" s="40"/>
      <c r="E77" s="40"/>
      <c r="F77" s="41"/>
      <c r="G77" s="42">
        <f>IF($B77="",NA(),COUNTIFS(Sept[What was resident doing prior to fall?],$B77))</f>
        <v>0</v>
      </c>
    </row>
    <row r="78" spans="1:8" x14ac:dyDescent="0.25">
      <c r="A78" s="38"/>
      <c r="B78" s="44" t="str">
        <v/>
      </c>
      <c r="C78" s="45"/>
      <c r="D78" s="45"/>
      <c r="E78" s="45"/>
      <c r="F78" s="46"/>
      <c r="G78" s="42" t="e">
        <f>IF($B78="",NA(),COUNTIFS(Sept[What was resident doing prior to fall?],$B78))</f>
        <v>#N/A</v>
      </c>
    </row>
    <row r="79" spans="1:8" x14ac:dyDescent="0.25">
      <c r="A79" s="38"/>
      <c r="B79" s="39" t="str">
        <v/>
      </c>
      <c r="C79" s="40"/>
      <c r="D79" s="40"/>
      <c r="E79" s="40"/>
      <c r="F79" s="41"/>
      <c r="G79" s="42" t="e">
        <f>IF($B79="",NA(),COUNTIFS(Sept[What was resident doing prior to fall?],$B79))</f>
        <v>#N/A</v>
      </c>
    </row>
    <row r="80" spans="1:8" x14ac:dyDescent="0.25">
      <c r="A80" s="38"/>
      <c r="B80" s="44" t="str">
        <v/>
      </c>
      <c r="C80" s="45"/>
      <c r="D80" s="45"/>
      <c r="E80" s="45"/>
      <c r="F80" s="46"/>
      <c r="G80" s="42" t="e">
        <f>IF($B80="",NA(),COUNTIFS(Sept[What was resident doing prior to fall?],$B80))</f>
        <v>#N/A</v>
      </c>
    </row>
    <row r="81" spans="1:7" x14ac:dyDescent="0.25">
      <c r="A81" s="38"/>
      <c r="B81" s="39" t="str">
        <v/>
      </c>
      <c r="C81" s="40"/>
      <c r="D81" s="40"/>
      <c r="E81" s="40"/>
      <c r="F81" s="41"/>
      <c r="G81" s="42" t="e">
        <f>IF($B81="",NA(),COUNTIFS(Sept[What was resident doing prior to fall?],$B81))</f>
        <v>#N/A</v>
      </c>
    </row>
    <row r="82" spans="1:7" x14ac:dyDescent="0.25">
      <c r="A82" s="38"/>
      <c r="B82" s="44" t="str">
        <v/>
      </c>
      <c r="C82" s="45"/>
      <c r="D82" s="45"/>
      <c r="E82" s="45"/>
      <c r="F82" s="46"/>
      <c r="G82" s="42" t="e">
        <f>IF($B82="",NA(),COUNTIFS(Sept[What was resident doing prior to fall?],$B82))</f>
        <v>#N/A</v>
      </c>
    </row>
    <row r="83" spans="1:7" x14ac:dyDescent="0.25">
      <c r="A83" s="38"/>
      <c r="B83" s="39" t="str">
        <v/>
      </c>
      <c r="C83" s="40"/>
      <c r="D83" s="40"/>
      <c r="E83" s="40"/>
      <c r="F83" s="41"/>
      <c r="G83" s="42" t="e">
        <f>IF($B83="",NA(),COUNTIFS(Sept[What was resident doing prior to fall?],$B83))</f>
        <v>#N/A</v>
      </c>
    </row>
    <row r="84" spans="1:7" x14ac:dyDescent="0.25">
      <c r="A84" s="38"/>
      <c r="B84" s="44" t="str">
        <v/>
      </c>
      <c r="C84" s="45"/>
      <c r="D84" s="45"/>
      <c r="E84" s="45"/>
      <c r="F84" s="46"/>
      <c r="G84" s="42" t="e">
        <f>IF($B84="",NA(),COUNTIFS(Sept[What was resident doing prior to fall?],$B84))</f>
        <v>#N/A</v>
      </c>
    </row>
    <row r="85" spans="1:7" x14ac:dyDescent="0.25">
      <c r="A85" s="38"/>
      <c r="B85" s="44" t="str">
        <v/>
      </c>
      <c r="C85" s="45"/>
      <c r="D85" s="45"/>
      <c r="E85" s="45"/>
      <c r="F85" s="46"/>
      <c r="G85" s="42" t="e">
        <f>IF($B85="",NA(),COUNTIFS(Sept[What was resident doing prior to fall?],$B85))</f>
        <v>#N/A</v>
      </c>
    </row>
    <row r="86" spans="1:7" x14ac:dyDescent="0.25">
      <c r="A86" s="38"/>
      <c r="B86" s="39" t="str">
        <v/>
      </c>
      <c r="C86" s="40"/>
      <c r="D86" s="40"/>
      <c r="E86" s="40"/>
      <c r="F86" s="41"/>
      <c r="G86" s="42" t="e">
        <f>IF($B86="",NA(),COUNTIFS(Sept[What was resident doing prior to fall?],$B86))</f>
        <v>#N/A</v>
      </c>
    </row>
    <row r="87" spans="1:7" x14ac:dyDescent="0.25">
      <c r="A87" s="38"/>
      <c r="B87" s="44" t="str">
        <v/>
      </c>
      <c r="C87" s="45"/>
      <c r="D87" s="45"/>
      <c r="E87" s="45"/>
      <c r="F87" s="46"/>
      <c r="G87" s="42" t="e">
        <f>IF($B87="",NA(),COUNTIFS(Sept[What was resident doing prior to fall?],$B87))</f>
        <v>#N/A</v>
      </c>
    </row>
    <row r="88" spans="1:7" x14ac:dyDescent="0.25">
      <c r="A88" s="38"/>
      <c r="B88" s="39" t="str">
        <v/>
      </c>
      <c r="C88" s="40"/>
      <c r="D88" s="40"/>
      <c r="E88" s="40"/>
      <c r="F88" s="41"/>
      <c r="G88" s="42" t="e">
        <f>IF($B88="",NA(),COUNTIFS(Sept[What was resident doing prior to fall?],$B88))</f>
        <v>#N/A</v>
      </c>
    </row>
    <row r="89" spans="1:7" x14ac:dyDescent="0.25">
      <c r="A89" s="38"/>
      <c r="B89" s="44" t="str">
        <v/>
      </c>
      <c r="C89" s="45"/>
      <c r="D89" s="45"/>
      <c r="E89" s="45"/>
      <c r="F89" s="46"/>
      <c r="G89" s="42" t="e">
        <f>IF($B89="",NA(),COUNTIFS(Sept[What was resident doing prior to fall?],$B89))</f>
        <v>#N/A</v>
      </c>
    </row>
    <row r="90" spans="1:7" ht="15.75" thickBot="1" x14ac:dyDescent="0.3">
      <c r="A90" s="38"/>
      <c r="B90" s="47" t="str">
        <v/>
      </c>
      <c r="C90" s="47"/>
      <c r="D90" s="47"/>
      <c r="E90" s="47"/>
      <c r="F90" s="48"/>
      <c r="G90" s="42" t="e">
        <f>IF($B90="",NA(),COUNTIFS(Sept[What was resident doing prior to fall?],$B90))</f>
        <v>#N/A</v>
      </c>
    </row>
    <row r="91" spans="1:7" ht="15.6" customHeight="1" thickBot="1" x14ac:dyDescent="0.3">
      <c r="B91" s="285" t="s">
        <v>35</v>
      </c>
      <c r="C91" s="286"/>
      <c r="D91" s="286"/>
      <c r="E91" s="286"/>
      <c r="F91" s="287"/>
      <c r="G91" s="37">
        <f>_xlfn.AGGREGATE(9,6,G67:G90)</f>
        <v>0</v>
      </c>
    </row>
    <row r="92" spans="1:7" ht="15.75" thickBot="1" x14ac:dyDescent="0.3"/>
    <row r="93" spans="1:7" ht="22.35" customHeight="1" thickBot="1" x14ac:dyDescent="0.3">
      <c r="B93" s="293" t="s">
        <v>173</v>
      </c>
      <c r="C93" s="294"/>
      <c r="D93" s="295"/>
    </row>
    <row r="94" spans="1:7" x14ac:dyDescent="0.25">
      <c r="A94" s="38"/>
      <c r="B94" s="298" t="s">
        <v>1</v>
      </c>
      <c r="C94" s="299"/>
      <c r="D94" s="49" t="s">
        <v>35</v>
      </c>
    </row>
    <row r="95" spans="1:7" x14ac:dyDescent="0.25">
      <c r="A95" s="38"/>
      <c r="B95" s="50" t="str" cm="1">
        <f t="array" ref="B95:B105">IF(_xlfn._xlws.SORT(Location[Location],1,1,TRUE)=0,"",(_xlfn._xlws.SORT(Location[Location],1,1,TRUE)))</f>
        <v>Activity Room</v>
      </c>
      <c r="C95" s="51"/>
      <c r="D95" s="52">
        <f>IF($B95="",NA(),COUNTIFS(Sept[Location],$B95))</f>
        <v>0</v>
      </c>
    </row>
    <row r="96" spans="1:7" x14ac:dyDescent="0.25">
      <c r="A96" s="38"/>
      <c r="B96" s="50" t="str">
        <v>Bedroom</v>
      </c>
      <c r="C96" s="51"/>
      <c r="D96" s="52">
        <f>IF($B96="",NA(),COUNTIFS(Sept[Location],$B96))</f>
        <v>0</v>
      </c>
    </row>
    <row r="97" spans="1:4" x14ac:dyDescent="0.25">
      <c r="A97" s="38"/>
      <c r="B97" s="50" t="str">
        <v>Bathroom</v>
      </c>
      <c r="C97" s="51"/>
      <c r="D97" s="52">
        <f>IF($B97="",NA(),COUNTIFS(Sept[Location],$B97))</f>
        <v>0</v>
      </c>
    </row>
    <row r="98" spans="1:4" x14ac:dyDescent="0.25">
      <c r="A98" s="38"/>
      <c r="B98" s="50" t="str">
        <v>Hallway</v>
      </c>
      <c r="C98" s="51"/>
      <c r="D98" s="52">
        <f>IF($B98="",NA(),COUNTIFS(Sept[Location],$B98))</f>
        <v>0</v>
      </c>
    </row>
    <row r="99" spans="1:4" x14ac:dyDescent="0.25">
      <c r="A99" s="38"/>
      <c r="B99" s="50" t="str">
        <v>Offsite</v>
      </c>
      <c r="C99" s="51"/>
      <c r="D99" s="52">
        <f>IF($B99="",NA(),COUNTIFS(Sept[Location],$B99))</f>
        <v>0</v>
      </c>
    </row>
    <row r="100" spans="1:4" x14ac:dyDescent="0.25">
      <c r="A100" s="38"/>
      <c r="B100" s="53" t="str">
        <v>Shower Room</v>
      </c>
      <c r="C100" s="54"/>
      <c r="D100" s="52">
        <f>IF($B100="",NA(),COUNTIFS(Sept[Location],$B100))</f>
        <v>0</v>
      </c>
    </row>
    <row r="101" spans="1:4" x14ac:dyDescent="0.25">
      <c r="A101" s="38"/>
      <c r="B101" s="55" t="str">
        <v>Dining Room</v>
      </c>
      <c r="C101" s="56"/>
      <c r="D101" s="52">
        <f>IF($B101="",NA(),COUNTIFS(Sept[Location],$B101))</f>
        <v>0</v>
      </c>
    </row>
    <row r="102" spans="1:4" x14ac:dyDescent="0.25">
      <c r="A102" s="38"/>
      <c r="B102" s="57" t="str">
        <v/>
      </c>
      <c r="C102" s="58"/>
      <c r="D102" s="52" t="e">
        <f>IF($B102="",NA(),COUNTIFS(Sept[Location],$B102))</f>
        <v>#N/A</v>
      </c>
    </row>
    <row r="103" spans="1:4" x14ac:dyDescent="0.25">
      <c r="A103" s="38"/>
      <c r="B103" s="59" t="str">
        <v/>
      </c>
      <c r="C103" s="51"/>
      <c r="D103" s="52" t="e">
        <f>IF($B103="",NA(),COUNTIFS(Sept[Location],$B103))</f>
        <v>#N/A</v>
      </c>
    </row>
    <row r="104" spans="1:4" x14ac:dyDescent="0.25">
      <c r="A104" s="38"/>
      <c r="B104" s="53" t="str">
        <v/>
      </c>
      <c r="C104" s="60"/>
      <c r="D104" s="52" t="e">
        <f>IF($B104="",NA(),COUNTIFS(Sept[Location],$B104))</f>
        <v>#N/A</v>
      </c>
    </row>
    <row r="105" spans="1:4" ht="15.75" thickBot="1" x14ac:dyDescent="0.3">
      <c r="A105" s="38"/>
      <c r="B105" s="59" t="str">
        <v/>
      </c>
      <c r="C105" s="61"/>
      <c r="D105" s="52" t="e">
        <f>IF($B105="",NA(),COUNTIFS(Sept[Location],$B105))</f>
        <v>#N/A</v>
      </c>
    </row>
    <row r="106" spans="1:4" ht="15.75" thickBot="1" x14ac:dyDescent="0.3">
      <c r="B106" s="296" t="s">
        <v>16</v>
      </c>
      <c r="C106" s="297"/>
      <c r="D106" s="37">
        <f>_xlfn.AGGREGATE(9,6,D95:D105)</f>
        <v>0</v>
      </c>
    </row>
    <row r="107" spans="1:4" ht="15.75" thickBot="1" x14ac:dyDescent="0.3"/>
    <row r="108" spans="1:4" ht="21.4" customHeight="1" thickBot="1" x14ac:dyDescent="0.3">
      <c r="B108" s="280" t="str">
        <f>"Falls by Nursing Station "</f>
        <v xml:space="preserve">Falls by Nursing Station </v>
      </c>
      <c r="C108" s="281"/>
      <c r="D108" s="282"/>
    </row>
    <row r="109" spans="1:4" ht="15.75" x14ac:dyDescent="0.25">
      <c r="B109" s="291" t="s">
        <v>2</v>
      </c>
      <c r="C109" s="291"/>
      <c r="D109" s="28" t="s">
        <v>35</v>
      </c>
    </row>
    <row r="110" spans="1:4" x14ac:dyDescent="0.25">
      <c r="B110" s="62" cm="1">
        <f t="array" ref="B110:B120">IF(_xlfn._xlws.SORT(NS[Nurses Stations],1,1,TRUE)=0,"",(_xlfn._xlws.SORT(NS[Nurses Stations],1,1,TRUE)))</f>
        <v>1</v>
      </c>
      <c r="C110" s="63"/>
      <c r="D110" s="31">
        <f>IF($B110="",NA(),COUNTIFS(Sept[Station],$B110))</f>
        <v>0</v>
      </c>
    </row>
    <row r="111" spans="1:4" x14ac:dyDescent="0.25">
      <c r="B111" s="62">
        <v>2</v>
      </c>
      <c r="C111" s="63"/>
      <c r="D111" s="31">
        <f>IF($B111="",NA(),COUNTIFS(Sept[Station],$B111))</f>
        <v>0</v>
      </c>
    </row>
    <row r="112" spans="1:4" x14ac:dyDescent="0.25">
      <c r="B112" s="62">
        <v>3</v>
      </c>
      <c r="C112" s="63"/>
      <c r="D112" s="31">
        <f>IF($B112="",NA(),COUNTIFS(Sept[Station],$B112))</f>
        <v>0</v>
      </c>
    </row>
    <row r="113" spans="2:4" x14ac:dyDescent="0.25">
      <c r="B113" s="62">
        <v>4</v>
      </c>
      <c r="C113" s="63"/>
      <c r="D113" s="31">
        <f>IF($B113="",NA(),COUNTIFS(Sept[Station],$B113))</f>
        <v>0</v>
      </c>
    </row>
    <row r="114" spans="2:4" x14ac:dyDescent="0.25">
      <c r="B114" s="62">
        <v>5</v>
      </c>
      <c r="C114" s="63"/>
      <c r="D114" s="31">
        <f>IF($B114="",NA(),COUNTIFS(Sept[Station],$B114))</f>
        <v>0</v>
      </c>
    </row>
    <row r="115" spans="2:4" x14ac:dyDescent="0.25">
      <c r="B115" s="62" t="str">
        <v/>
      </c>
      <c r="C115" s="63"/>
      <c r="D115" s="31" t="e">
        <f>IF($B115="",NA(),COUNTIFS(Sept[Station],$B115))</f>
        <v>#N/A</v>
      </c>
    </row>
    <row r="116" spans="2:4" x14ac:dyDescent="0.25">
      <c r="B116" s="62" t="str">
        <v/>
      </c>
      <c r="C116" s="63"/>
      <c r="D116" s="31" t="e">
        <f>IF($B116="",NA(),COUNTIFS(Sept[Station],$B116))</f>
        <v>#N/A</v>
      </c>
    </row>
    <row r="117" spans="2:4" x14ac:dyDescent="0.25">
      <c r="B117" s="62" t="str">
        <v/>
      </c>
      <c r="C117" s="63"/>
      <c r="D117" s="31" t="e">
        <f>IF($B117="",NA(),COUNTIFS(Sept[Station],$B117))</f>
        <v>#N/A</v>
      </c>
    </row>
    <row r="118" spans="2:4" x14ac:dyDescent="0.25">
      <c r="B118" s="62" t="str">
        <v/>
      </c>
      <c r="C118" s="63"/>
      <c r="D118" s="31" t="e">
        <f>IF($B118="",NA(),COUNTIFS(Sept[Station],$B118))</f>
        <v>#N/A</v>
      </c>
    </row>
    <row r="119" spans="2:4" x14ac:dyDescent="0.25">
      <c r="B119" s="62" t="str">
        <v/>
      </c>
      <c r="C119" s="63"/>
      <c r="D119" s="31" t="e">
        <f>IF($B119="",NA(),COUNTIFS(Sept[Station],$B119))</f>
        <v>#N/A</v>
      </c>
    </row>
    <row r="120" spans="2:4" ht="15.75" thickBot="1" x14ac:dyDescent="0.3">
      <c r="B120" s="64" t="str">
        <v/>
      </c>
      <c r="C120" s="63"/>
      <c r="D120" s="31" t="e">
        <f>IF($B120="",NA(),COUNTIFS(Sept[Station],$B120))</f>
        <v>#N/A</v>
      </c>
    </row>
    <row r="121" spans="2:4" ht="15.6" customHeight="1" thickBot="1" x14ac:dyDescent="0.3">
      <c r="B121" s="285" t="s">
        <v>16</v>
      </c>
      <c r="C121" s="286"/>
      <c r="D121" s="37">
        <f>_xlfn.AGGREGATE(9,6,D110:D120)</f>
        <v>0</v>
      </c>
    </row>
    <row r="122" spans="2:4" ht="15.6" customHeight="1" thickBot="1" x14ac:dyDescent="0.3">
      <c r="B122" s="65"/>
      <c r="C122" s="66"/>
      <c r="D122" s="67"/>
    </row>
    <row r="123" spans="2:4" ht="21.95" customHeight="1" thickBot="1" x14ac:dyDescent="0.3">
      <c r="B123" s="280" t="str">
        <f>"Falls by Day of the Week "</f>
        <v xml:space="preserve">Falls by Day of the Week </v>
      </c>
      <c r="C123" s="281"/>
      <c r="D123" s="282"/>
    </row>
    <row r="124" spans="2:4" ht="15.75" x14ac:dyDescent="0.25">
      <c r="B124" s="291" t="s">
        <v>3</v>
      </c>
      <c r="C124" s="291"/>
      <c r="D124" s="28" t="s">
        <v>35</v>
      </c>
    </row>
    <row r="125" spans="2:4" x14ac:dyDescent="0.25">
      <c r="B125" s="292" t="s">
        <v>46</v>
      </c>
      <c r="C125" s="292"/>
      <c r="D125" s="31">
        <f>COUNTIFS(Sept[Day],$B125)</f>
        <v>0</v>
      </c>
    </row>
    <row r="126" spans="2:4" x14ac:dyDescent="0.25">
      <c r="B126" s="292" t="s">
        <v>47</v>
      </c>
      <c r="C126" s="292"/>
      <c r="D126" s="31">
        <f>COUNTIFS(Sept[Day],$B126)</f>
        <v>0</v>
      </c>
    </row>
    <row r="127" spans="2:4" x14ac:dyDescent="0.25">
      <c r="B127" s="292" t="s">
        <v>52</v>
      </c>
      <c r="C127" s="292"/>
      <c r="D127" s="31">
        <f>COUNTIFS(Sept[Day],$B127)</f>
        <v>0</v>
      </c>
    </row>
    <row r="128" spans="2:4" x14ac:dyDescent="0.25">
      <c r="B128" s="292" t="s">
        <v>48</v>
      </c>
      <c r="C128" s="292"/>
      <c r="D128" s="31">
        <f>COUNTIFS(Sept[Day],$B128)</f>
        <v>0</v>
      </c>
    </row>
    <row r="129" spans="2:4" x14ac:dyDescent="0.25">
      <c r="B129" s="292" t="s">
        <v>51</v>
      </c>
      <c r="C129" s="292"/>
      <c r="D129" s="31">
        <f>COUNTIFS(Sept[Day],$B129)</f>
        <v>0</v>
      </c>
    </row>
    <row r="130" spans="2:4" x14ac:dyDescent="0.25">
      <c r="B130" s="292" t="s">
        <v>49</v>
      </c>
      <c r="C130" s="292"/>
      <c r="D130" s="31">
        <f>COUNTIFS(Sept[Day],$B130)</f>
        <v>0</v>
      </c>
    </row>
    <row r="131" spans="2:4" ht="15.75" thickBot="1" x14ac:dyDescent="0.3">
      <c r="B131" s="292" t="s">
        <v>50</v>
      </c>
      <c r="C131" s="292"/>
      <c r="D131" s="34">
        <f>COUNTIFS(Sept[Day],$B131)</f>
        <v>0</v>
      </c>
    </row>
    <row r="132" spans="2:4" ht="15.6" customHeight="1" thickBot="1" x14ac:dyDescent="0.3">
      <c r="B132" s="285" t="s">
        <v>16</v>
      </c>
      <c r="C132" s="286"/>
      <c r="D132" s="35">
        <f>SUM(D125:D131)</f>
        <v>0</v>
      </c>
    </row>
    <row r="133" spans="2:4" ht="15.75" thickBot="1" x14ac:dyDescent="0.3"/>
    <row r="134" spans="2:4" ht="21.4" customHeight="1" thickBot="1" x14ac:dyDescent="0.3">
      <c r="B134" s="280" t="str">
        <f>"Falls by Shift"</f>
        <v>Falls by Shift</v>
      </c>
      <c r="C134" s="281"/>
      <c r="D134" s="282"/>
    </row>
    <row r="135" spans="2:4" ht="15.75" x14ac:dyDescent="0.25">
      <c r="B135" s="291" t="s">
        <v>34</v>
      </c>
      <c r="C135" s="291"/>
      <c r="D135" s="28" t="s">
        <v>35</v>
      </c>
    </row>
    <row r="136" spans="2:4" x14ac:dyDescent="0.25">
      <c r="B136" s="29" t="str" cm="1">
        <f t="array" ref="B136:B140">IF(_xlfn._xlws.SORT('Data Validation'!P3:P7,1,1,TRUE)=0,"",(_xlfn._xlws.SORT('Data Validation'!P3:P7,1,1,TRUE)))</f>
        <v>11-7</v>
      </c>
      <c r="C136" s="58"/>
      <c r="D136" s="31">
        <f>IF($B136="",NA(),COUNTIFS(Sept[Shift],$B136))</f>
        <v>0</v>
      </c>
    </row>
    <row r="137" spans="2:4" x14ac:dyDescent="0.25">
      <c r="B137" s="29" t="str">
        <v>11–7</v>
      </c>
      <c r="C137" s="58"/>
      <c r="D137" s="31">
        <f>IF($B137="",NA(),COUNTIFS(Sept[Shift],$B137))</f>
        <v>0</v>
      </c>
    </row>
    <row r="138" spans="2:4" x14ac:dyDescent="0.25">
      <c r="B138" s="29" t="str">
        <v>7–3</v>
      </c>
      <c r="C138" s="58"/>
      <c r="D138" s="31">
        <f>IF($B138="",NA(),COUNTIFS(Sept[Shift],$B138))</f>
        <v>0</v>
      </c>
    </row>
    <row r="139" spans="2:4" x14ac:dyDescent="0.25">
      <c r="B139" s="29" t="str">
        <v>3–11</v>
      </c>
      <c r="C139" s="58"/>
      <c r="D139" s="31">
        <f>IF($B139="",NA(),COUNTIFS(Sept[Shift],$B139))</f>
        <v>0</v>
      </c>
    </row>
    <row r="140" spans="2:4" ht="15.75" thickBot="1" x14ac:dyDescent="0.3">
      <c r="B140" s="29" t="str">
        <v/>
      </c>
      <c r="C140" s="68"/>
      <c r="D140" s="34" t="e">
        <f>IF($B140="",NA(),COUNTIFS(Sept[Shift],$B140))</f>
        <v>#N/A</v>
      </c>
    </row>
    <row r="141" spans="2:4" ht="15.75" thickBot="1" x14ac:dyDescent="0.3">
      <c r="B141" s="285" t="s">
        <v>16</v>
      </c>
      <c r="C141" s="286"/>
      <c r="D141" s="35">
        <f>_xlfn.AGGREGATE(9,6,D136:D140)</f>
        <v>0</v>
      </c>
    </row>
    <row r="142" spans="2:4" ht="15.75" thickBot="1" x14ac:dyDescent="0.3"/>
    <row r="143" spans="2:4" ht="21.4" customHeight="1" thickBot="1" x14ac:dyDescent="0.3">
      <c r="B143" s="280" t="str">
        <f>"Falls by Hour "</f>
        <v xml:space="preserve">Falls by Hour </v>
      </c>
      <c r="C143" s="281"/>
      <c r="D143" s="282"/>
    </row>
    <row r="144" spans="2:4" ht="15.75" x14ac:dyDescent="0.25">
      <c r="B144" s="291" t="s">
        <v>33</v>
      </c>
      <c r="C144" s="291"/>
      <c r="D144" s="28" t="s">
        <v>35</v>
      </c>
    </row>
    <row r="145" spans="2:4" x14ac:dyDescent="0.25">
      <c r="B145" s="292" t="s">
        <v>115</v>
      </c>
      <c r="C145" s="292"/>
      <c r="D145" s="31">
        <f>COUNTIFS(Sept[Hour],$B145)</f>
        <v>0</v>
      </c>
    </row>
    <row r="146" spans="2:4" x14ac:dyDescent="0.25">
      <c r="B146" s="292" t="s">
        <v>116</v>
      </c>
      <c r="C146" s="292"/>
      <c r="D146" s="31">
        <f>COUNTIFS(Sept[Hour],$B146)</f>
        <v>0</v>
      </c>
    </row>
    <row r="147" spans="2:4" x14ac:dyDescent="0.25">
      <c r="B147" s="292" t="s">
        <v>117</v>
      </c>
      <c r="C147" s="292"/>
      <c r="D147" s="31">
        <f>COUNTIFS(Sept[Hour],$B147)</f>
        <v>0</v>
      </c>
    </row>
    <row r="148" spans="2:4" x14ac:dyDescent="0.25">
      <c r="B148" s="292" t="s">
        <v>118</v>
      </c>
      <c r="C148" s="292"/>
      <c r="D148" s="31">
        <f>COUNTIFS(Sept[Hour],$B148)</f>
        <v>0</v>
      </c>
    </row>
    <row r="149" spans="2:4" x14ac:dyDescent="0.25">
      <c r="B149" s="292" t="s">
        <v>119</v>
      </c>
      <c r="C149" s="292"/>
      <c r="D149" s="31">
        <f>COUNTIFS(Sept[Hour],$B149)</f>
        <v>0</v>
      </c>
    </row>
    <row r="150" spans="2:4" x14ac:dyDescent="0.25">
      <c r="B150" s="292" t="s">
        <v>120</v>
      </c>
      <c r="C150" s="292"/>
      <c r="D150" s="31">
        <f>COUNTIFS(Sept[Hour],$B150)</f>
        <v>0</v>
      </c>
    </row>
    <row r="151" spans="2:4" x14ac:dyDescent="0.25">
      <c r="B151" s="292" t="s">
        <v>121</v>
      </c>
      <c r="C151" s="292"/>
      <c r="D151" s="31">
        <f>COUNTIFS(Sept[Hour],$B151)</f>
        <v>0</v>
      </c>
    </row>
    <row r="152" spans="2:4" x14ac:dyDescent="0.25">
      <c r="B152" s="292" t="s">
        <v>122</v>
      </c>
      <c r="C152" s="292"/>
      <c r="D152" s="31">
        <f>COUNTIFS(Sept[Hour],$B152)</f>
        <v>0</v>
      </c>
    </row>
    <row r="153" spans="2:4" x14ac:dyDescent="0.25">
      <c r="B153" s="292" t="s">
        <v>123</v>
      </c>
      <c r="C153" s="292"/>
      <c r="D153" s="31">
        <f>COUNTIFS(Sept[Hour],$B153)</f>
        <v>0</v>
      </c>
    </row>
    <row r="154" spans="2:4" x14ac:dyDescent="0.25">
      <c r="B154" s="292" t="s">
        <v>124</v>
      </c>
      <c r="C154" s="292"/>
      <c r="D154" s="31">
        <f>COUNTIFS(Sept[Hour],$B154)</f>
        <v>0</v>
      </c>
    </row>
    <row r="155" spans="2:4" x14ac:dyDescent="0.25">
      <c r="B155" s="292" t="s">
        <v>125</v>
      </c>
      <c r="C155" s="292"/>
      <c r="D155" s="31">
        <f>COUNTIFS(Sept[Hour],$B155)</f>
        <v>0</v>
      </c>
    </row>
    <row r="156" spans="2:4" x14ac:dyDescent="0.25">
      <c r="B156" s="292" t="s">
        <v>126</v>
      </c>
      <c r="C156" s="292"/>
      <c r="D156" s="31">
        <f>COUNTIFS(Sept[Hour],$B156)</f>
        <v>0</v>
      </c>
    </row>
    <row r="157" spans="2:4" x14ac:dyDescent="0.25">
      <c r="B157" s="292" t="s">
        <v>127</v>
      </c>
      <c r="C157" s="292"/>
      <c r="D157" s="31">
        <f>COUNTIFS(Sept[Hour],$B157)</f>
        <v>0</v>
      </c>
    </row>
    <row r="158" spans="2:4" x14ac:dyDescent="0.25">
      <c r="B158" s="292" t="s">
        <v>128</v>
      </c>
      <c r="C158" s="292"/>
      <c r="D158" s="31">
        <f>COUNTIFS(Sept[Hour],$B158)</f>
        <v>0</v>
      </c>
    </row>
    <row r="159" spans="2:4" x14ac:dyDescent="0.25">
      <c r="B159" s="292" t="s">
        <v>129</v>
      </c>
      <c r="C159" s="292"/>
      <c r="D159" s="31">
        <f>COUNTIFS(Sept[Hour],$B159)</f>
        <v>0</v>
      </c>
    </row>
    <row r="160" spans="2:4" x14ac:dyDescent="0.25">
      <c r="B160" s="292" t="s">
        <v>130</v>
      </c>
      <c r="C160" s="292"/>
      <c r="D160" s="31">
        <f>COUNTIFS(Sept[Hour],$B160)</f>
        <v>0</v>
      </c>
    </row>
    <row r="161" spans="1:8" x14ac:dyDescent="0.25">
      <c r="B161" s="292" t="s">
        <v>131</v>
      </c>
      <c r="C161" s="292"/>
      <c r="D161" s="31">
        <f>COUNTIFS(Sept[Hour],$B161)</f>
        <v>0</v>
      </c>
    </row>
    <row r="162" spans="1:8" x14ac:dyDescent="0.25">
      <c r="B162" s="292" t="s">
        <v>132</v>
      </c>
      <c r="C162" s="292"/>
      <c r="D162" s="31">
        <f>COUNTIFS(Sept[Hour],$B162)</f>
        <v>0</v>
      </c>
    </row>
    <row r="163" spans="1:8" x14ac:dyDescent="0.25">
      <c r="B163" s="292" t="s">
        <v>133</v>
      </c>
      <c r="C163" s="292"/>
      <c r="D163" s="31">
        <f>COUNTIFS(Sept[Hour],$B163)</f>
        <v>0</v>
      </c>
    </row>
    <row r="164" spans="1:8" x14ac:dyDescent="0.25">
      <c r="B164" s="292" t="s">
        <v>134</v>
      </c>
      <c r="C164" s="292"/>
      <c r="D164" s="31">
        <f>COUNTIFS(Sept[Hour],$B164)</f>
        <v>0</v>
      </c>
    </row>
    <row r="165" spans="1:8" x14ac:dyDescent="0.25">
      <c r="B165" s="292" t="s">
        <v>135</v>
      </c>
      <c r="C165" s="292"/>
      <c r="D165" s="31">
        <f>COUNTIFS(Sept[Hour],$B165)</f>
        <v>0</v>
      </c>
    </row>
    <row r="166" spans="1:8" x14ac:dyDescent="0.25">
      <c r="B166" s="292" t="s">
        <v>136</v>
      </c>
      <c r="C166" s="292"/>
      <c r="D166" s="31">
        <f>COUNTIFS(Sept[Hour],$B166)</f>
        <v>0</v>
      </c>
    </row>
    <row r="167" spans="1:8" x14ac:dyDescent="0.25">
      <c r="B167" s="292" t="s">
        <v>137</v>
      </c>
      <c r="C167" s="292"/>
      <c r="D167" s="31">
        <f>COUNTIFS(Sept[Hour],$B167)</f>
        <v>0</v>
      </c>
    </row>
    <row r="168" spans="1:8" ht="15.75" thickBot="1" x14ac:dyDescent="0.3">
      <c r="B168" s="292" t="s">
        <v>138</v>
      </c>
      <c r="C168" s="292"/>
      <c r="D168" s="34">
        <f>COUNTIFS(Sept[Hour],$B168)</f>
        <v>0</v>
      </c>
    </row>
    <row r="169" spans="1:8" ht="15.75" thickBot="1" x14ac:dyDescent="0.3">
      <c r="B169" s="285" t="s">
        <v>35</v>
      </c>
      <c r="C169" s="286"/>
      <c r="D169" s="35">
        <f>SUM(D145:D168)</f>
        <v>0</v>
      </c>
    </row>
    <row r="170" spans="1:8" ht="15.75" thickBot="1" x14ac:dyDescent="0.3"/>
    <row r="171" spans="1:8" ht="21.4" customHeight="1" thickBot="1" x14ac:dyDescent="0.3">
      <c r="B171" s="280" t="str">
        <f>"Falls by Contributing Factors"</f>
        <v>Falls by Contributing Factors</v>
      </c>
      <c r="C171" s="281"/>
      <c r="D171" s="281"/>
      <c r="E171" s="281"/>
      <c r="F171" s="281"/>
      <c r="G171" s="282"/>
    </row>
    <row r="172" spans="1:8" ht="15.6" customHeight="1" x14ac:dyDescent="0.25">
      <c r="A172" s="38"/>
      <c r="B172" s="288" t="s">
        <v>92</v>
      </c>
      <c r="C172" s="289"/>
      <c r="D172" s="289"/>
      <c r="E172" s="289"/>
      <c r="F172" s="290"/>
      <c r="G172" s="28" t="s">
        <v>35</v>
      </c>
    </row>
    <row r="173" spans="1:8" x14ac:dyDescent="0.25">
      <c r="A173" s="38"/>
      <c r="B173" s="44" t="str" cm="1">
        <f t="array" ref="B173:B196">IF(_xlfn._xlws.SORT(CF[Contributing Factors],1,1,TRUE)=0,"",(_xlfn._xlws.SORT(CF[Contributing Factors],1,1,TRUE)))</f>
        <v>Assisted/caregiver transfer</v>
      </c>
      <c r="C173" s="45"/>
      <c r="D173" s="45"/>
      <c r="E173" s="45"/>
      <c r="F173" s="46"/>
      <c r="G173" s="42">
        <f>IF($B173="",NA(),COUNTIFS(Sept[Contributing Factors],$B173))</f>
        <v>0</v>
      </c>
      <c r="H173" s="43"/>
    </row>
    <row r="174" spans="1:8" x14ac:dyDescent="0.25">
      <c r="A174" s="38"/>
      <c r="B174" s="39" t="str">
        <v>Bowel and bladder (B&amp;B) needs</v>
      </c>
      <c r="C174" s="40"/>
      <c r="D174" s="40"/>
      <c r="E174" s="40"/>
      <c r="F174" s="41"/>
      <c r="G174" s="42">
        <f>IF($B174="",NA(),COUNTIFS(Sept[Contributing Factors],$B174))</f>
        <v>0</v>
      </c>
    </row>
    <row r="175" spans="1:8" x14ac:dyDescent="0.25">
      <c r="A175" s="38"/>
      <c r="B175" s="44" t="str">
        <v>Behavioral or situational</v>
      </c>
      <c r="C175" s="45"/>
      <c r="D175" s="45"/>
      <c r="E175" s="45"/>
      <c r="F175" s="46"/>
      <c r="G175" s="42">
        <f>IF($B175="",NA(),COUNTIFS(Sept[Contributing Factors],$B175))</f>
        <v>0</v>
      </c>
    </row>
    <row r="176" spans="1:8" x14ac:dyDescent="0.25">
      <c r="A176" s="38"/>
      <c r="B176" s="39" t="str">
        <v>Change of condition</v>
      </c>
      <c r="C176" s="40"/>
      <c r="D176" s="40"/>
      <c r="E176" s="40"/>
      <c r="F176" s="41"/>
      <c r="G176" s="42">
        <f>IF($B176="",NA(),COUNTIFS(Sept[Contributing Factors],$B176))</f>
        <v>0</v>
      </c>
    </row>
    <row r="177" spans="1:7" x14ac:dyDescent="0.25">
      <c r="A177" s="38"/>
      <c r="B177" s="44" t="str">
        <v>Environmental factors</v>
      </c>
      <c r="C177" s="45"/>
      <c r="D177" s="45"/>
      <c r="E177" s="45"/>
      <c r="F177" s="46"/>
      <c r="G177" s="42">
        <f>IF($B177="",NA(),COUNTIFS(Sept[Contributing Factors],$B177))</f>
        <v>0</v>
      </c>
    </row>
    <row r="178" spans="1:7" x14ac:dyDescent="0.25">
      <c r="A178" s="38"/>
      <c r="B178" s="39" t="str">
        <v>Equipment malfunction</v>
      </c>
      <c r="C178" s="40"/>
      <c r="D178" s="40"/>
      <c r="E178" s="40"/>
      <c r="F178" s="41"/>
      <c r="G178" s="42">
        <f>IF($B178="",NA(),COUNTIFS(Sept[Contributing Factors],$B178))</f>
        <v>0</v>
      </c>
    </row>
    <row r="179" spans="1:7" x14ac:dyDescent="0.25">
      <c r="A179" s="38"/>
      <c r="B179" s="44" t="str">
        <v>Equipment or assistive device</v>
      </c>
      <c r="C179" s="45"/>
      <c r="D179" s="45"/>
      <c r="E179" s="45"/>
      <c r="F179" s="46"/>
      <c r="G179" s="42">
        <f>IF($B179="",NA(),COUNTIFS(Sept[Contributing Factors],$B179))</f>
        <v>0</v>
      </c>
    </row>
    <row r="180" spans="1:7" x14ac:dyDescent="0.25">
      <c r="A180" s="38"/>
      <c r="B180" s="39" t="str">
        <v>Medication related</v>
      </c>
      <c r="C180" s="40"/>
      <c r="D180" s="40"/>
      <c r="E180" s="40"/>
      <c r="F180" s="41"/>
      <c r="G180" s="42">
        <f>IF($B180="",NA(),COUNTIFS(Sept[Contributing Factors],$B180))</f>
        <v>0</v>
      </c>
    </row>
    <row r="181" spans="1:7" x14ac:dyDescent="0.25">
      <c r="A181" s="38"/>
      <c r="B181" s="44" t="str">
        <v>Process(s) not followed</v>
      </c>
      <c r="C181" s="45"/>
      <c r="D181" s="45"/>
      <c r="E181" s="45"/>
      <c r="F181" s="46"/>
      <c r="G181" s="42">
        <f>IF($B181="",NA(),COUNTIFS(Sept[Contributing Factors],$B181))</f>
        <v>0</v>
      </c>
    </row>
    <row r="182" spans="1:7" x14ac:dyDescent="0.25">
      <c r="A182" s="38"/>
      <c r="B182" s="39" t="str">
        <v>Resident health conditions</v>
      </c>
      <c r="C182" s="40"/>
      <c r="D182" s="40"/>
      <c r="E182" s="40"/>
      <c r="F182" s="41"/>
      <c r="G182" s="42">
        <f>IF($B182="",NA(),COUNTIFS(Sept[Contributing Factors],$B182))</f>
        <v>0</v>
      </c>
    </row>
    <row r="183" spans="1:7" x14ac:dyDescent="0.25">
      <c r="A183" s="38"/>
      <c r="B183" s="44" t="str">
        <v>Staff</v>
      </c>
      <c r="C183" s="45"/>
      <c r="D183" s="45"/>
      <c r="E183" s="45"/>
      <c r="F183" s="46"/>
      <c r="G183" s="42">
        <f>IF($B183="",NA(),COUNTIFS(Sept[Contributing Factors],$B183))</f>
        <v>0</v>
      </c>
    </row>
    <row r="184" spans="1:7" x14ac:dyDescent="0.25">
      <c r="A184" s="38"/>
      <c r="B184" s="39" t="str">
        <v/>
      </c>
      <c r="C184" s="40"/>
      <c r="D184" s="40"/>
      <c r="E184" s="40"/>
      <c r="F184" s="41"/>
      <c r="G184" s="42" t="e">
        <f>IF($B184="",NA(),COUNTIFS(Sept[Contributing Factors],$B184))</f>
        <v>#N/A</v>
      </c>
    </row>
    <row r="185" spans="1:7" x14ac:dyDescent="0.25">
      <c r="A185" s="38"/>
      <c r="B185" s="44" t="str">
        <v/>
      </c>
      <c r="C185" s="45"/>
      <c r="D185" s="45"/>
      <c r="E185" s="45"/>
      <c r="F185" s="46"/>
      <c r="G185" s="42" t="e">
        <f>IF($B185="",NA(),COUNTIFS(Sept[Contributing Factors],$B185))</f>
        <v>#N/A</v>
      </c>
    </row>
    <row r="186" spans="1:7" x14ac:dyDescent="0.25">
      <c r="A186" s="38"/>
      <c r="B186" s="39" t="str">
        <v/>
      </c>
      <c r="C186" s="40"/>
      <c r="D186" s="40"/>
      <c r="E186" s="40"/>
      <c r="F186" s="41"/>
      <c r="G186" s="42" t="e">
        <f>IF($B186="",NA(),COUNTIFS(Sept[Contributing Factors],$B186))</f>
        <v>#N/A</v>
      </c>
    </row>
    <row r="187" spans="1:7" x14ac:dyDescent="0.25">
      <c r="A187" s="38"/>
      <c r="B187" s="44" t="str">
        <v/>
      </c>
      <c r="C187" s="45"/>
      <c r="D187" s="45"/>
      <c r="E187" s="45"/>
      <c r="F187" s="46"/>
      <c r="G187" s="42" t="e">
        <f>IF($B187="",NA(),COUNTIFS(Sept[Contributing Factors],$B187))</f>
        <v>#N/A</v>
      </c>
    </row>
    <row r="188" spans="1:7" x14ac:dyDescent="0.25">
      <c r="A188" s="38"/>
      <c r="B188" s="39" t="str">
        <v/>
      </c>
      <c r="C188" s="40"/>
      <c r="D188" s="40"/>
      <c r="E188" s="40"/>
      <c r="F188" s="41"/>
      <c r="G188" s="42" t="e">
        <f>IF($B188="",NA(),COUNTIFS(Sept[Contributing Factors],$B188))</f>
        <v>#N/A</v>
      </c>
    </row>
    <row r="189" spans="1:7" x14ac:dyDescent="0.25">
      <c r="A189" s="38"/>
      <c r="B189" s="44" t="str">
        <v/>
      </c>
      <c r="C189" s="45"/>
      <c r="D189" s="45"/>
      <c r="E189" s="45"/>
      <c r="F189" s="46"/>
      <c r="G189" s="42" t="e">
        <f>IF($B189="",NA(),COUNTIFS(Sept[Contributing Factors],$B189))</f>
        <v>#N/A</v>
      </c>
    </row>
    <row r="190" spans="1:7" x14ac:dyDescent="0.25">
      <c r="A190" s="38"/>
      <c r="B190" s="39" t="str">
        <v/>
      </c>
      <c r="C190" s="40"/>
      <c r="D190" s="40"/>
      <c r="E190" s="40"/>
      <c r="F190" s="41"/>
      <c r="G190" s="42" t="e">
        <f>IF($B190="",NA(),COUNTIFS(Sept[Contributing Factors],$B190))</f>
        <v>#N/A</v>
      </c>
    </row>
    <row r="191" spans="1:7" x14ac:dyDescent="0.25">
      <c r="A191" s="38"/>
      <c r="B191" s="44" t="str">
        <v/>
      </c>
      <c r="C191" s="45"/>
      <c r="D191" s="45"/>
      <c r="E191" s="45"/>
      <c r="F191" s="46"/>
      <c r="G191" s="42" t="e">
        <f>IF($B191="",NA(),COUNTIFS(Sept[Contributing Factors],$B191))</f>
        <v>#N/A</v>
      </c>
    </row>
    <row r="192" spans="1:7" x14ac:dyDescent="0.25">
      <c r="A192" s="38"/>
      <c r="B192" s="39" t="str">
        <v/>
      </c>
      <c r="C192" s="40"/>
      <c r="D192" s="40"/>
      <c r="E192" s="40"/>
      <c r="F192" s="41"/>
      <c r="G192" s="42" t="e">
        <f>IF($B192="",NA(),COUNTIFS(Sept[Contributing Factors],$B192))</f>
        <v>#N/A</v>
      </c>
    </row>
    <row r="193" spans="1:7" x14ac:dyDescent="0.25">
      <c r="A193" s="38"/>
      <c r="B193" s="44" t="str">
        <v/>
      </c>
      <c r="C193" s="45"/>
      <c r="D193" s="45"/>
      <c r="E193" s="45"/>
      <c r="F193" s="46"/>
      <c r="G193" s="42" t="e">
        <f>IF($B193="",NA(),COUNTIFS(Sept[Contributing Factors],$B193))</f>
        <v>#N/A</v>
      </c>
    </row>
    <row r="194" spans="1:7" x14ac:dyDescent="0.25">
      <c r="A194" s="38"/>
      <c r="B194" s="39" t="str">
        <v/>
      </c>
      <c r="C194" s="40"/>
      <c r="D194" s="40"/>
      <c r="E194" s="40"/>
      <c r="F194" s="41"/>
      <c r="G194" s="42" t="e">
        <f>IF($B194="",NA(),COUNTIFS(Sept[Contributing Factors],$B194))</f>
        <v>#N/A</v>
      </c>
    </row>
    <row r="195" spans="1:7" x14ac:dyDescent="0.25">
      <c r="A195" s="38"/>
      <c r="B195" s="44" t="str">
        <v/>
      </c>
      <c r="C195" s="45"/>
      <c r="D195" s="45"/>
      <c r="E195" s="45"/>
      <c r="F195" s="46"/>
      <c r="G195" s="42" t="e">
        <f>IF($B195="",NA(),COUNTIFS(Sept[Contributing Factors],$B195))</f>
        <v>#N/A</v>
      </c>
    </row>
    <row r="196" spans="1:7" ht="15.75" thickBot="1" x14ac:dyDescent="0.3">
      <c r="A196" s="38"/>
      <c r="B196" s="39" t="str">
        <v/>
      </c>
      <c r="C196" s="40"/>
      <c r="D196" s="40"/>
      <c r="E196" s="40"/>
      <c r="F196" s="41"/>
      <c r="G196" s="42" t="e">
        <f>IF($B196="",NA(),COUNTIFS(Sept[Contributing Factors],$B196))</f>
        <v>#N/A</v>
      </c>
    </row>
    <row r="197" spans="1:7" ht="15.6" customHeight="1" thickBot="1" x14ac:dyDescent="0.3">
      <c r="B197" s="285" t="s">
        <v>35</v>
      </c>
      <c r="C197" s="286"/>
      <c r="D197" s="286"/>
      <c r="E197" s="286"/>
      <c r="F197" s="287"/>
      <c r="G197" s="37">
        <f>_xlfn.AGGREGATE(9,6,G173:G196)</f>
        <v>0</v>
      </c>
    </row>
  </sheetData>
  <sheetProtection algorithmName="SHA-512" hashValue="2ylJljJOjpM1ZLfWLoNEMcrKXzM6xxzDzsBeVXmPgylsKqDJ2DRnBZi+jAbyNA52qjboYuIcmRXYMD2O2rC+cQ==" saltValue="DL9OderI7aFYHi1TDgkA6Q==" spinCount="100000" sheet="1" formatCells="0" formatColumns="0" formatRows="0" sort="0" autoFilter="0"/>
  <mergeCells count="61">
    <mergeCell ref="F56:G56"/>
    <mergeCell ref="B51:D51"/>
    <mergeCell ref="F51:H51"/>
    <mergeCell ref="B52:C52"/>
    <mergeCell ref="F52:G52"/>
    <mergeCell ref="B55:C55"/>
    <mergeCell ref="B121:C121"/>
    <mergeCell ref="F58:H58"/>
    <mergeCell ref="F59:G59"/>
    <mergeCell ref="F63:G63"/>
    <mergeCell ref="B65:G65"/>
    <mergeCell ref="B66:F66"/>
    <mergeCell ref="B91:F91"/>
    <mergeCell ref="B93:D93"/>
    <mergeCell ref="B94:C94"/>
    <mergeCell ref="B106:C106"/>
    <mergeCell ref="B108:D108"/>
    <mergeCell ref="B109:C109"/>
    <mergeCell ref="B135:C135"/>
    <mergeCell ref="B123:D123"/>
    <mergeCell ref="B124:C124"/>
    <mergeCell ref="B125:C125"/>
    <mergeCell ref="B126:C126"/>
    <mergeCell ref="B127:C127"/>
    <mergeCell ref="B128:C128"/>
    <mergeCell ref="B129:C129"/>
    <mergeCell ref="B130:C130"/>
    <mergeCell ref="B131:C131"/>
    <mergeCell ref="B132:C132"/>
    <mergeCell ref="B134:D134"/>
    <mergeCell ref="B153:C153"/>
    <mergeCell ref="B141:C141"/>
    <mergeCell ref="B143:D143"/>
    <mergeCell ref="B144:C144"/>
    <mergeCell ref="B145:C145"/>
    <mergeCell ref="B146:C146"/>
    <mergeCell ref="B147:C147"/>
    <mergeCell ref="B148:C148"/>
    <mergeCell ref="B149:C149"/>
    <mergeCell ref="B150:C150"/>
    <mergeCell ref="B151:C151"/>
    <mergeCell ref="B152:C152"/>
    <mergeCell ref="B165:C165"/>
    <mergeCell ref="B154:C154"/>
    <mergeCell ref="B155:C155"/>
    <mergeCell ref="B156:C156"/>
    <mergeCell ref="B157:C157"/>
    <mergeCell ref="B158:C158"/>
    <mergeCell ref="B159:C159"/>
    <mergeCell ref="B160:C160"/>
    <mergeCell ref="B161:C161"/>
    <mergeCell ref="B162:C162"/>
    <mergeCell ref="B163:C163"/>
    <mergeCell ref="B164:C164"/>
    <mergeCell ref="B197:F197"/>
    <mergeCell ref="B166:C166"/>
    <mergeCell ref="B167:C167"/>
    <mergeCell ref="B168:C168"/>
    <mergeCell ref="B169:C169"/>
    <mergeCell ref="B171:G171"/>
    <mergeCell ref="B172:F172"/>
  </mergeCells>
  <conditionalFormatting sqref="C1">
    <cfRule type="expression" dxfId="130" priority="18">
      <formula>OR($C$1="",$C$1=0)</formula>
    </cfRule>
  </conditionalFormatting>
  <conditionalFormatting sqref="D1">
    <cfRule type="cellIs" dxfId="129" priority="19" operator="equal">
      <formula>"Enter year in Data Validation tab"</formula>
    </cfRule>
  </conditionalFormatting>
  <conditionalFormatting sqref="D4:D40">
    <cfRule type="expression" dxfId="128" priority="22">
      <formula>AND($C4&lt;&gt;"",$D4="")</formula>
    </cfRule>
  </conditionalFormatting>
  <conditionalFormatting sqref="D95:D105">
    <cfRule type="expression" dxfId="127" priority="9">
      <formula>ISERROR($D95)</formula>
    </cfRule>
  </conditionalFormatting>
  <conditionalFormatting sqref="D110:D120">
    <cfRule type="expression" dxfId="126" priority="10">
      <formula>ISERROR($D110)</formula>
    </cfRule>
  </conditionalFormatting>
  <conditionalFormatting sqref="D136:D140">
    <cfRule type="expression" dxfId="125" priority="1">
      <formula>ISERROR(D136)</formula>
    </cfRule>
  </conditionalFormatting>
  <conditionalFormatting sqref="E4:E40">
    <cfRule type="expression" dxfId="124" priority="21">
      <formula>AND($C4&lt;&gt;"",$E4="")</formula>
    </cfRule>
  </conditionalFormatting>
  <conditionalFormatting sqref="F4:F40">
    <cfRule type="expression" dxfId="123" priority="14">
      <formula>AND($C4&lt;&gt;"",$F4="")</formula>
    </cfRule>
  </conditionalFormatting>
  <conditionalFormatting sqref="G4:G40">
    <cfRule type="expression" dxfId="122" priority="13">
      <formula>AND($C4&lt;&gt;"",$G4="")</formula>
    </cfRule>
  </conditionalFormatting>
  <conditionalFormatting sqref="G67:G90">
    <cfRule type="expression" dxfId="121" priority="8">
      <formula>ISERROR($G67)</formula>
    </cfRule>
  </conditionalFormatting>
  <conditionalFormatting sqref="G173:G196">
    <cfRule type="expression" dxfId="120" priority="7">
      <formula>ISERROR($G173)</formula>
    </cfRule>
  </conditionalFormatting>
  <conditionalFormatting sqref="H4:H40">
    <cfRule type="expression" dxfId="119" priority="12">
      <formula>AND($C4&lt;&gt;"",$H4="")</formula>
    </cfRule>
  </conditionalFormatting>
  <conditionalFormatting sqref="I4:I40">
    <cfRule type="expression" dxfId="118" priority="11">
      <formula>AND($C4&lt;&gt;"",$I4="")</formula>
    </cfRule>
  </conditionalFormatting>
  <conditionalFormatting sqref="J4:J40">
    <cfRule type="expression" dxfId="117" priority="23">
      <formula>AND($C4&lt;&gt;"",$J4="")</formula>
    </cfRule>
  </conditionalFormatting>
  <conditionalFormatting sqref="L4:L40">
    <cfRule type="expression" dxfId="116" priority="20">
      <formula>AND($C4&lt;&gt;"",$L4="")</formula>
    </cfRule>
  </conditionalFormatting>
  <conditionalFormatting sqref="N4:N40">
    <cfRule type="expression" dxfId="115" priority="25">
      <formula>AND($C4&lt;&gt;"",$N4="")</formula>
    </cfRule>
  </conditionalFormatting>
  <conditionalFormatting sqref="O4:O40">
    <cfRule type="expression" dxfId="114" priority="4">
      <formula>AND($C4&lt;&gt;"",$O4="")</formula>
    </cfRule>
    <cfRule type="cellIs" dxfId="113" priority="15" operator="equal">
      <formula>"Intact (13-15)"</formula>
    </cfRule>
    <cfRule type="cellIs" dxfId="112" priority="16" operator="equal">
      <formula>"Moderate (8-12)"</formula>
    </cfRule>
    <cfRule type="cellIs" dxfId="111" priority="17" operator="equal">
      <formula>"Severe (1-7)"</formula>
    </cfRule>
  </conditionalFormatting>
  <conditionalFormatting sqref="P4:P40">
    <cfRule type="expression" dxfId="110" priority="5">
      <formula>AND($C4&lt;&gt;"",$P4="")</formula>
    </cfRule>
  </conditionalFormatting>
  <conditionalFormatting sqref="Q4:Q40">
    <cfRule type="expression" dxfId="109" priority="3">
      <formula>AND($C4&lt;&gt;"",$Q4="")</formula>
    </cfRule>
  </conditionalFormatting>
  <conditionalFormatting sqref="R4:R40">
    <cfRule type="expression" dxfId="108" priority="26">
      <formula>AND($C4&lt;&gt;"",$R4="")</formula>
    </cfRule>
  </conditionalFormatting>
  <conditionalFormatting sqref="S4:S40">
    <cfRule type="expression" dxfId="107" priority="6">
      <formula>AND($C4&lt;&gt;"",$S4="")</formula>
    </cfRule>
  </conditionalFormatting>
  <conditionalFormatting sqref="T4:T40">
    <cfRule type="expression" dxfId="106" priority="27">
      <formula>AND($C4&lt;&gt;"",$T4="")</formula>
    </cfRule>
  </conditionalFormatting>
  <conditionalFormatting sqref="U4:U40">
    <cfRule type="expression" dxfId="105" priority="24">
      <formula>AND($C4&lt;&gt;"",$U4="")</formula>
    </cfRule>
  </conditionalFormatting>
  <conditionalFormatting sqref="V4:V40">
    <cfRule type="expression" dxfId="104" priority="2">
      <formula>AND($C4&lt;&gt;"",$V4="")</formula>
    </cfRule>
  </conditionalFormatting>
  <dataValidations count="9">
    <dataValidation type="list" allowBlank="1" showInputMessage="1" showErrorMessage="1" sqref="R4:R40" xr:uid="{A572E788-6620-4200-A0F4-F2A8B0BF125E}">
      <formula1>DV_RCAComp</formula1>
    </dataValidation>
    <dataValidation type="list" allowBlank="1" showInputMessage="1" showErrorMessage="1" sqref="G4:G40" xr:uid="{48C27AB5-A3C6-4D55-9E24-68578AFE2B7B}">
      <formula1>DV_FallCircumstances</formula1>
    </dataValidation>
    <dataValidation type="list" allowBlank="1" showInputMessage="1" showErrorMessage="1" sqref="P4:P40" xr:uid="{42A9548F-9712-4E38-BCB4-D768814A3C12}">
      <formula1>DV_PriortoFall</formula1>
    </dataValidation>
    <dataValidation type="list" allowBlank="1" showInputMessage="1" showErrorMessage="1" sqref="F4:F40" xr:uid="{14565DF7-7118-4F72-9FA2-496FC9333139}">
      <formula1>DV_Witnessed</formula1>
    </dataValidation>
    <dataValidation type="list" allowBlank="1" showInputMessage="1" showErrorMessage="1" sqref="N4:N40" xr:uid="{FC4B55FD-E7A4-4A87-A20E-8F9DD3902984}">
      <formula1>DV_BIMSScore</formula1>
    </dataValidation>
    <dataValidation type="list" allowBlank="1" showInputMessage="1" showErrorMessage="1" sqref="L4:L40" xr:uid="{4069E2C7-1867-42B0-96DD-AFDB9658853D}">
      <formula1>DV_Shifts</formula1>
    </dataValidation>
    <dataValidation type="list" allowBlank="1" showInputMessage="1" showErrorMessage="1" sqref="J4:J40" xr:uid="{5014F9A3-9644-40AA-9E86-804691B9B46A}">
      <formula1>DV_Station</formula1>
    </dataValidation>
    <dataValidation type="list" allowBlank="1" showInputMessage="1" showErrorMessage="1" sqref="I4:I40" xr:uid="{469F68C8-1914-45F9-9CB1-3BD8CD551870}">
      <formula1>DV_Location</formula1>
    </dataValidation>
    <dataValidation type="list" allowBlank="1" showInputMessage="1" showErrorMessage="1" sqref="H4:H40" xr:uid="{3355CFAD-531E-4FD5-9A66-96ACB318797C}">
      <formula1>DV_FallType</formula1>
    </dataValidation>
  </dataValidations>
  <printOptions horizontalCentered="1"/>
  <pageMargins left="0.15" right="0.15" top="0.5" bottom="0.25" header="0.3" footer="0.3"/>
  <pageSetup scale="59" fitToHeight="0" orientation="landscape" r:id="rId1"/>
  <rowBreaks count="3" manualBreakCount="3">
    <brk id="49" max="16383" man="1"/>
    <brk id="91" max="16383" man="1"/>
    <brk id="141" max="16383" man="1"/>
  </rowBreaks>
  <drawing r:id="rId2"/>
  <tableParts count="1">
    <tablePart r:id="rId3"/>
  </tableParts>
  <extLst>
    <ext xmlns:x14="http://schemas.microsoft.com/office/spreadsheetml/2009/9/main" uri="{CCE6A557-97BC-4b89-ADB6-D9C93CAAB3DF}">
      <x14:dataValidations xmlns:xm="http://schemas.microsoft.com/office/excel/2006/main" count="1">
        <x14:dataValidation type="list" allowBlank="1" showInputMessage="1" showErrorMessage="1" xr:uid="{C0559367-19FA-40A1-8533-F57FFA497C13}">
          <x14:formula1>
            <xm:f>'Data Validation'!$K$3:$K$26</xm:f>
          </x14:formula1>
          <xm:sqref>S4:S40</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BF57E-3593-4CF5-815E-50345A13962F}">
  <sheetPr>
    <pageSetUpPr autoPageBreaks="0" fitToPage="1"/>
  </sheetPr>
  <dimension ref="A1:V197"/>
  <sheetViews>
    <sheetView showGridLines="0" zoomScaleNormal="100" zoomScaleSheetLayoutView="98" workbookViewId="0">
      <selection activeCell="B4" sqref="B4"/>
    </sheetView>
  </sheetViews>
  <sheetFormatPr defaultRowHeight="15" x14ac:dyDescent="0.25"/>
  <cols>
    <col min="1" max="1" width="1.28515625" customWidth="1"/>
    <col min="2" max="2" width="5.85546875" customWidth="1"/>
    <col min="3" max="3" width="17.140625" customWidth="1"/>
    <col min="4" max="4" width="9.28515625" customWidth="1"/>
    <col min="5" max="5" width="11" customWidth="1"/>
    <col min="6" max="6" width="8" customWidth="1"/>
    <col min="7" max="7" width="12.140625" customWidth="1"/>
    <col min="8" max="8" width="10.5703125" customWidth="1"/>
    <col min="9" max="9" width="7.7109375" customWidth="1"/>
    <col min="10" max="10" width="6" customWidth="1"/>
    <col min="11" max="11" width="4.7109375" customWidth="1"/>
    <col min="12" max="12" width="9.28515625" customWidth="1"/>
    <col min="13" max="14" width="4.7109375" customWidth="1"/>
    <col min="15" max="15" width="12.140625" customWidth="1"/>
    <col min="16" max="17" width="23.7109375" customWidth="1"/>
    <col min="18" max="18" width="8.7109375" customWidth="1"/>
    <col min="19" max="19" width="23.7109375" customWidth="1"/>
    <col min="20" max="22" width="11.7109375" customWidth="1"/>
    <col min="23" max="24" width="10.7109375" customWidth="1"/>
  </cols>
  <sheetData>
    <row r="1" spans="1:22" ht="18.75" customHeight="1" x14ac:dyDescent="0.25">
      <c r="B1" s="13" t="s">
        <v>28</v>
      </c>
      <c r="C1" s="14">
        <f>'Data Validation'!$C$4</f>
        <v>0</v>
      </c>
      <c r="D1" s="15" t="str">
        <f>IF(OR($C$1="",$C$1=0),"Enter Year in Data Validation tab",'Data Validation'!$C$2&amp;" October ")</f>
        <v>Enter Year in Data Validation tab</v>
      </c>
      <c r="E1" s="16"/>
      <c r="F1" s="16"/>
      <c r="G1" s="16"/>
      <c r="H1" s="16"/>
      <c r="I1" s="16"/>
      <c r="J1" s="16"/>
      <c r="K1" s="16"/>
      <c r="L1" s="16"/>
      <c r="M1" s="16"/>
      <c r="N1" s="4"/>
      <c r="O1" s="16"/>
      <c r="P1" s="16"/>
      <c r="Q1" s="16"/>
      <c r="R1" s="17" t="s">
        <v>59</v>
      </c>
      <c r="S1" s="14" t="str">
        <f>IF(COUNTIFS(Oct[Resident Name],"&lt;&gt;")=0,"No Data",COUNTIFS(Oct[Resident Name],"&lt;&gt;"))</f>
        <v>No Data</v>
      </c>
      <c r="T1" s="17" t="s">
        <v>62</v>
      </c>
      <c r="U1" s="14" t="str">
        <f>'Fall Rate and Census'!$AC$36</f>
        <v>No Data</v>
      </c>
    </row>
    <row r="2" spans="1:22" ht="8.1" customHeight="1" x14ac:dyDescent="0.25">
      <c r="B2" s="18"/>
      <c r="C2" s="16"/>
      <c r="D2" s="16"/>
      <c r="E2" s="16"/>
      <c r="F2" s="16"/>
      <c r="G2" s="16"/>
      <c r="H2" s="16"/>
      <c r="I2" s="16"/>
      <c r="J2" s="16"/>
      <c r="K2" s="16"/>
      <c r="L2" s="16"/>
      <c r="M2" s="16"/>
      <c r="N2" s="16"/>
      <c r="O2" s="16"/>
      <c r="P2" s="16"/>
      <c r="Q2" s="16"/>
      <c r="R2" s="16"/>
    </row>
    <row r="3" spans="1:22" ht="22.35" customHeight="1" x14ac:dyDescent="0.25">
      <c r="B3" s="19" t="s">
        <v>104</v>
      </c>
      <c r="C3" s="19" t="s">
        <v>105</v>
      </c>
      <c r="D3" s="20" t="s">
        <v>0</v>
      </c>
      <c r="E3" s="20" t="s">
        <v>89</v>
      </c>
      <c r="F3" s="20" t="s">
        <v>84</v>
      </c>
      <c r="G3" s="20" t="s">
        <v>100</v>
      </c>
      <c r="H3" s="20" t="s">
        <v>90</v>
      </c>
      <c r="I3" s="20" t="s">
        <v>1</v>
      </c>
      <c r="J3" s="20" t="s">
        <v>2</v>
      </c>
      <c r="K3" s="20" t="s">
        <v>3</v>
      </c>
      <c r="L3" s="20" t="s">
        <v>33</v>
      </c>
      <c r="M3" s="20" t="s">
        <v>34</v>
      </c>
      <c r="N3" s="20" t="s">
        <v>26</v>
      </c>
      <c r="O3" s="20" t="s">
        <v>30</v>
      </c>
      <c r="P3" s="19" t="s">
        <v>158</v>
      </c>
      <c r="Q3" s="19" t="s">
        <v>80</v>
      </c>
      <c r="R3" s="20" t="s">
        <v>81</v>
      </c>
      <c r="S3" s="20" t="s">
        <v>92</v>
      </c>
      <c r="T3" s="12" t="s">
        <v>95</v>
      </c>
      <c r="U3" s="12" t="s">
        <v>94</v>
      </c>
      <c r="V3" s="12" t="s">
        <v>96</v>
      </c>
    </row>
    <row r="4" spans="1:22" ht="20.85" customHeight="1" x14ac:dyDescent="0.25">
      <c r="A4" s="21"/>
      <c r="B4" s="266"/>
      <c r="C4" s="5"/>
      <c r="D4" s="263"/>
      <c r="E4" s="263"/>
      <c r="F4" s="266"/>
      <c r="G4" s="267"/>
      <c r="H4" s="2"/>
      <c r="I4" s="2"/>
      <c r="J4" s="2"/>
      <c r="K4" s="24" t="str">
        <f>IF(Oct[[#This Row],[Date of Incident]]="","",TEXT(Oct[[#This Row],[Date of Incident]],"ddd"))</f>
        <v/>
      </c>
      <c r="L4" s="1"/>
      <c r="M4" s="24" t="str">
        <f>IFERROR(VLOOKUP(Oct[[#This Row],[Hour]],Shifts[],2,FALSE),"")</f>
        <v/>
      </c>
      <c r="N4" s="2"/>
      <c r="O4" s="24" t="str">
        <f>IFERROR(VLOOKUP(Oct[[#This Row],[BIMS Score]],BIMS[],2,FALSE),"")</f>
        <v/>
      </c>
      <c r="P4" s="3"/>
      <c r="Q4" s="3"/>
      <c r="R4" s="2"/>
      <c r="S4" s="168"/>
      <c r="T4" s="3"/>
      <c r="U4" s="3"/>
      <c r="V4" s="3"/>
    </row>
    <row r="5" spans="1:22" ht="20.85" customHeight="1" x14ac:dyDescent="0.25">
      <c r="A5" s="21"/>
      <c r="B5" s="266"/>
      <c r="C5" s="5"/>
      <c r="D5" s="263"/>
      <c r="E5" s="263"/>
      <c r="F5" s="266"/>
      <c r="G5" s="267"/>
      <c r="H5" s="2"/>
      <c r="I5" s="2"/>
      <c r="J5" s="2"/>
      <c r="K5" s="24" t="str">
        <f>IF(Oct[[#This Row],[Date of Incident]]="","",TEXT(Oct[[#This Row],[Date of Incident]],"ddd"))</f>
        <v/>
      </c>
      <c r="L5" s="1"/>
      <c r="M5" s="24" t="str">
        <f>IFERROR(VLOOKUP(Oct[[#This Row],[Hour]],Shifts[],2,FALSE),"")</f>
        <v/>
      </c>
      <c r="N5" s="2"/>
      <c r="O5" s="24" t="str">
        <f>IFERROR(VLOOKUP(Oct[[#This Row],[BIMS Score]],BIMS[],2,FALSE),"")</f>
        <v/>
      </c>
      <c r="P5" s="3"/>
      <c r="Q5" s="3"/>
      <c r="R5" s="2"/>
      <c r="S5" s="168"/>
      <c r="T5" s="3"/>
      <c r="U5" s="3"/>
      <c r="V5" s="3"/>
    </row>
    <row r="6" spans="1:22" ht="20.85" customHeight="1" x14ac:dyDescent="0.25">
      <c r="A6" s="21"/>
      <c r="B6" s="266"/>
      <c r="C6" s="5"/>
      <c r="D6" s="263"/>
      <c r="E6" s="263"/>
      <c r="F6" s="266"/>
      <c r="G6" s="267"/>
      <c r="H6" s="2"/>
      <c r="I6" s="2"/>
      <c r="J6" s="2"/>
      <c r="K6" s="24" t="str">
        <f>IF(Oct[[#This Row],[Date of Incident]]="","",TEXT(Oct[[#This Row],[Date of Incident]],"ddd"))</f>
        <v/>
      </c>
      <c r="L6" s="1"/>
      <c r="M6" s="24" t="str">
        <f>IFERROR(VLOOKUP(Oct[[#This Row],[Hour]],Shifts[],2,FALSE),"")</f>
        <v/>
      </c>
      <c r="N6" s="2"/>
      <c r="O6" s="24" t="str">
        <f>IFERROR(VLOOKUP(Oct[[#This Row],[BIMS Score]],BIMS[],2,FALSE),"")</f>
        <v/>
      </c>
      <c r="P6" s="3"/>
      <c r="Q6" s="3"/>
      <c r="R6" s="2"/>
      <c r="S6" s="168"/>
      <c r="T6" s="3"/>
      <c r="U6" s="3"/>
      <c r="V6" s="3"/>
    </row>
    <row r="7" spans="1:22" ht="20.85" customHeight="1" x14ac:dyDescent="0.25">
      <c r="A7" s="21"/>
      <c r="B7" s="266"/>
      <c r="C7" s="5"/>
      <c r="D7" s="263"/>
      <c r="E7" s="263"/>
      <c r="F7" s="266"/>
      <c r="G7" s="267"/>
      <c r="H7" s="2"/>
      <c r="I7" s="2"/>
      <c r="J7" s="2"/>
      <c r="K7" s="24" t="str">
        <f>IF(Oct[[#This Row],[Date of Incident]]="","",TEXT(Oct[[#This Row],[Date of Incident]],"ddd"))</f>
        <v/>
      </c>
      <c r="L7" s="1"/>
      <c r="M7" s="24" t="str">
        <f>IFERROR(VLOOKUP(Oct[[#This Row],[Hour]],Shifts[],2,FALSE),"")</f>
        <v/>
      </c>
      <c r="N7" s="2"/>
      <c r="O7" s="24" t="str">
        <f>IFERROR(VLOOKUP(Oct[[#This Row],[BIMS Score]],BIMS[],2,FALSE),"")</f>
        <v/>
      </c>
      <c r="P7" s="3"/>
      <c r="Q7" s="3"/>
      <c r="R7" s="2"/>
      <c r="S7" s="168"/>
      <c r="T7" s="3"/>
      <c r="U7" s="3"/>
      <c r="V7" s="3"/>
    </row>
    <row r="8" spans="1:22" ht="20.85" customHeight="1" x14ac:dyDescent="0.25">
      <c r="A8" s="21"/>
      <c r="B8" s="266"/>
      <c r="C8" s="5"/>
      <c r="D8" s="263"/>
      <c r="E8" s="263"/>
      <c r="F8" s="266"/>
      <c r="G8" s="267"/>
      <c r="H8" s="2"/>
      <c r="I8" s="2"/>
      <c r="J8" s="2"/>
      <c r="K8" s="24" t="str">
        <f>IF(Oct[[#This Row],[Date of Incident]]="","",TEXT(Oct[[#This Row],[Date of Incident]],"ddd"))</f>
        <v/>
      </c>
      <c r="L8" s="1"/>
      <c r="M8" s="24" t="str">
        <f>IFERROR(VLOOKUP(Oct[[#This Row],[Hour]],Shifts[],2,FALSE),"")</f>
        <v/>
      </c>
      <c r="N8" s="2"/>
      <c r="O8" s="24" t="str">
        <f>IFERROR(VLOOKUP(Oct[[#This Row],[BIMS Score]],BIMS[],2,FALSE),"")</f>
        <v/>
      </c>
      <c r="P8" s="3"/>
      <c r="Q8" s="3"/>
      <c r="R8" s="2"/>
      <c r="S8" s="168"/>
      <c r="T8" s="3"/>
      <c r="U8" s="3"/>
      <c r="V8" s="3"/>
    </row>
    <row r="9" spans="1:22" ht="20.85" customHeight="1" x14ac:dyDescent="0.25">
      <c r="A9" s="21"/>
      <c r="B9" s="266"/>
      <c r="C9" s="5"/>
      <c r="D9" s="263"/>
      <c r="E9" s="263"/>
      <c r="F9" s="266"/>
      <c r="G9" s="267"/>
      <c r="H9" s="2"/>
      <c r="I9" s="2"/>
      <c r="J9" s="2"/>
      <c r="K9" s="24" t="str">
        <f>IF(Oct[[#This Row],[Date of Incident]]="","",TEXT(Oct[[#This Row],[Date of Incident]],"ddd"))</f>
        <v/>
      </c>
      <c r="L9" s="1"/>
      <c r="M9" s="24" t="str">
        <f>IFERROR(VLOOKUP(Oct[[#This Row],[Hour]],Shifts[],2,FALSE),"")</f>
        <v/>
      </c>
      <c r="N9" s="2"/>
      <c r="O9" s="24" t="str">
        <f>IFERROR(VLOOKUP(Oct[[#This Row],[BIMS Score]],BIMS[],2,FALSE),"")</f>
        <v/>
      </c>
      <c r="P9" s="3"/>
      <c r="Q9" s="3"/>
      <c r="R9" s="2"/>
      <c r="S9" s="168"/>
      <c r="T9" s="3"/>
      <c r="U9" s="3"/>
      <c r="V9" s="3"/>
    </row>
    <row r="10" spans="1:22" ht="20.85" customHeight="1" x14ac:dyDescent="0.25">
      <c r="A10" s="21"/>
      <c r="B10" s="266"/>
      <c r="C10" s="5"/>
      <c r="D10" s="263"/>
      <c r="E10" s="263"/>
      <c r="F10" s="266"/>
      <c r="G10" s="267"/>
      <c r="H10" s="2"/>
      <c r="I10" s="2"/>
      <c r="J10" s="2"/>
      <c r="K10" s="24" t="str">
        <f>IF(Oct[[#This Row],[Date of Incident]]="","",TEXT(Oct[[#This Row],[Date of Incident]],"ddd"))</f>
        <v/>
      </c>
      <c r="L10" s="1"/>
      <c r="M10" s="24" t="str">
        <f>IFERROR(VLOOKUP(Oct[[#This Row],[Hour]],Shifts[],2,FALSE),"")</f>
        <v/>
      </c>
      <c r="N10" s="2"/>
      <c r="O10" s="24" t="str">
        <f>IFERROR(VLOOKUP(Oct[[#This Row],[BIMS Score]],BIMS[],2,FALSE),"")</f>
        <v/>
      </c>
      <c r="P10" s="3"/>
      <c r="Q10" s="3"/>
      <c r="R10" s="2"/>
      <c r="S10" s="168"/>
      <c r="T10" s="3"/>
      <c r="U10" s="3"/>
      <c r="V10" s="3"/>
    </row>
    <row r="11" spans="1:22" ht="20.85" customHeight="1" x14ac:dyDescent="0.25">
      <c r="A11" s="21"/>
      <c r="B11" s="266"/>
      <c r="C11" s="5"/>
      <c r="D11" s="263"/>
      <c r="E11" s="263"/>
      <c r="F11" s="266"/>
      <c r="G11" s="267"/>
      <c r="H11" s="2"/>
      <c r="I11" s="2"/>
      <c r="J11" s="2"/>
      <c r="K11" s="24" t="str">
        <f>IF(Oct[[#This Row],[Date of Incident]]="","",TEXT(Oct[[#This Row],[Date of Incident]],"ddd"))</f>
        <v/>
      </c>
      <c r="L11" s="1"/>
      <c r="M11" s="24" t="str">
        <f>IFERROR(VLOOKUP(Oct[[#This Row],[Hour]],Shifts[],2,FALSE),"")</f>
        <v/>
      </c>
      <c r="N11" s="2"/>
      <c r="O11" s="24" t="str">
        <f>IFERROR(VLOOKUP(Oct[[#This Row],[BIMS Score]],BIMS[],2,FALSE),"")</f>
        <v/>
      </c>
      <c r="P11" s="3"/>
      <c r="Q11" s="3"/>
      <c r="R11" s="2"/>
      <c r="S11" s="168"/>
      <c r="T11" s="3"/>
      <c r="U11" s="3"/>
      <c r="V11" s="3"/>
    </row>
    <row r="12" spans="1:22" ht="20.85" customHeight="1" x14ac:dyDescent="0.25">
      <c r="A12" s="21"/>
      <c r="B12" s="267"/>
      <c r="C12" s="5"/>
      <c r="D12" s="264"/>
      <c r="E12" s="263"/>
      <c r="F12" s="267"/>
      <c r="G12" s="267"/>
      <c r="H12" s="2"/>
      <c r="I12" s="2"/>
      <c r="J12" s="2"/>
      <c r="K12" s="24" t="str">
        <f>IF(Oct[[#This Row],[Date of Incident]]="","",TEXT(Oct[[#This Row],[Date of Incident]],"ddd"))</f>
        <v/>
      </c>
      <c r="L12" s="1"/>
      <c r="M12" s="24" t="str">
        <f>IFERROR(VLOOKUP(Oct[[#This Row],[Hour]],Shifts[],2,FALSE),"")</f>
        <v/>
      </c>
      <c r="N12" s="2"/>
      <c r="O12" s="24" t="str">
        <f>IFERROR(VLOOKUP(Oct[[#This Row],[BIMS Score]],BIMS[],2,FALSE),"")</f>
        <v/>
      </c>
      <c r="P12" s="3"/>
      <c r="Q12" s="3"/>
      <c r="R12" s="2"/>
      <c r="S12" s="168"/>
      <c r="T12" s="3"/>
      <c r="U12" s="3"/>
      <c r="V12" s="3"/>
    </row>
    <row r="13" spans="1:22" ht="20.85" customHeight="1" x14ac:dyDescent="0.25">
      <c r="A13" s="21"/>
      <c r="B13" s="267"/>
      <c r="C13" s="5"/>
      <c r="D13" s="264"/>
      <c r="E13" s="263"/>
      <c r="F13" s="267"/>
      <c r="G13" s="267"/>
      <c r="H13" s="2"/>
      <c r="I13" s="2"/>
      <c r="J13" s="2"/>
      <c r="K13" s="24" t="str">
        <f>IF(Oct[[#This Row],[Date of Incident]]="","",TEXT(Oct[[#This Row],[Date of Incident]],"ddd"))</f>
        <v/>
      </c>
      <c r="L13" s="1"/>
      <c r="M13" s="24" t="str">
        <f>IFERROR(VLOOKUP(Oct[[#This Row],[Hour]],Shifts[],2,FALSE),"")</f>
        <v/>
      </c>
      <c r="N13" s="2"/>
      <c r="O13" s="24" t="str">
        <f>IFERROR(VLOOKUP(Oct[[#This Row],[BIMS Score]],BIMS[],2,FALSE),"")</f>
        <v/>
      </c>
      <c r="P13" s="3"/>
      <c r="Q13" s="3"/>
      <c r="R13" s="2"/>
      <c r="S13" s="168"/>
      <c r="T13" s="3"/>
      <c r="U13" s="3"/>
      <c r="V13" s="3"/>
    </row>
    <row r="14" spans="1:22" ht="20.85" customHeight="1" x14ac:dyDescent="0.25">
      <c r="A14" s="21"/>
      <c r="B14" s="267"/>
      <c r="C14" s="5"/>
      <c r="D14" s="264"/>
      <c r="E14" s="263"/>
      <c r="F14" s="267"/>
      <c r="G14" s="267"/>
      <c r="H14" s="2"/>
      <c r="I14" s="2"/>
      <c r="J14" s="2"/>
      <c r="K14" s="24" t="str">
        <f>IF(Oct[[#This Row],[Date of Incident]]="","",TEXT(Oct[[#This Row],[Date of Incident]],"ddd"))</f>
        <v/>
      </c>
      <c r="L14" s="1"/>
      <c r="M14" s="24" t="str">
        <f>IFERROR(VLOOKUP(Oct[[#This Row],[Hour]],Shifts[],2,FALSE),"")</f>
        <v/>
      </c>
      <c r="N14" s="2"/>
      <c r="O14" s="24" t="str">
        <f>IFERROR(VLOOKUP(Oct[[#This Row],[BIMS Score]],BIMS[],2,FALSE),"")</f>
        <v/>
      </c>
      <c r="P14" s="3"/>
      <c r="Q14" s="3"/>
      <c r="R14" s="2"/>
      <c r="S14" s="168"/>
      <c r="T14" s="3"/>
      <c r="U14" s="3"/>
      <c r="V14" s="3"/>
    </row>
    <row r="15" spans="1:22" ht="20.85" customHeight="1" x14ac:dyDescent="0.25">
      <c r="A15" s="21"/>
      <c r="B15" s="267"/>
      <c r="C15" s="5"/>
      <c r="D15" s="264"/>
      <c r="E15" s="263"/>
      <c r="F15" s="267"/>
      <c r="G15" s="267"/>
      <c r="H15" s="2"/>
      <c r="I15" s="2"/>
      <c r="J15" s="2"/>
      <c r="K15" s="24" t="str">
        <f>IF(Oct[[#This Row],[Date of Incident]]="","",TEXT(Oct[[#This Row],[Date of Incident]],"ddd"))</f>
        <v/>
      </c>
      <c r="L15" s="1"/>
      <c r="M15" s="24" t="str">
        <f>IFERROR(VLOOKUP(Oct[[#This Row],[Hour]],Shifts[],2,FALSE),"")</f>
        <v/>
      </c>
      <c r="N15" s="2"/>
      <c r="O15" s="24" t="str">
        <f>IFERROR(VLOOKUP(Oct[[#This Row],[BIMS Score]],BIMS[],2,FALSE),"")</f>
        <v/>
      </c>
      <c r="P15" s="3"/>
      <c r="Q15" s="3"/>
      <c r="R15" s="2"/>
      <c r="S15" s="168"/>
      <c r="T15" s="3"/>
      <c r="U15" s="3"/>
      <c r="V15" s="3"/>
    </row>
    <row r="16" spans="1:22" ht="20.85" customHeight="1" x14ac:dyDescent="0.25">
      <c r="A16" s="21"/>
      <c r="B16" s="267"/>
      <c r="C16" s="3"/>
      <c r="D16" s="264"/>
      <c r="E16" s="264"/>
      <c r="F16" s="267"/>
      <c r="G16" s="267"/>
      <c r="H16" s="2"/>
      <c r="I16" s="2"/>
      <c r="J16" s="2"/>
      <c r="K16" s="24" t="str">
        <f>IF(Oct[[#This Row],[Date of Incident]]="","",TEXT(Oct[[#This Row],[Date of Incident]],"ddd"))</f>
        <v/>
      </c>
      <c r="L16" s="1"/>
      <c r="M16" s="24" t="str">
        <f>IFERROR(VLOOKUP(Oct[[#This Row],[Hour]],Shifts[],2,FALSE),"")</f>
        <v/>
      </c>
      <c r="N16" s="2"/>
      <c r="O16" s="24" t="str">
        <f>IFERROR(VLOOKUP(Oct[[#This Row],[BIMS Score]],BIMS[],2,FALSE),"")</f>
        <v/>
      </c>
      <c r="P16" s="3"/>
      <c r="Q16" s="3"/>
      <c r="R16" s="2"/>
      <c r="S16" s="168"/>
      <c r="T16" s="3"/>
      <c r="U16" s="3"/>
      <c r="V16" s="3"/>
    </row>
    <row r="17" spans="1:22" ht="20.85" customHeight="1" x14ac:dyDescent="0.25">
      <c r="A17" s="21"/>
      <c r="B17" s="267"/>
      <c r="C17" s="3"/>
      <c r="D17" s="264"/>
      <c r="E17" s="264"/>
      <c r="F17" s="267"/>
      <c r="G17" s="267"/>
      <c r="H17" s="2"/>
      <c r="I17" s="2"/>
      <c r="J17" s="2"/>
      <c r="K17" s="24" t="str">
        <f>IF(Oct[[#This Row],[Date of Incident]]="","",TEXT(Oct[[#This Row],[Date of Incident]],"ddd"))</f>
        <v/>
      </c>
      <c r="L17" s="1"/>
      <c r="M17" s="24" t="str">
        <f>IFERROR(VLOOKUP(Oct[[#This Row],[Hour]],Shifts[],2,FALSE),"")</f>
        <v/>
      </c>
      <c r="N17" s="2"/>
      <c r="O17" s="24" t="str">
        <f>IFERROR(VLOOKUP(Oct[[#This Row],[BIMS Score]],BIMS[],2,FALSE),"")</f>
        <v/>
      </c>
      <c r="P17" s="3"/>
      <c r="Q17" s="3"/>
      <c r="R17" s="2"/>
      <c r="S17" s="168"/>
      <c r="T17" s="3"/>
      <c r="U17" s="3"/>
      <c r="V17" s="3"/>
    </row>
    <row r="18" spans="1:22" ht="20.85" customHeight="1" x14ac:dyDescent="0.25">
      <c r="A18" s="21"/>
      <c r="B18" s="267"/>
      <c r="C18" s="3"/>
      <c r="D18" s="264"/>
      <c r="E18" s="264"/>
      <c r="F18" s="267"/>
      <c r="G18" s="267"/>
      <c r="H18" s="2"/>
      <c r="I18" s="2"/>
      <c r="J18" s="2"/>
      <c r="K18" s="24" t="str">
        <f>IF(Oct[[#This Row],[Date of Incident]]="","",TEXT(Oct[[#This Row],[Date of Incident]],"ddd"))</f>
        <v/>
      </c>
      <c r="L18" s="1"/>
      <c r="M18" s="24" t="str">
        <f>IFERROR(VLOOKUP(Oct[[#This Row],[Hour]],Shifts[],2,FALSE),"")</f>
        <v/>
      </c>
      <c r="N18" s="2"/>
      <c r="O18" s="24" t="str">
        <f>IFERROR(VLOOKUP(Oct[[#This Row],[BIMS Score]],BIMS[],2,FALSE),"")</f>
        <v/>
      </c>
      <c r="P18" s="3"/>
      <c r="Q18" s="3"/>
      <c r="R18" s="2"/>
      <c r="S18" s="168"/>
      <c r="T18" s="3"/>
      <c r="U18" s="3"/>
      <c r="V18" s="3"/>
    </row>
    <row r="19" spans="1:22" ht="20.85" customHeight="1" x14ac:dyDescent="0.25">
      <c r="A19" s="21"/>
      <c r="B19" s="267"/>
      <c r="C19" s="3"/>
      <c r="D19" s="264"/>
      <c r="E19" s="264"/>
      <c r="F19" s="267"/>
      <c r="G19" s="267"/>
      <c r="H19" s="2"/>
      <c r="I19" s="2"/>
      <c r="J19" s="2"/>
      <c r="K19" s="24" t="str">
        <f>IF(Oct[[#This Row],[Date of Incident]]="","",TEXT(Oct[[#This Row],[Date of Incident]],"ddd"))</f>
        <v/>
      </c>
      <c r="L19" s="1"/>
      <c r="M19" s="24" t="str">
        <f>IFERROR(VLOOKUP(Oct[[#This Row],[Hour]],Shifts[],2,FALSE),"")</f>
        <v/>
      </c>
      <c r="N19" s="2"/>
      <c r="O19" s="24" t="str">
        <f>IFERROR(VLOOKUP(Oct[[#This Row],[BIMS Score]],BIMS[],2,FALSE),"")</f>
        <v/>
      </c>
      <c r="P19" s="3"/>
      <c r="Q19" s="3"/>
      <c r="R19" s="2"/>
      <c r="S19" s="168"/>
      <c r="T19" s="3"/>
      <c r="U19" s="3"/>
      <c r="V19" s="3"/>
    </row>
    <row r="20" spans="1:22" ht="20.85" customHeight="1" x14ac:dyDescent="0.25">
      <c r="A20" s="21"/>
      <c r="B20" s="267"/>
      <c r="C20" s="3"/>
      <c r="D20" s="264"/>
      <c r="E20" s="264"/>
      <c r="F20" s="267"/>
      <c r="G20" s="267"/>
      <c r="H20" s="2"/>
      <c r="I20" s="2"/>
      <c r="J20" s="2"/>
      <c r="K20" s="24" t="str">
        <f>IF(Oct[[#This Row],[Date of Incident]]="","",TEXT(Oct[[#This Row],[Date of Incident]],"ddd"))</f>
        <v/>
      </c>
      <c r="L20" s="1"/>
      <c r="M20" s="24" t="str">
        <f>IFERROR(VLOOKUP(Oct[[#This Row],[Hour]],Shifts[],2,FALSE),"")</f>
        <v/>
      </c>
      <c r="N20" s="2"/>
      <c r="O20" s="24" t="str">
        <f>IFERROR(VLOOKUP(Oct[[#This Row],[BIMS Score]],BIMS[],2,FALSE),"")</f>
        <v/>
      </c>
      <c r="P20" s="3"/>
      <c r="Q20" s="3"/>
      <c r="R20" s="2"/>
      <c r="S20" s="168"/>
      <c r="T20" s="3"/>
      <c r="U20" s="3"/>
      <c r="V20" s="3"/>
    </row>
    <row r="21" spans="1:22" ht="20.85" customHeight="1" x14ac:dyDescent="0.25">
      <c r="A21" s="21"/>
      <c r="B21" s="267"/>
      <c r="C21" s="3"/>
      <c r="D21" s="264"/>
      <c r="E21" s="264"/>
      <c r="F21" s="267"/>
      <c r="G21" s="267"/>
      <c r="H21" s="2"/>
      <c r="I21" s="2"/>
      <c r="J21" s="2"/>
      <c r="K21" s="24" t="str">
        <f>IF(Oct[[#This Row],[Date of Incident]]="","",TEXT(Oct[[#This Row],[Date of Incident]],"ddd"))</f>
        <v/>
      </c>
      <c r="L21" s="1"/>
      <c r="M21" s="24" t="str">
        <f>IFERROR(VLOOKUP(Oct[[#This Row],[Hour]],Shifts[],2,FALSE),"")</f>
        <v/>
      </c>
      <c r="N21" s="2"/>
      <c r="O21" s="24" t="str">
        <f>IFERROR(VLOOKUP(Oct[[#This Row],[BIMS Score]],BIMS[],2,FALSE),"")</f>
        <v/>
      </c>
      <c r="P21" s="3"/>
      <c r="Q21" s="3"/>
      <c r="R21" s="2"/>
      <c r="S21" s="168"/>
      <c r="T21" s="3"/>
      <c r="U21" s="3"/>
      <c r="V21" s="3"/>
    </row>
    <row r="22" spans="1:22" ht="20.85" customHeight="1" x14ac:dyDescent="0.25">
      <c r="A22" s="21"/>
      <c r="B22" s="267"/>
      <c r="C22" s="3"/>
      <c r="D22" s="264"/>
      <c r="E22" s="264"/>
      <c r="F22" s="267"/>
      <c r="G22" s="267"/>
      <c r="H22" s="2"/>
      <c r="I22" s="2"/>
      <c r="J22" s="2"/>
      <c r="K22" s="24" t="str">
        <f>IF(Oct[[#This Row],[Date of Incident]]="","",TEXT(Oct[[#This Row],[Date of Incident]],"ddd"))</f>
        <v/>
      </c>
      <c r="L22" s="1"/>
      <c r="M22" s="24" t="str">
        <f>IFERROR(VLOOKUP(Oct[[#This Row],[Hour]],Shifts[],2,FALSE),"")</f>
        <v/>
      </c>
      <c r="N22" s="1"/>
      <c r="O22" s="24" t="str">
        <f>IFERROR(VLOOKUP(Oct[[#This Row],[BIMS Score]],BIMS[],2,FALSE),"")</f>
        <v/>
      </c>
      <c r="P22" s="3"/>
      <c r="Q22" s="3"/>
      <c r="R22" s="2"/>
      <c r="S22" s="168"/>
      <c r="T22" s="3"/>
      <c r="U22" s="3"/>
      <c r="V22" s="3"/>
    </row>
    <row r="23" spans="1:22" ht="20.85" customHeight="1" x14ac:dyDescent="0.25">
      <c r="A23" s="21"/>
      <c r="B23" s="267"/>
      <c r="C23" s="3"/>
      <c r="D23" s="264"/>
      <c r="E23" s="264"/>
      <c r="F23" s="267"/>
      <c r="G23" s="267"/>
      <c r="H23" s="2"/>
      <c r="I23" s="2"/>
      <c r="J23" s="2"/>
      <c r="K23" s="24" t="str">
        <f>IF(Oct[[#This Row],[Date of Incident]]="","",TEXT(Oct[[#This Row],[Date of Incident]],"ddd"))</f>
        <v/>
      </c>
      <c r="L23" s="1"/>
      <c r="M23" s="24" t="str">
        <f>IFERROR(VLOOKUP(Oct[[#This Row],[Hour]],Shifts[],2,FALSE),"")</f>
        <v/>
      </c>
      <c r="N23" s="1"/>
      <c r="O23" s="24" t="str">
        <f>IFERROR(VLOOKUP(Oct[[#This Row],[BIMS Score]],BIMS[],2,FALSE),"")</f>
        <v/>
      </c>
      <c r="P23" s="3"/>
      <c r="Q23" s="3"/>
      <c r="R23" s="2"/>
      <c r="S23" s="168"/>
      <c r="T23" s="3"/>
      <c r="U23" s="3"/>
      <c r="V23" s="3"/>
    </row>
    <row r="24" spans="1:22" s="10" customFormat="1" ht="20.85" customHeight="1" x14ac:dyDescent="0.25">
      <c r="A24" s="26"/>
      <c r="B24" s="266"/>
      <c r="C24" s="5"/>
      <c r="D24" s="263"/>
      <c r="E24" s="263"/>
      <c r="F24" s="267"/>
      <c r="G24" s="267"/>
      <c r="H24" s="1"/>
      <c r="I24" s="1"/>
      <c r="J24" s="1"/>
      <c r="K24" s="24" t="str">
        <f>IF(Oct[[#This Row],[Date of Incident]]="","",TEXT(Oct[[#This Row],[Date of Incident]],"ddd"))</f>
        <v/>
      </c>
      <c r="L24" s="1"/>
      <c r="M24" s="24" t="str">
        <f>IFERROR(VLOOKUP(Oct[[#This Row],[Hour]],Shifts[],2,FALSE),"")</f>
        <v/>
      </c>
      <c r="N24" s="1"/>
      <c r="O24" s="24" t="str">
        <f>IFERROR(VLOOKUP(Oct[[#This Row],[BIMS Score]],BIMS[],2,FALSE),"")</f>
        <v/>
      </c>
      <c r="P24" s="3"/>
      <c r="Q24" s="3"/>
      <c r="R24" s="2"/>
      <c r="S24" s="168"/>
      <c r="T24" s="5"/>
      <c r="U24" s="5"/>
      <c r="V24" s="3"/>
    </row>
    <row r="25" spans="1:22" ht="20.85" customHeight="1" x14ac:dyDescent="0.25">
      <c r="A25" s="21"/>
      <c r="B25" s="266"/>
      <c r="C25" s="5"/>
      <c r="D25" s="263"/>
      <c r="E25" s="263"/>
      <c r="F25" s="267"/>
      <c r="G25" s="267"/>
      <c r="H25" s="1"/>
      <c r="I25" s="1"/>
      <c r="J25" s="1"/>
      <c r="K25" s="24" t="str">
        <f>IF(Oct[[#This Row],[Date of Incident]]="","",TEXT(Oct[[#This Row],[Date of Incident]],"ddd"))</f>
        <v/>
      </c>
      <c r="L25" s="1"/>
      <c r="M25" s="24" t="str">
        <f>IFERROR(VLOOKUP(Oct[[#This Row],[Hour]],Shifts[],2,FALSE),"")</f>
        <v/>
      </c>
      <c r="N25" s="1"/>
      <c r="O25" s="24" t="str">
        <f>IFERROR(VLOOKUP(Oct[[#This Row],[BIMS Score]],BIMS[],2,FALSE),"")</f>
        <v/>
      </c>
      <c r="P25" s="3"/>
      <c r="Q25" s="3"/>
      <c r="R25" s="2"/>
      <c r="S25" s="168"/>
      <c r="T25" s="5"/>
      <c r="U25" s="5"/>
      <c r="V25" s="3"/>
    </row>
    <row r="26" spans="1:22" ht="20.85" customHeight="1" x14ac:dyDescent="0.25">
      <c r="A26" s="21"/>
      <c r="B26" s="266"/>
      <c r="C26" s="5"/>
      <c r="D26" s="263"/>
      <c r="E26" s="263"/>
      <c r="F26" s="267"/>
      <c r="G26" s="267"/>
      <c r="H26" s="1"/>
      <c r="I26" s="1"/>
      <c r="J26" s="1"/>
      <c r="K26" s="24" t="str">
        <f>IF(Oct[[#This Row],[Date of Incident]]="","",TEXT(Oct[[#This Row],[Date of Incident]],"ddd"))</f>
        <v/>
      </c>
      <c r="L26" s="1"/>
      <c r="M26" s="24" t="str">
        <f>IFERROR(VLOOKUP(Oct[[#This Row],[Hour]],Shifts[],2,FALSE),"")</f>
        <v/>
      </c>
      <c r="N26" s="1"/>
      <c r="O26" s="24" t="str">
        <f>IFERROR(VLOOKUP(Oct[[#This Row],[BIMS Score]],BIMS[],2,FALSE),"")</f>
        <v/>
      </c>
      <c r="P26" s="3"/>
      <c r="Q26" s="3"/>
      <c r="R26" s="2"/>
      <c r="S26" s="168"/>
      <c r="T26" s="5"/>
      <c r="U26" s="5"/>
      <c r="V26" s="3"/>
    </row>
    <row r="27" spans="1:22" ht="20.85" customHeight="1" x14ac:dyDescent="0.25">
      <c r="A27" s="21"/>
      <c r="B27" s="266"/>
      <c r="C27" s="5"/>
      <c r="D27" s="263"/>
      <c r="E27" s="263"/>
      <c r="F27" s="267"/>
      <c r="G27" s="267"/>
      <c r="H27" s="1"/>
      <c r="I27" s="1"/>
      <c r="J27" s="1"/>
      <c r="K27" s="24" t="str">
        <f>IF(Oct[[#This Row],[Date of Incident]]="","",TEXT(Oct[[#This Row],[Date of Incident]],"ddd"))</f>
        <v/>
      </c>
      <c r="L27" s="1"/>
      <c r="M27" s="24" t="str">
        <f>IFERROR(VLOOKUP(Oct[[#This Row],[Hour]],Shifts[],2,FALSE),"")</f>
        <v/>
      </c>
      <c r="N27" s="1"/>
      <c r="O27" s="24" t="str">
        <f>IFERROR(VLOOKUP(Oct[[#This Row],[BIMS Score]],BIMS[],2,FALSE),"")</f>
        <v/>
      </c>
      <c r="P27" s="3"/>
      <c r="Q27" s="3"/>
      <c r="R27" s="2"/>
      <c r="S27" s="168"/>
      <c r="T27" s="5"/>
      <c r="U27" s="5"/>
      <c r="V27" s="3"/>
    </row>
    <row r="28" spans="1:22" ht="20.85" customHeight="1" x14ac:dyDescent="0.25">
      <c r="A28" s="21"/>
      <c r="B28" s="266"/>
      <c r="C28" s="5"/>
      <c r="D28" s="263"/>
      <c r="E28" s="263"/>
      <c r="F28" s="267"/>
      <c r="G28" s="267"/>
      <c r="H28" s="1"/>
      <c r="I28" s="1"/>
      <c r="J28" s="1"/>
      <c r="K28" s="24" t="str">
        <f>IF(Oct[[#This Row],[Date of Incident]]="","",TEXT(Oct[[#This Row],[Date of Incident]],"ddd"))</f>
        <v/>
      </c>
      <c r="L28" s="1"/>
      <c r="M28" s="24" t="str">
        <f>IFERROR(VLOOKUP(Oct[[#This Row],[Hour]],Shifts[],2,FALSE),"")</f>
        <v/>
      </c>
      <c r="N28" s="1"/>
      <c r="O28" s="24" t="str">
        <f>IFERROR(VLOOKUP(Oct[[#This Row],[BIMS Score]],BIMS[],2,FALSE),"")</f>
        <v/>
      </c>
      <c r="P28" s="3"/>
      <c r="Q28" s="3"/>
      <c r="R28" s="2"/>
      <c r="S28" s="168"/>
      <c r="T28" s="5"/>
      <c r="U28" s="5"/>
      <c r="V28" s="3"/>
    </row>
    <row r="29" spans="1:22" ht="20.85" customHeight="1" x14ac:dyDescent="0.25">
      <c r="B29" s="266"/>
      <c r="C29" s="5"/>
      <c r="D29" s="263"/>
      <c r="E29" s="263"/>
      <c r="F29" s="267"/>
      <c r="G29" s="267"/>
      <c r="H29" s="1"/>
      <c r="I29" s="1"/>
      <c r="J29" s="1"/>
      <c r="K29" s="27" t="str">
        <f>IF(Oct[[#This Row],[Date of Incident]]="","",TEXT(Oct[[#This Row],[Date of Incident]],"ddd"))</f>
        <v/>
      </c>
      <c r="L29" s="1"/>
      <c r="M29" s="27" t="str">
        <f>IFERROR(VLOOKUP(Oct[[#This Row],[Hour]],Shifts[],2,FALSE),"")</f>
        <v/>
      </c>
      <c r="N29" s="2"/>
      <c r="O29" s="24" t="str">
        <f>IFERROR(VLOOKUP(Oct[[#This Row],[BIMS Score]],BIMS[],2,FALSE),"")</f>
        <v/>
      </c>
      <c r="P29" s="3"/>
      <c r="Q29" s="3"/>
      <c r="R29" s="2"/>
      <c r="S29" s="168"/>
      <c r="T29" s="5"/>
      <c r="U29" s="5"/>
      <c r="V29" s="5"/>
    </row>
    <row r="30" spans="1:22" ht="20.85" customHeight="1" x14ac:dyDescent="0.25">
      <c r="B30" s="266"/>
      <c r="C30" s="5"/>
      <c r="D30" s="263"/>
      <c r="E30" s="263"/>
      <c r="F30" s="267"/>
      <c r="G30" s="267"/>
      <c r="H30" s="1"/>
      <c r="I30" s="1"/>
      <c r="J30" s="1"/>
      <c r="K30" s="27" t="str">
        <f>IF(Oct[[#This Row],[Date of Incident]]="","",TEXT(Oct[[#This Row],[Date of Incident]],"ddd"))</f>
        <v/>
      </c>
      <c r="L30" s="1"/>
      <c r="M30" s="27" t="str">
        <f>IFERROR(VLOOKUP(Oct[[#This Row],[Hour]],Shifts[],2,FALSE),"")</f>
        <v/>
      </c>
      <c r="N30" s="2"/>
      <c r="O30" s="24" t="str">
        <f>IFERROR(VLOOKUP(Oct[[#This Row],[BIMS Score]],BIMS[],2,FALSE),"")</f>
        <v/>
      </c>
      <c r="P30" s="3"/>
      <c r="Q30" s="3"/>
      <c r="R30" s="2"/>
      <c r="S30" s="168"/>
      <c r="T30" s="5"/>
      <c r="U30" s="5"/>
      <c r="V30" s="5"/>
    </row>
    <row r="31" spans="1:22" ht="20.85" customHeight="1" x14ac:dyDescent="0.25">
      <c r="B31" s="266"/>
      <c r="C31" s="5"/>
      <c r="D31" s="263"/>
      <c r="E31" s="263"/>
      <c r="F31" s="267"/>
      <c r="G31" s="267"/>
      <c r="H31" s="1"/>
      <c r="I31" s="1"/>
      <c r="J31" s="1"/>
      <c r="K31" s="27" t="str">
        <f>IF(Oct[[#This Row],[Date of Incident]]="","",TEXT(Oct[[#This Row],[Date of Incident]],"ddd"))</f>
        <v/>
      </c>
      <c r="L31" s="1"/>
      <c r="M31" s="27" t="str">
        <f>IFERROR(VLOOKUP(Oct[[#This Row],[Hour]],Shifts[],2,FALSE),"")</f>
        <v/>
      </c>
      <c r="N31" s="2"/>
      <c r="O31" s="24" t="str">
        <f>IFERROR(VLOOKUP(Oct[[#This Row],[BIMS Score]],BIMS[],2,FALSE),"")</f>
        <v/>
      </c>
      <c r="P31" s="3"/>
      <c r="Q31" s="3"/>
      <c r="R31" s="2"/>
      <c r="S31" s="168"/>
      <c r="T31" s="5"/>
      <c r="U31" s="5"/>
      <c r="V31" s="5"/>
    </row>
    <row r="32" spans="1:22" ht="20.85" customHeight="1" x14ac:dyDescent="0.25">
      <c r="B32" s="266"/>
      <c r="C32" s="5"/>
      <c r="D32" s="263"/>
      <c r="E32" s="263"/>
      <c r="F32" s="267"/>
      <c r="G32" s="267"/>
      <c r="H32" s="1"/>
      <c r="I32" s="1"/>
      <c r="J32" s="1"/>
      <c r="K32" s="27" t="str">
        <f>IF(Oct[[#This Row],[Date of Incident]]="","",TEXT(Oct[[#This Row],[Date of Incident]],"ddd"))</f>
        <v/>
      </c>
      <c r="L32" s="1"/>
      <c r="M32" s="27" t="str">
        <f>IFERROR(VLOOKUP(Oct[[#This Row],[Hour]],Shifts[],2,FALSE),"")</f>
        <v/>
      </c>
      <c r="N32" s="2"/>
      <c r="O32" s="24" t="str">
        <f>IFERROR(VLOOKUP(Oct[[#This Row],[BIMS Score]],BIMS[],2,FALSE),"")</f>
        <v/>
      </c>
      <c r="P32" s="3"/>
      <c r="Q32" s="3"/>
      <c r="R32" s="2"/>
      <c r="S32" s="168"/>
      <c r="T32" s="5"/>
      <c r="U32" s="5"/>
      <c r="V32" s="5"/>
    </row>
    <row r="33" spans="2:22" ht="20.85" customHeight="1" x14ac:dyDescent="0.25">
      <c r="B33" s="266"/>
      <c r="C33" s="5"/>
      <c r="D33" s="263"/>
      <c r="E33" s="263"/>
      <c r="F33" s="267"/>
      <c r="G33" s="267"/>
      <c r="H33" s="1"/>
      <c r="I33" s="1"/>
      <c r="J33" s="1"/>
      <c r="K33" s="27" t="str">
        <f>IF(Oct[[#This Row],[Date of Incident]]="","",TEXT(Oct[[#This Row],[Date of Incident]],"ddd"))</f>
        <v/>
      </c>
      <c r="L33" s="1"/>
      <c r="M33" s="27" t="str">
        <f>IFERROR(VLOOKUP(Oct[[#This Row],[Hour]],Shifts[],2,FALSE),"")</f>
        <v/>
      </c>
      <c r="N33" s="2"/>
      <c r="O33" s="24" t="str">
        <f>IFERROR(VLOOKUP(Oct[[#This Row],[BIMS Score]],BIMS[],2,FALSE),"")</f>
        <v/>
      </c>
      <c r="P33" s="3"/>
      <c r="Q33" s="3"/>
      <c r="R33" s="2"/>
      <c r="S33" s="168"/>
      <c r="T33" s="5"/>
      <c r="U33" s="5"/>
      <c r="V33" s="5"/>
    </row>
    <row r="34" spans="2:22" ht="20.85" customHeight="1" x14ac:dyDescent="0.25">
      <c r="B34" s="266"/>
      <c r="C34" s="5"/>
      <c r="D34" s="263"/>
      <c r="E34" s="263"/>
      <c r="F34" s="267"/>
      <c r="G34" s="267"/>
      <c r="H34" s="1"/>
      <c r="I34" s="1"/>
      <c r="J34" s="1"/>
      <c r="K34" s="27" t="str">
        <f>IF(Oct[[#This Row],[Date of Incident]]="","",TEXT(Oct[[#This Row],[Date of Incident]],"ddd"))</f>
        <v/>
      </c>
      <c r="L34" s="1"/>
      <c r="M34" s="27" t="str">
        <f>IFERROR(VLOOKUP(Oct[[#This Row],[Hour]],Shifts[],2,FALSE),"")</f>
        <v/>
      </c>
      <c r="N34" s="2"/>
      <c r="O34" s="24" t="str">
        <f>IFERROR(VLOOKUP(Oct[[#This Row],[BIMS Score]],BIMS[],2,FALSE),"")</f>
        <v/>
      </c>
      <c r="P34" s="3"/>
      <c r="Q34" s="3"/>
      <c r="R34" s="2"/>
      <c r="S34" s="168"/>
      <c r="T34" s="5"/>
      <c r="U34" s="5"/>
      <c r="V34" s="5"/>
    </row>
    <row r="35" spans="2:22" ht="20.85" customHeight="1" x14ac:dyDescent="0.25">
      <c r="B35" s="266"/>
      <c r="C35" s="5"/>
      <c r="D35" s="263"/>
      <c r="E35" s="263"/>
      <c r="F35" s="267"/>
      <c r="G35" s="267"/>
      <c r="H35" s="1"/>
      <c r="I35" s="1"/>
      <c r="J35" s="1"/>
      <c r="K35" s="27" t="str">
        <f>IF(Oct[[#This Row],[Date of Incident]]="","",TEXT(Oct[[#This Row],[Date of Incident]],"ddd"))</f>
        <v/>
      </c>
      <c r="L35" s="1"/>
      <c r="M35" s="27" t="str">
        <f>IFERROR(VLOOKUP(Oct[[#This Row],[Hour]],Shifts[],2,FALSE),"")</f>
        <v/>
      </c>
      <c r="N35" s="2"/>
      <c r="O35" s="24" t="str">
        <f>IFERROR(VLOOKUP(Oct[[#This Row],[BIMS Score]],BIMS[],2,FALSE),"")</f>
        <v/>
      </c>
      <c r="P35" s="3"/>
      <c r="Q35" s="3"/>
      <c r="R35" s="2"/>
      <c r="S35" s="168"/>
      <c r="T35" s="5"/>
      <c r="U35" s="5"/>
      <c r="V35" s="5"/>
    </row>
    <row r="36" spans="2:22" ht="20.85" customHeight="1" x14ac:dyDescent="0.25">
      <c r="B36" s="266"/>
      <c r="C36" s="5"/>
      <c r="D36" s="263"/>
      <c r="E36" s="263"/>
      <c r="F36" s="267"/>
      <c r="G36" s="267"/>
      <c r="H36" s="1"/>
      <c r="I36" s="1"/>
      <c r="J36" s="1"/>
      <c r="K36" s="27" t="str">
        <f>IF(Oct[[#This Row],[Date of Incident]]="","",TEXT(Oct[[#This Row],[Date of Incident]],"ddd"))</f>
        <v/>
      </c>
      <c r="L36" s="1"/>
      <c r="M36" s="27" t="str">
        <f>IFERROR(VLOOKUP(Oct[[#This Row],[Hour]],Shifts[],2,FALSE),"")</f>
        <v/>
      </c>
      <c r="N36" s="2"/>
      <c r="O36" s="24" t="str">
        <f>IFERROR(VLOOKUP(Oct[[#This Row],[BIMS Score]],BIMS[],2,FALSE),"")</f>
        <v/>
      </c>
      <c r="P36" s="3"/>
      <c r="Q36" s="3"/>
      <c r="R36" s="2"/>
      <c r="S36" s="168"/>
      <c r="T36" s="5"/>
      <c r="U36" s="5"/>
      <c r="V36" s="5"/>
    </row>
    <row r="37" spans="2:22" ht="20.85" customHeight="1" x14ac:dyDescent="0.25">
      <c r="B37" s="266"/>
      <c r="C37" s="5"/>
      <c r="D37" s="263"/>
      <c r="E37" s="263"/>
      <c r="F37" s="267"/>
      <c r="G37" s="267"/>
      <c r="H37" s="1"/>
      <c r="I37" s="1"/>
      <c r="J37" s="1"/>
      <c r="K37" s="27" t="str">
        <f>IF(Oct[[#This Row],[Date of Incident]]="","",TEXT(Oct[[#This Row],[Date of Incident]],"ddd"))</f>
        <v/>
      </c>
      <c r="L37" s="1"/>
      <c r="M37" s="27" t="str">
        <f>IFERROR(VLOOKUP(Oct[[#This Row],[Hour]],Shifts[],2,FALSE),"")</f>
        <v/>
      </c>
      <c r="N37" s="2"/>
      <c r="O37" s="24" t="str">
        <f>IFERROR(VLOOKUP(Oct[[#This Row],[BIMS Score]],BIMS[],2,FALSE),"")</f>
        <v/>
      </c>
      <c r="P37" s="3"/>
      <c r="Q37" s="3"/>
      <c r="R37" s="2"/>
      <c r="S37" s="168"/>
      <c r="T37" s="5"/>
      <c r="U37" s="5"/>
      <c r="V37" s="5"/>
    </row>
    <row r="38" spans="2:22" ht="20.85" customHeight="1" x14ac:dyDescent="0.25">
      <c r="B38" s="266"/>
      <c r="C38" s="5"/>
      <c r="D38" s="263"/>
      <c r="E38" s="263"/>
      <c r="F38" s="267"/>
      <c r="G38" s="267"/>
      <c r="H38" s="1"/>
      <c r="I38" s="1"/>
      <c r="J38" s="1"/>
      <c r="K38" s="27" t="str">
        <f>IF(Oct[[#This Row],[Date of Incident]]="","",TEXT(Oct[[#This Row],[Date of Incident]],"ddd"))</f>
        <v/>
      </c>
      <c r="L38" s="1"/>
      <c r="M38" s="27" t="str">
        <f>IFERROR(VLOOKUP(Oct[[#This Row],[Hour]],Shifts[],2,FALSE),"")</f>
        <v/>
      </c>
      <c r="N38" s="2"/>
      <c r="O38" s="24" t="str">
        <f>IFERROR(VLOOKUP(Oct[[#This Row],[BIMS Score]],BIMS[],2,FALSE),"")</f>
        <v/>
      </c>
      <c r="P38" s="3"/>
      <c r="Q38" s="3"/>
      <c r="R38" s="2"/>
      <c r="S38" s="168"/>
      <c r="T38" s="5"/>
      <c r="U38" s="5"/>
      <c r="V38" s="5"/>
    </row>
    <row r="39" spans="2:22" ht="20.85" customHeight="1" x14ac:dyDescent="0.25">
      <c r="B39" s="266"/>
      <c r="C39" s="5"/>
      <c r="D39" s="263"/>
      <c r="E39" s="263"/>
      <c r="F39" s="267"/>
      <c r="G39" s="267"/>
      <c r="H39" s="1"/>
      <c r="I39" s="1"/>
      <c r="J39" s="1"/>
      <c r="K39" s="27" t="str">
        <f>IF(Oct[[#This Row],[Date of Incident]]="","",TEXT(Oct[[#This Row],[Date of Incident]],"ddd"))</f>
        <v/>
      </c>
      <c r="L39" s="1"/>
      <c r="M39" s="27" t="str">
        <f>IFERROR(VLOOKUP(Oct[[#This Row],[Hour]],Shifts[],2,FALSE),"")</f>
        <v/>
      </c>
      <c r="N39" s="2"/>
      <c r="O39" s="24" t="str">
        <f>IFERROR(VLOOKUP(Oct[[#This Row],[BIMS Score]],BIMS[],2,FALSE),"")</f>
        <v/>
      </c>
      <c r="P39" s="3"/>
      <c r="Q39" s="3"/>
      <c r="R39" s="2"/>
      <c r="S39" s="168"/>
      <c r="T39" s="5"/>
      <c r="U39" s="5"/>
      <c r="V39" s="5"/>
    </row>
    <row r="40" spans="2:22" ht="20.85" customHeight="1" x14ac:dyDescent="0.25">
      <c r="B40" s="266"/>
      <c r="C40" s="5"/>
      <c r="D40" s="263"/>
      <c r="E40" s="263"/>
      <c r="F40" s="267"/>
      <c r="G40" s="267"/>
      <c r="H40" s="1"/>
      <c r="I40" s="1"/>
      <c r="J40" s="1"/>
      <c r="K40" s="27" t="str">
        <f>IF(Oct[[#This Row],[Date of Incident]]="","",TEXT(Oct[[#This Row],[Date of Incident]],"ddd"))</f>
        <v/>
      </c>
      <c r="L40" s="1"/>
      <c r="M40" s="27" t="str">
        <f>IFERROR(VLOOKUP(Oct[[#This Row],[Hour]],Shifts[],2,FALSE),"")</f>
        <v/>
      </c>
      <c r="N40" s="2"/>
      <c r="O40" s="24" t="str">
        <f>IFERROR(VLOOKUP(Oct[[#This Row],[BIMS Score]],BIMS[],2,FALSE),"")</f>
        <v/>
      </c>
      <c r="P40" s="3"/>
      <c r="Q40" s="3"/>
      <c r="R40" s="2"/>
      <c r="S40" s="168"/>
      <c r="T40" s="5"/>
      <c r="U40" s="5"/>
      <c r="V40" s="5"/>
    </row>
    <row r="41" spans="2:22" x14ac:dyDescent="0.25">
      <c r="B41" s="26"/>
      <c r="C41" s="21"/>
      <c r="D41" s="22"/>
      <c r="E41" s="23"/>
      <c r="F41" s="26"/>
      <c r="G41" s="26"/>
      <c r="H41" s="26"/>
      <c r="I41" s="26"/>
      <c r="J41" s="26"/>
      <c r="K41" s="26"/>
      <c r="L41" s="26"/>
      <c r="M41" s="26"/>
      <c r="N41" s="20"/>
      <c r="O41" s="25"/>
      <c r="P41" s="21"/>
      <c r="Q41" s="21"/>
      <c r="R41" s="25"/>
    </row>
    <row r="42" spans="2:22" x14ac:dyDescent="0.25">
      <c r="B42" s="26"/>
      <c r="C42" s="21"/>
      <c r="D42" s="22"/>
      <c r="E42" s="23"/>
      <c r="F42" s="26"/>
      <c r="G42" s="26"/>
      <c r="H42" s="26"/>
      <c r="I42" s="26"/>
      <c r="J42" s="26"/>
      <c r="K42" s="26"/>
      <c r="L42" s="26"/>
      <c r="M42" s="26"/>
      <c r="N42" s="20"/>
      <c r="O42" s="25"/>
      <c r="P42" s="21"/>
      <c r="Q42" s="21"/>
      <c r="R42" s="25"/>
    </row>
    <row r="43" spans="2:22" x14ac:dyDescent="0.25">
      <c r="B43" s="26"/>
      <c r="C43" s="21"/>
      <c r="D43" s="22"/>
      <c r="E43" s="23"/>
      <c r="F43" s="26"/>
      <c r="G43" s="26"/>
      <c r="H43" s="26"/>
      <c r="I43" s="26"/>
      <c r="J43" s="26"/>
      <c r="K43" s="26"/>
      <c r="L43" s="26"/>
      <c r="M43" s="26"/>
      <c r="N43" s="20"/>
      <c r="O43" s="25"/>
      <c r="P43" s="21"/>
      <c r="Q43" s="21"/>
      <c r="R43" s="25"/>
    </row>
    <row r="44" spans="2:22" x14ac:dyDescent="0.25">
      <c r="B44" s="26"/>
      <c r="C44" s="21"/>
      <c r="D44" s="22"/>
      <c r="E44" s="23"/>
      <c r="F44" s="26"/>
      <c r="G44" s="26"/>
      <c r="H44" s="26"/>
      <c r="I44" s="26"/>
      <c r="J44" s="26"/>
      <c r="K44" s="26"/>
      <c r="L44" s="26"/>
      <c r="M44" s="26"/>
      <c r="N44" s="20"/>
      <c r="O44" s="25"/>
      <c r="P44" s="21"/>
      <c r="Q44" s="21"/>
      <c r="R44" s="25"/>
    </row>
    <row r="45" spans="2:22" x14ac:dyDescent="0.25">
      <c r="B45" s="26"/>
      <c r="C45" s="21"/>
      <c r="D45" s="22"/>
      <c r="E45" s="23"/>
      <c r="F45" s="26"/>
      <c r="G45" s="26"/>
      <c r="H45" s="26"/>
      <c r="I45" s="26"/>
      <c r="J45" s="26"/>
      <c r="K45" s="26"/>
      <c r="L45" s="26"/>
      <c r="M45" s="26"/>
      <c r="N45" s="20"/>
      <c r="O45" s="25"/>
      <c r="P45" s="21"/>
      <c r="Q45" s="21"/>
      <c r="R45" s="25"/>
    </row>
    <row r="46" spans="2:22" x14ac:dyDescent="0.25">
      <c r="B46" s="26"/>
      <c r="C46" s="21"/>
      <c r="D46" s="22"/>
      <c r="E46" s="23"/>
      <c r="F46" s="26"/>
      <c r="G46" s="26"/>
      <c r="H46" s="26"/>
      <c r="I46" s="26"/>
      <c r="J46" s="26"/>
      <c r="K46" s="26"/>
      <c r="L46" s="26"/>
      <c r="M46" s="26"/>
      <c r="N46" s="20"/>
      <c r="O46" s="25"/>
      <c r="P46" s="21"/>
      <c r="Q46" s="21"/>
      <c r="R46" s="25"/>
    </row>
    <row r="47" spans="2:22" x14ac:dyDescent="0.25">
      <c r="B47" s="26"/>
      <c r="C47" s="21"/>
      <c r="D47" s="22"/>
      <c r="E47" s="23"/>
      <c r="F47" s="26"/>
      <c r="G47" s="26"/>
      <c r="H47" s="26"/>
      <c r="I47" s="26"/>
      <c r="J47" s="26"/>
      <c r="K47" s="26"/>
      <c r="L47" s="26"/>
      <c r="M47" s="26"/>
      <c r="N47" s="20"/>
      <c r="O47" s="25"/>
      <c r="P47" s="21"/>
      <c r="Q47" s="21"/>
      <c r="R47" s="25"/>
    </row>
    <row r="48" spans="2:22" x14ac:dyDescent="0.25">
      <c r="B48" s="26"/>
      <c r="C48" s="21"/>
      <c r="D48" s="22"/>
      <c r="E48" s="23"/>
      <c r="F48" s="26"/>
      <c r="G48" s="26"/>
      <c r="H48" s="26"/>
      <c r="I48" s="26"/>
      <c r="J48" s="26"/>
      <c r="K48" s="26"/>
      <c r="L48" s="26"/>
      <c r="M48" s="26"/>
      <c r="N48" s="20"/>
      <c r="O48" s="25"/>
      <c r="P48" s="21"/>
      <c r="Q48" s="21"/>
      <c r="R48" s="25"/>
    </row>
    <row r="49" spans="1:18" x14ac:dyDescent="0.25">
      <c r="B49" s="26"/>
      <c r="C49" s="21"/>
      <c r="D49" s="22"/>
      <c r="E49" s="23"/>
      <c r="F49" s="26"/>
      <c r="G49" s="26"/>
      <c r="H49" s="26"/>
      <c r="I49" s="26"/>
      <c r="J49" s="26"/>
      <c r="K49" s="26"/>
      <c r="L49" s="26"/>
      <c r="M49" s="26"/>
      <c r="N49" s="20"/>
      <c r="O49" s="25"/>
      <c r="P49" s="21"/>
      <c r="Q49" s="21"/>
      <c r="R49" s="25"/>
    </row>
    <row r="50" spans="1:18" ht="15.75" thickBot="1" x14ac:dyDescent="0.3">
      <c r="B50" s="26"/>
      <c r="C50" s="21"/>
      <c r="D50" s="22"/>
      <c r="E50" s="23"/>
      <c r="F50" s="26"/>
      <c r="G50" s="26"/>
      <c r="H50" s="26"/>
      <c r="I50" s="26"/>
      <c r="Q50" s="21"/>
    </row>
    <row r="51" spans="1:18" ht="22.35" customHeight="1" thickBot="1" x14ac:dyDescent="0.3">
      <c r="B51" s="280" t="s">
        <v>85</v>
      </c>
      <c r="C51" s="281"/>
      <c r="D51" s="282"/>
      <c r="F51" s="280" t="s">
        <v>100</v>
      </c>
      <c r="G51" s="281"/>
      <c r="H51" s="282"/>
    </row>
    <row r="52" spans="1:18" ht="15.6" customHeight="1" x14ac:dyDescent="0.25">
      <c r="B52" s="283" t="s">
        <v>83</v>
      </c>
      <c r="C52" s="284"/>
      <c r="D52" s="28" t="s">
        <v>35</v>
      </c>
      <c r="F52" s="283" t="s">
        <v>83</v>
      </c>
      <c r="G52" s="284"/>
      <c r="H52" s="28" t="s">
        <v>35</v>
      </c>
    </row>
    <row r="53" spans="1:18" x14ac:dyDescent="0.25">
      <c r="B53" s="29" t="s">
        <v>41</v>
      </c>
      <c r="C53" s="30"/>
      <c r="D53" s="31">
        <f>COUNTIFS(Oct[Witnessed
Fall?],$B53)</f>
        <v>0</v>
      </c>
      <c r="F53" s="29" t="s">
        <v>79</v>
      </c>
      <c r="G53" s="30"/>
      <c r="H53" s="31">
        <f>COUNTIFS(Oct[Fall Circumstances],$F53)</f>
        <v>0</v>
      </c>
    </row>
    <row r="54" spans="1:18" ht="15.75" thickBot="1" x14ac:dyDescent="0.3">
      <c r="B54" s="32" t="s">
        <v>42</v>
      </c>
      <c r="C54" s="33"/>
      <c r="D54" s="34">
        <f>COUNTIFS(Oct[Witnessed
Fall?],$B54)</f>
        <v>0</v>
      </c>
      <c r="F54" s="29" t="s">
        <v>101</v>
      </c>
      <c r="G54" s="30"/>
      <c r="H54" s="31">
        <f>COUNTIFS(Oct[Fall Circumstances],$F54)</f>
        <v>0</v>
      </c>
    </row>
    <row r="55" spans="1:18" ht="15.6" customHeight="1" thickBot="1" x14ac:dyDescent="0.3">
      <c r="B55" s="285" t="s">
        <v>16</v>
      </c>
      <c r="C55" s="286"/>
      <c r="D55" s="35">
        <f>SUM(D53:D54)</f>
        <v>0</v>
      </c>
      <c r="F55" s="32" t="s">
        <v>102</v>
      </c>
      <c r="G55" s="33"/>
      <c r="H55" s="36">
        <f>COUNTIFS(Oct[Fall Circumstances],$F55)</f>
        <v>0</v>
      </c>
    </row>
    <row r="56" spans="1:18" ht="15.6" customHeight="1" thickBot="1" x14ac:dyDescent="0.3">
      <c r="A56" s="26"/>
      <c r="B56" s="21"/>
      <c r="C56" s="22"/>
      <c r="D56" s="26"/>
      <c r="F56" s="285" t="s">
        <v>16</v>
      </c>
      <c r="G56" s="286"/>
      <c r="H56" s="37">
        <f>SUM(H53:H55)</f>
        <v>0</v>
      </c>
    </row>
    <row r="57" spans="1:18" ht="15.75" thickBot="1" x14ac:dyDescent="0.3">
      <c r="A57" s="26"/>
      <c r="B57" s="21"/>
      <c r="C57" s="22"/>
      <c r="D57" s="26"/>
      <c r="F57" s="26"/>
      <c r="G57" s="21"/>
      <c r="H57" s="22"/>
      <c r="L57" s="21"/>
      <c r="O57" s="22"/>
    </row>
    <row r="58" spans="1:18" ht="15.75" thickBot="1" x14ac:dyDescent="0.3">
      <c r="A58" s="26"/>
      <c r="B58" s="21"/>
      <c r="C58" s="22"/>
      <c r="D58" s="26"/>
      <c r="F58" s="280" t="s">
        <v>103</v>
      </c>
      <c r="G58" s="281"/>
      <c r="H58" s="282"/>
      <c r="L58" s="21"/>
      <c r="O58" s="22"/>
    </row>
    <row r="59" spans="1:18" x14ac:dyDescent="0.25">
      <c r="A59" s="26"/>
      <c r="B59" s="21"/>
      <c r="C59" s="22"/>
      <c r="D59" s="26"/>
      <c r="F59" s="283" t="s">
        <v>26</v>
      </c>
      <c r="G59" s="284"/>
      <c r="H59" s="28" t="s">
        <v>35</v>
      </c>
      <c r="L59" s="21"/>
      <c r="O59" s="22"/>
    </row>
    <row r="60" spans="1:18" ht="15.6" customHeight="1" x14ac:dyDescent="0.25">
      <c r="F60" s="29" t="s">
        <v>142</v>
      </c>
      <c r="G60" s="30"/>
      <c r="H60" s="31">
        <f>COUNTIFS(Oct[Cognitive Impairment],$F60)</f>
        <v>0</v>
      </c>
    </row>
    <row r="61" spans="1:18" x14ac:dyDescent="0.25">
      <c r="F61" s="29" t="s">
        <v>143</v>
      </c>
      <c r="G61" s="30"/>
      <c r="H61" s="31">
        <f>COUNTIFS(Oct[Cognitive Impairment],$F61)</f>
        <v>0</v>
      </c>
    </row>
    <row r="62" spans="1:18" ht="15.75" thickBot="1" x14ac:dyDescent="0.3">
      <c r="F62" s="32" t="s">
        <v>144</v>
      </c>
      <c r="G62" s="33"/>
      <c r="H62" s="31">
        <f>COUNTIFS(Oct[Cognitive Impairment],$F62)</f>
        <v>0</v>
      </c>
    </row>
    <row r="63" spans="1:18" ht="15.75" thickBot="1" x14ac:dyDescent="0.3">
      <c r="F63" s="285" t="s">
        <v>16</v>
      </c>
      <c r="G63" s="286"/>
      <c r="H63" s="37">
        <f>SUM(H60:H62)</f>
        <v>0</v>
      </c>
    </row>
    <row r="64" spans="1:18" ht="15.75" thickBot="1" x14ac:dyDescent="0.3"/>
    <row r="65" spans="1:8" ht="21.4" customHeight="1" thickBot="1" x14ac:dyDescent="0.3">
      <c r="B65" s="280" t="s">
        <v>78</v>
      </c>
      <c r="C65" s="281"/>
      <c r="D65" s="281"/>
      <c r="E65" s="281"/>
      <c r="F65" s="281"/>
      <c r="G65" s="282"/>
    </row>
    <row r="66" spans="1:8" ht="15.6" customHeight="1" x14ac:dyDescent="0.25">
      <c r="A66" s="38"/>
      <c r="B66" s="288" t="s">
        <v>86</v>
      </c>
      <c r="C66" s="289"/>
      <c r="D66" s="289"/>
      <c r="E66" s="289"/>
      <c r="F66" s="290"/>
      <c r="G66" s="28" t="s">
        <v>35</v>
      </c>
    </row>
    <row r="67" spans="1:8" x14ac:dyDescent="0.25">
      <c r="A67" s="38"/>
      <c r="B67" s="39" t="str" cm="1">
        <f t="array" ref="B67:B90">IF(_xlfn._xlws.SORT(PriortoFall[What was the resident doing prior to fall?],1,1,TRUE)=0,"",(_xlfn._xlws.SORT(PriortoFall[What was the resident doing prior to fall?],1,1,TRUE)))</f>
        <v>Ambulating with assistive device (walker, cane, wheelchair)</v>
      </c>
      <c r="C67" s="40"/>
      <c r="D67" s="40"/>
      <c r="E67" s="40"/>
      <c r="F67" s="41"/>
      <c r="G67" s="42">
        <f>IF($B67="",NA(),COUNTIFS(Oct[What was resident doing prior to fall?],$B67))</f>
        <v>0</v>
      </c>
      <c r="H67" s="43"/>
    </row>
    <row r="68" spans="1:8" x14ac:dyDescent="0.25">
      <c r="A68" s="38"/>
      <c r="B68" s="44" t="str">
        <v>Ambulating with staff assistance</v>
      </c>
      <c r="C68" s="45"/>
      <c r="D68" s="45"/>
      <c r="E68" s="45"/>
      <c r="F68" s="46"/>
      <c r="G68" s="42">
        <f>IF($B68="",NA(),COUNTIFS(Oct[What was resident doing prior to fall?],$B68))</f>
        <v>0</v>
      </c>
    </row>
    <row r="69" spans="1:8" x14ac:dyDescent="0.25">
      <c r="A69" s="38"/>
      <c r="B69" s="39" t="str">
        <v>Ambulating without assistance or assistive device</v>
      </c>
      <c r="C69" s="40"/>
      <c r="D69" s="40"/>
      <c r="E69" s="40"/>
      <c r="F69" s="41"/>
      <c r="G69" s="42">
        <f>IF($B69="",NA(),COUNTIFS(Oct[What was resident doing prior to fall?],$B69))</f>
        <v>0</v>
      </c>
    </row>
    <row r="70" spans="1:8" x14ac:dyDescent="0.25">
      <c r="A70" s="38"/>
      <c r="B70" s="44" t="str">
        <v>Changing position (e.g., in bed, chair)</v>
      </c>
      <c r="C70" s="45"/>
      <c r="D70" s="45"/>
      <c r="E70" s="45"/>
      <c r="F70" s="46"/>
      <c r="G70" s="42">
        <f>IF($B70="",NA(),COUNTIFS(Oct[What was resident doing prior to fall?],$B70))</f>
        <v>0</v>
      </c>
    </row>
    <row r="71" spans="1:8" x14ac:dyDescent="0.25">
      <c r="A71" s="38"/>
      <c r="B71" s="44" t="str">
        <v>Dressing or undressing</v>
      </c>
      <c r="C71" s="45"/>
      <c r="D71" s="45"/>
      <c r="E71" s="45"/>
      <c r="F71" s="46"/>
      <c r="G71" s="42">
        <f>IF($B71="",NA(),COUNTIFS(Oct[What was resident doing prior to fall?],$B71))</f>
        <v>0</v>
      </c>
    </row>
    <row r="72" spans="1:8" x14ac:dyDescent="0.25">
      <c r="A72" s="38"/>
      <c r="B72" s="44" t="str">
        <v>Other activity</v>
      </c>
      <c r="C72" s="45"/>
      <c r="D72" s="45"/>
      <c r="E72" s="45"/>
      <c r="F72" s="46"/>
      <c r="G72" s="42">
        <f>IF($B72="",NA(),COUNTIFS(Oct[What was resident doing prior to fall?],$B72))</f>
        <v>0</v>
      </c>
    </row>
    <row r="73" spans="1:8" x14ac:dyDescent="0.25">
      <c r="A73" s="38"/>
      <c r="B73" s="44" t="str">
        <v>Reaching for an item</v>
      </c>
      <c r="C73" s="45"/>
      <c r="D73" s="45"/>
      <c r="E73" s="45"/>
      <c r="F73" s="46"/>
      <c r="G73" s="42">
        <f>IF($B73="",NA(),COUNTIFS(Oct[What was resident doing prior to fall?],$B73))</f>
        <v>0</v>
      </c>
    </row>
    <row r="74" spans="1:8" x14ac:dyDescent="0.25">
      <c r="A74" s="38"/>
      <c r="B74" s="44" t="str">
        <v>Showering or bathing</v>
      </c>
      <c r="C74" s="45"/>
      <c r="D74" s="45"/>
      <c r="E74" s="45"/>
      <c r="F74" s="46"/>
      <c r="G74" s="42">
        <f>IF($B74="",NA(),COUNTIFS(Oct[What was resident doing prior to fall?],$B74))</f>
        <v>0</v>
      </c>
    </row>
    <row r="75" spans="1:8" x14ac:dyDescent="0.25">
      <c r="A75" s="38"/>
      <c r="B75" s="44" t="str">
        <v>Toileting</v>
      </c>
      <c r="C75" s="45"/>
      <c r="D75" s="45"/>
      <c r="E75" s="45"/>
      <c r="F75" s="46"/>
      <c r="G75" s="42">
        <f>IF($B75="",NA(),COUNTIFS(Oct[What was resident doing prior to fall?],$B75))</f>
        <v>0</v>
      </c>
    </row>
    <row r="76" spans="1:8" x14ac:dyDescent="0.25">
      <c r="A76" s="38"/>
      <c r="B76" s="44" t="str">
        <v>Transferring to or from bed, chair, wheelchair, etc.</v>
      </c>
      <c r="C76" s="45"/>
      <c r="D76" s="45"/>
      <c r="E76" s="45"/>
      <c r="F76" s="46"/>
      <c r="G76" s="42">
        <f>IF($B76="",NA(),COUNTIFS(Oct[What was resident doing prior to fall?],$B76))</f>
        <v>0</v>
      </c>
    </row>
    <row r="77" spans="1:8" x14ac:dyDescent="0.25">
      <c r="A77" s="38"/>
      <c r="B77" s="39" t="str">
        <v>Unknown</v>
      </c>
      <c r="C77" s="40"/>
      <c r="D77" s="40"/>
      <c r="E77" s="40"/>
      <c r="F77" s="41"/>
      <c r="G77" s="42">
        <f>IF($B77="",NA(),COUNTIFS(Oct[What was resident doing prior to fall?],$B77))</f>
        <v>0</v>
      </c>
    </row>
    <row r="78" spans="1:8" x14ac:dyDescent="0.25">
      <c r="A78" s="38"/>
      <c r="B78" s="44" t="str">
        <v/>
      </c>
      <c r="C78" s="45"/>
      <c r="D78" s="45"/>
      <c r="E78" s="45"/>
      <c r="F78" s="46"/>
      <c r="G78" s="42" t="e">
        <f>IF($B78="",NA(),COUNTIFS(Oct[What was resident doing prior to fall?],$B78))</f>
        <v>#N/A</v>
      </c>
    </row>
    <row r="79" spans="1:8" x14ac:dyDescent="0.25">
      <c r="A79" s="38"/>
      <c r="B79" s="39" t="str">
        <v/>
      </c>
      <c r="C79" s="40"/>
      <c r="D79" s="40"/>
      <c r="E79" s="40"/>
      <c r="F79" s="41"/>
      <c r="G79" s="42" t="e">
        <f>IF($B79="",NA(),COUNTIFS(Oct[What was resident doing prior to fall?],$B79))</f>
        <v>#N/A</v>
      </c>
    </row>
    <row r="80" spans="1:8" x14ac:dyDescent="0.25">
      <c r="A80" s="38"/>
      <c r="B80" s="44" t="str">
        <v/>
      </c>
      <c r="C80" s="45"/>
      <c r="D80" s="45"/>
      <c r="E80" s="45"/>
      <c r="F80" s="46"/>
      <c r="G80" s="42" t="e">
        <f>IF($B80="",NA(),COUNTIFS(Oct[What was resident doing prior to fall?],$B80))</f>
        <v>#N/A</v>
      </c>
    </row>
    <row r="81" spans="1:7" x14ac:dyDescent="0.25">
      <c r="A81" s="38"/>
      <c r="B81" s="39" t="str">
        <v/>
      </c>
      <c r="C81" s="40"/>
      <c r="D81" s="40"/>
      <c r="E81" s="40"/>
      <c r="F81" s="41"/>
      <c r="G81" s="42" t="e">
        <f>IF($B81="",NA(),COUNTIFS(Oct[What was resident doing prior to fall?],$B81))</f>
        <v>#N/A</v>
      </c>
    </row>
    <row r="82" spans="1:7" x14ac:dyDescent="0.25">
      <c r="A82" s="38"/>
      <c r="B82" s="44" t="str">
        <v/>
      </c>
      <c r="C82" s="45"/>
      <c r="D82" s="45"/>
      <c r="E82" s="45"/>
      <c r="F82" s="46"/>
      <c r="G82" s="42" t="e">
        <f>IF($B82="",NA(),COUNTIFS(Oct[What was resident doing prior to fall?],$B82))</f>
        <v>#N/A</v>
      </c>
    </row>
    <row r="83" spans="1:7" x14ac:dyDescent="0.25">
      <c r="A83" s="38"/>
      <c r="B83" s="39" t="str">
        <v/>
      </c>
      <c r="C83" s="40"/>
      <c r="D83" s="40"/>
      <c r="E83" s="40"/>
      <c r="F83" s="41"/>
      <c r="G83" s="42" t="e">
        <f>IF($B83="",NA(),COUNTIFS(Oct[What was resident doing prior to fall?],$B83))</f>
        <v>#N/A</v>
      </c>
    </row>
    <row r="84" spans="1:7" x14ac:dyDescent="0.25">
      <c r="A84" s="38"/>
      <c r="B84" s="44" t="str">
        <v/>
      </c>
      <c r="C84" s="45"/>
      <c r="D84" s="45"/>
      <c r="E84" s="45"/>
      <c r="F84" s="46"/>
      <c r="G84" s="42" t="e">
        <f>IF($B84="",NA(),COUNTIFS(Oct[What was resident doing prior to fall?],$B84))</f>
        <v>#N/A</v>
      </c>
    </row>
    <row r="85" spans="1:7" x14ac:dyDescent="0.25">
      <c r="A85" s="38"/>
      <c r="B85" s="44" t="str">
        <v/>
      </c>
      <c r="C85" s="45"/>
      <c r="D85" s="45"/>
      <c r="E85" s="45"/>
      <c r="F85" s="46"/>
      <c r="G85" s="42" t="e">
        <f>IF($B85="",NA(),COUNTIFS(Oct[What was resident doing prior to fall?],$B85))</f>
        <v>#N/A</v>
      </c>
    </row>
    <row r="86" spans="1:7" x14ac:dyDescent="0.25">
      <c r="A86" s="38"/>
      <c r="B86" s="39" t="str">
        <v/>
      </c>
      <c r="C86" s="40"/>
      <c r="D86" s="40"/>
      <c r="E86" s="40"/>
      <c r="F86" s="41"/>
      <c r="G86" s="42" t="e">
        <f>IF($B86="",NA(),COUNTIFS(Oct[What was resident doing prior to fall?],$B86))</f>
        <v>#N/A</v>
      </c>
    </row>
    <row r="87" spans="1:7" x14ac:dyDescent="0.25">
      <c r="A87" s="38"/>
      <c r="B87" s="44" t="str">
        <v/>
      </c>
      <c r="C87" s="45"/>
      <c r="D87" s="45"/>
      <c r="E87" s="45"/>
      <c r="F87" s="46"/>
      <c r="G87" s="42" t="e">
        <f>IF($B87="",NA(),COUNTIFS(Oct[What was resident doing prior to fall?],$B87))</f>
        <v>#N/A</v>
      </c>
    </row>
    <row r="88" spans="1:7" x14ac:dyDescent="0.25">
      <c r="A88" s="38"/>
      <c r="B88" s="39" t="str">
        <v/>
      </c>
      <c r="C88" s="40"/>
      <c r="D88" s="40"/>
      <c r="E88" s="40"/>
      <c r="F88" s="41"/>
      <c r="G88" s="42" t="e">
        <f>IF($B88="",NA(),COUNTIFS(Oct[What was resident doing prior to fall?],$B88))</f>
        <v>#N/A</v>
      </c>
    </row>
    <row r="89" spans="1:7" x14ac:dyDescent="0.25">
      <c r="A89" s="38"/>
      <c r="B89" s="44" t="str">
        <v/>
      </c>
      <c r="C89" s="45"/>
      <c r="D89" s="45"/>
      <c r="E89" s="45"/>
      <c r="F89" s="46"/>
      <c r="G89" s="42" t="e">
        <f>IF($B89="",NA(),COUNTIFS(Oct[What was resident doing prior to fall?],$B89))</f>
        <v>#N/A</v>
      </c>
    </row>
    <row r="90" spans="1:7" ht="15.75" thickBot="1" x14ac:dyDescent="0.3">
      <c r="A90" s="38"/>
      <c r="B90" s="47" t="str">
        <v/>
      </c>
      <c r="C90" s="47"/>
      <c r="D90" s="47"/>
      <c r="E90" s="47"/>
      <c r="F90" s="48"/>
      <c r="G90" s="42" t="e">
        <f>IF($B90="",NA(),COUNTIFS(Oct[What was resident doing prior to fall?],$B90))</f>
        <v>#N/A</v>
      </c>
    </row>
    <row r="91" spans="1:7" ht="15.6" customHeight="1" thickBot="1" x14ac:dyDescent="0.3">
      <c r="B91" s="285" t="s">
        <v>35</v>
      </c>
      <c r="C91" s="286"/>
      <c r="D91" s="286"/>
      <c r="E91" s="286"/>
      <c r="F91" s="287"/>
      <c r="G91" s="37">
        <f>_xlfn.AGGREGATE(9,6,G67:G90)</f>
        <v>0</v>
      </c>
    </row>
    <row r="92" spans="1:7" ht="15.75" thickBot="1" x14ac:dyDescent="0.3"/>
    <row r="93" spans="1:7" ht="22.35" customHeight="1" thickBot="1" x14ac:dyDescent="0.3">
      <c r="B93" s="293" t="s">
        <v>173</v>
      </c>
      <c r="C93" s="294"/>
      <c r="D93" s="295"/>
    </row>
    <row r="94" spans="1:7" x14ac:dyDescent="0.25">
      <c r="A94" s="38"/>
      <c r="B94" s="298" t="s">
        <v>1</v>
      </c>
      <c r="C94" s="299"/>
      <c r="D94" s="49" t="s">
        <v>35</v>
      </c>
    </row>
    <row r="95" spans="1:7" x14ac:dyDescent="0.25">
      <c r="A95" s="38"/>
      <c r="B95" s="50" t="str" cm="1">
        <f t="array" ref="B95:B105">IF(_xlfn._xlws.SORT(Location[Location],1,1,TRUE)=0,"",(_xlfn._xlws.SORT(Location[Location],1,1,TRUE)))</f>
        <v>Activity Room</v>
      </c>
      <c r="C95" s="51"/>
      <c r="D95" s="52">
        <f>IF($B95="",NA(),COUNTIFS(Oct[Location],$B95))</f>
        <v>0</v>
      </c>
    </row>
    <row r="96" spans="1:7" x14ac:dyDescent="0.25">
      <c r="A96" s="38"/>
      <c r="B96" s="50" t="str">
        <v>Bedroom</v>
      </c>
      <c r="C96" s="51"/>
      <c r="D96" s="52">
        <f>IF($B96="",NA(),COUNTIFS(Oct[Location],$B96))</f>
        <v>0</v>
      </c>
    </row>
    <row r="97" spans="1:4" x14ac:dyDescent="0.25">
      <c r="A97" s="38"/>
      <c r="B97" s="50" t="str">
        <v>Bathroom</v>
      </c>
      <c r="C97" s="51"/>
      <c r="D97" s="52">
        <f>IF($B97="",NA(),COUNTIFS(Oct[Location],$B97))</f>
        <v>0</v>
      </c>
    </row>
    <row r="98" spans="1:4" x14ac:dyDescent="0.25">
      <c r="A98" s="38"/>
      <c r="B98" s="50" t="str">
        <v>Hallway</v>
      </c>
      <c r="C98" s="51"/>
      <c r="D98" s="52">
        <f>IF($B98="",NA(),COUNTIFS(Oct[Location],$B98))</f>
        <v>0</v>
      </c>
    </row>
    <row r="99" spans="1:4" x14ac:dyDescent="0.25">
      <c r="A99" s="38"/>
      <c r="B99" s="50" t="str">
        <v>Offsite</v>
      </c>
      <c r="C99" s="51"/>
      <c r="D99" s="52">
        <f>IF($B99="",NA(),COUNTIFS(Oct[Location],$B99))</f>
        <v>0</v>
      </c>
    </row>
    <row r="100" spans="1:4" x14ac:dyDescent="0.25">
      <c r="A100" s="38"/>
      <c r="B100" s="53" t="str">
        <v>Shower Room</v>
      </c>
      <c r="C100" s="54"/>
      <c r="D100" s="52">
        <f>IF($B100="",NA(),COUNTIFS(Oct[Location],$B100))</f>
        <v>0</v>
      </c>
    </row>
    <row r="101" spans="1:4" x14ac:dyDescent="0.25">
      <c r="A101" s="38"/>
      <c r="B101" s="55" t="str">
        <v>Dining Room</v>
      </c>
      <c r="C101" s="56"/>
      <c r="D101" s="52">
        <f>IF($B101="",NA(),COUNTIFS(Oct[Location],$B101))</f>
        <v>0</v>
      </c>
    </row>
    <row r="102" spans="1:4" x14ac:dyDescent="0.25">
      <c r="A102" s="38"/>
      <c r="B102" s="57" t="str">
        <v/>
      </c>
      <c r="C102" s="58"/>
      <c r="D102" s="52" t="e">
        <f>IF($B102="",NA(),COUNTIFS(Oct[Location],$B102))</f>
        <v>#N/A</v>
      </c>
    </row>
    <row r="103" spans="1:4" x14ac:dyDescent="0.25">
      <c r="A103" s="38"/>
      <c r="B103" s="59" t="str">
        <v/>
      </c>
      <c r="C103" s="51"/>
      <c r="D103" s="52" t="e">
        <f>IF($B103="",NA(),COUNTIFS(Oct[Location],$B103))</f>
        <v>#N/A</v>
      </c>
    </row>
    <row r="104" spans="1:4" x14ac:dyDescent="0.25">
      <c r="A104" s="38"/>
      <c r="B104" s="53" t="str">
        <v/>
      </c>
      <c r="C104" s="60"/>
      <c r="D104" s="52" t="e">
        <f>IF($B104="",NA(),COUNTIFS(Oct[Location],$B104))</f>
        <v>#N/A</v>
      </c>
    </row>
    <row r="105" spans="1:4" ht="15.75" thickBot="1" x14ac:dyDescent="0.3">
      <c r="A105" s="38"/>
      <c r="B105" s="59" t="str">
        <v/>
      </c>
      <c r="C105" s="61"/>
      <c r="D105" s="52" t="e">
        <f>IF($B105="",NA(),COUNTIFS(Oct[Location],$B105))</f>
        <v>#N/A</v>
      </c>
    </row>
    <row r="106" spans="1:4" ht="15.75" thickBot="1" x14ac:dyDescent="0.3">
      <c r="B106" s="296" t="s">
        <v>16</v>
      </c>
      <c r="C106" s="297"/>
      <c r="D106" s="37">
        <f>_xlfn.AGGREGATE(9,6,D95:D105)</f>
        <v>0</v>
      </c>
    </row>
    <row r="107" spans="1:4" ht="15.75" thickBot="1" x14ac:dyDescent="0.3"/>
    <row r="108" spans="1:4" ht="21.4" customHeight="1" thickBot="1" x14ac:dyDescent="0.3">
      <c r="B108" s="280" t="str">
        <f>"Falls by Nursing Station "</f>
        <v xml:space="preserve">Falls by Nursing Station </v>
      </c>
      <c r="C108" s="281"/>
      <c r="D108" s="282"/>
    </row>
    <row r="109" spans="1:4" ht="15.75" x14ac:dyDescent="0.25">
      <c r="B109" s="291" t="s">
        <v>2</v>
      </c>
      <c r="C109" s="291"/>
      <c r="D109" s="28" t="s">
        <v>35</v>
      </c>
    </row>
    <row r="110" spans="1:4" x14ac:dyDescent="0.25">
      <c r="B110" s="62" cm="1">
        <f t="array" ref="B110:B120">IF(_xlfn._xlws.SORT(NS[Nurses Stations],1,1,TRUE)=0,"",(_xlfn._xlws.SORT(NS[Nurses Stations],1,1,TRUE)))</f>
        <v>1</v>
      </c>
      <c r="C110" s="63"/>
      <c r="D110" s="31">
        <f>IF($B110="",NA(),COUNTIFS(Oct[Station],$B110))</f>
        <v>0</v>
      </c>
    </row>
    <row r="111" spans="1:4" x14ac:dyDescent="0.25">
      <c r="B111" s="62">
        <v>2</v>
      </c>
      <c r="C111" s="63"/>
      <c r="D111" s="31">
        <f>IF($B111="",NA(),COUNTIFS(Oct[Station],$B111))</f>
        <v>0</v>
      </c>
    </row>
    <row r="112" spans="1:4" x14ac:dyDescent="0.25">
      <c r="B112" s="62">
        <v>3</v>
      </c>
      <c r="C112" s="63"/>
      <c r="D112" s="31">
        <f>IF($B112="",NA(),COUNTIFS(Oct[Station],$B112))</f>
        <v>0</v>
      </c>
    </row>
    <row r="113" spans="2:4" x14ac:dyDescent="0.25">
      <c r="B113" s="62">
        <v>4</v>
      </c>
      <c r="C113" s="63"/>
      <c r="D113" s="31">
        <f>IF($B113="",NA(),COUNTIFS(Oct[Station],$B113))</f>
        <v>0</v>
      </c>
    </row>
    <row r="114" spans="2:4" x14ac:dyDescent="0.25">
      <c r="B114" s="62">
        <v>5</v>
      </c>
      <c r="C114" s="63"/>
      <c r="D114" s="31">
        <f>IF($B114="",NA(),COUNTIFS(Oct[Station],$B114))</f>
        <v>0</v>
      </c>
    </row>
    <row r="115" spans="2:4" x14ac:dyDescent="0.25">
      <c r="B115" s="62" t="str">
        <v/>
      </c>
      <c r="C115" s="63"/>
      <c r="D115" s="31" t="e">
        <f>IF($B115="",NA(),COUNTIFS(Oct[Station],$B115))</f>
        <v>#N/A</v>
      </c>
    </row>
    <row r="116" spans="2:4" x14ac:dyDescent="0.25">
      <c r="B116" s="62" t="str">
        <v/>
      </c>
      <c r="C116" s="63"/>
      <c r="D116" s="31" t="e">
        <f>IF($B116="",NA(),COUNTIFS(Oct[Station],$B116))</f>
        <v>#N/A</v>
      </c>
    </row>
    <row r="117" spans="2:4" x14ac:dyDescent="0.25">
      <c r="B117" s="62" t="str">
        <v/>
      </c>
      <c r="C117" s="63"/>
      <c r="D117" s="31" t="e">
        <f>IF($B117="",NA(),COUNTIFS(Oct[Station],$B117))</f>
        <v>#N/A</v>
      </c>
    </row>
    <row r="118" spans="2:4" x14ac:dyDescent="0.25">
      <c r="B118" s="62" t="str">
        <v/>
      </c>
      <c r="C118" s="63"/>
      <c r="D118" s="31" t="e">
        <f>IF($B118="",NA(),COUNTIFS(Oct[Station],$B118))</f>
        <v>#N/A</v>
      </c>
    </row>
    <row r="119" spans="2:4" x14ac:dyDescent="0.25">
      <c r="B119" s="62" t="str">
        <v/>
      </c>
      <c r="C119" s="63"/>
      <c r="D119" s="31" t="e">
        <f>IF($B119="",NA(),COUNTIFS(Oct[Station],$B119))</f>
        <v>#N/A</v>
      </c>
    </row>
    <row r="120" spans="2:4" ht="15.75" thickBot="1" x14ac:dyDescent="0.3">
      <c r="B120" s="64" t="str">
        <v/>
      </c>
      <c r="C120" s="63"/>
      <c r="D120" s="31" t="e">
        <f>IF($B120="",NA(),COUNTIFS(Oct[Station],$B120))</f>
        <v>#N/A</v>
      </c>
    </row>
    <row r="121" spans="2:4" ht="15.6" customHeight="1" thickBot="1" x14ac:dyDescent="0.3">
      <c r="B121" s="285" t="s">
        <v>16</v>
      </c>
      <c r="C121" s="286"/>
      <c r="D121" s="37">
        <f>_xlfn.AGGREGATE(9,6,D110:D120)</f>
        <v>0</v>
      </c>
    </row>
    <row r="122" spans="2:4" ht="15.6" customHeight="1" thickBot="1" x14ac:dyDescent="0.3">
      <c r="B122" s="65"/>
      <c r="C122" s="66"/>
      <c r="D122" s="67"/>
    </row>
    <row r="123" spans="2:4" ht="21.95" customHeight="1" thickBot="1" x14ac:dyDescent="0.3">
      <c r="B123" s="280" t="str">
        <f>"Falls by Day of the Week "</f>
        <v xml:space="preserve">Falls by Day of the Week </v>
      </c>
      <c r="C123" s="281"/>
      <c r="D123" s="282"/>
    </row>
    <row r="124" spans="2:4" ht="15.75" x14ac:dyDescent="0.25">
      <c r="B124" s="291" t="s">
        <v>3</v>
      </c>
      <c r="C124" s="291"/>
      <c r="D124" s="28" t="s">
        <v>35</v>
      </c>
    </row>
    <row r="125" spans="2:4" x14ac:dyDescent="0.25">
      <c r="B125" s="292" t="s">
        <v>46</v>
      </c>
      <c r="C125" s="292"/>
      <c r="D125" s="31">
        <f>COUNTIFS(Oct[Day],$B125)</f>
        <v>0</v>
      </c>
    </row>
    <row r="126" spans="2:4" x14ac:dyDescent="0.25">
      <c r="B126" s="292" t="s">
        <v>47</v>
      </c>
      <c r="C126" s="292"/>
      <c r="D126" s="31">
        <f>COUNTIFS(Oct[Day],$B126)</f>
        <v>0</v>
      </c>
    </row>
    <row r="127" spans="2:4" x14ac:dyDescent="0.25">
      <c r="B127" s="292" t="s">
        <v>52</v>
      </c>
      <c r="C127" s="292"/>
      <c r="D127" s="31">
        <f>COUNTIFS(Oct[Day],$B127)</f>
        <v>0</v>
      </c>
    </row>
    <row r="128" spans="2:4" x14ac:dyDescent="0.25">
      <c r="B128" s="292" t="s">
        <v>48</v>
      </c>
      <c r="C128" s="292"/>
      <c r="D128" s="31">
        <f>COUNTIFS(Oct[Day],$B128)</f>
        <v>0</v>
      </c>
    </row>
    <row r="129" spans="2:4" x14ac:dyDescent="0.25">
      <c r="B129" s="292" t="s">
        <v>51</v>
      </c>
      <c r="C129" s="292"/>
      <c r="D129" s="31">
        <f>COUNTIFS(Oct[Day],$B129)</f>
        <v>0</v>
      </c>
    </row>
    <row r="130" spans="2:4" x14ac:dyDescent="0.25">
      <c r="B130" s="292" t="s">
        <v>49</v>
      </c>
      <c r="C130" s="292"/>
      <c r="D130" s="31">
        <f>COUNTIFS(Oct[Day],$B130)</f>
        <v>0</v>
      </c>
    </row>
    <row r="131" spans="2:4" ht="15.75" thickBot="1" x14ac:dyDescent="0.3">
      <c r="B131" s="292" t="s">
        <v>50</v>
      </c>
      <c r="C131" s="292"/>
      <c r="D131" s="34">
        <f>COUNTIFS(Oct[Day],$B131)</f>
        <v>0</v>
      </c>
    </row>
    <row r="132" spans="2:4" ht="15.6" customHeight="1" thickBot="1" x14ac:dyDescent="0.3">
      <c r="B132" s="285" t="s">
        <v>16</v>
      </c>
      <c r="C132" s="286"/>
      <c r="D132" s="35">
        <f>SUM(D125:D131)</f>
        <v>0</v>
      </c>
    </row>
    <row r="133" spans="2:4" ht="15.75" thickBot="1" x14ac:dyDescent="0.3"/>
    <row r="134" spans="2:4" ht="21.4" customHeight="1" thickBot="1" x14ac:dyDescent="0.3">
      <c r="B134" s="280" t="str">
        <f>"Falls by Shift"</f>
        <v>Falls by Shift</v>
      </c>
      <c r="C134" s="281"/>
      <c r="D134" s="282"/>
    </row>
    <row r="135" spans="2:4" ht="15.75" x14ac:dyDescent="0.25">
      <c r="B135" s="291" t="s">
        <v>34</v>
      </c>
      <c r="C135" s="291"/>
      <c r="D135" s="28" t="s">
        <v>35</v>
      </c>
    </row>
    <row r="136" spans="2:4" x14ac:dyDescent="0.25">
      <c r="B136" s="29" t="str" cm="1">
        <f t="array" ref="B136:B140">IF(_xlfn._xlws.SORT('Data Validation'!P3:P7,1,1,TRUE)=0,"",(_xlfn._xlws.SORT('Data Validation'!P3:P7,1,1,TRUE)))</f>
        <v>11-7</v>
      </c>
      <c r="C136" s="58"/>
      <c r="D136" s="31">
        <f>IF($B136="",NA(),COUNTIFS(Oct[Shift],$B136))</f>
        <v>0</v>
      </c>
    </row>
    <row r="137" spans="2:4" x14ac:dyDescent="0.25">
      <c r="B137" s="29" t="str">
        <v>11–7</v>
      </c>
      <c r="C137" s="58"/>
      <c r="D137" s="31">
        <f>IF($B137="",NA(),COUNTIFS(Oct[Shift],$B137))</f>
        <v>0</v>
      </c>
    </row>
    <row r="138" spans="2:4" x14ac:dyDescent="0.25">
      <c r="B138" s="29" t="str">
        <v>7–3</v>
      </c>
      <c r="C138" s="58"/>
      <c r="D138" s="31">
        <f>IF($B138="",NA(),COUNTIFS(Oct[Shift],$B138))</f>
        <v>0</v>
      </c>
    </row>
    <row r="139" spans="2:4" x14ac:dyDescent="0.25">
      <c r="B139" s="29" t="str">
        <v>3–11</v>
      </c>
      <c r="C139" s="58"/>
      <c r="D139" s="31">
        <f>IF($B139="",NA(),COUNTIFS(Oct[Shift],$B139))</f>
        <v>0</v>
      </c>
    </row>
    <row r="140" spans="2:4" ht="15.75" thickBot="1" x14ac:dyDescent="0.3">
      <c r="B140" s="29" t="str">
        <v/>
      </c>
      <c r="C140" s="68"/>
      <c r="D140" s="34" t="e">
        <f>IF($B140="",NA(),COUNTIFS(Oct[Shift],$B140))</f>
        <v>#N/A</v>
      </c>
    </row>
    <row r="141" spans="2:4" ht="15.75" thickBot="1" x14ac:dyDescent="0.3">
      <c r="B141" s="285" t="s">
        <v>16</v>
      </c>
      <c r="C141" s="286"/>
      <c r="D141" s="35">
        <f>_xlfn.AGGREGATE(9,6,D136:D140)</f>
        <v>0</v>
      </c>
    </row>
    <row r="142" spans="2:4" ht="15.75" thickBot="1" x14ac:dyDescent="0.3"/>
    <row r="143" spans="2:4" ht="21.4" customHeight="1" thickBot="1" x14ac:dyDescent="0.3">
      <c r="B143" s="280" t="str">
        <f>"Falls by Hour "</f>
        <v xml:space="preserve">Falls by Hour </v>
      </c>
      <c r="C143" s="281"/>
      <c r="D143" s="282"/>
    </row>
    <row r="144" spans="2:4" ht="15.75" x14ac:dyDescent="0.25">
      <c r="B144" s="291" t="s">
        <v>33</v>
      </c>
      <c r="C144" s="291"/>
      <c r="D144" s="28" t="s">
        <v>35</v>
      </c>
    </row>
    <row r="145" spans="2:4" x14ac:dyDescent="0.25">
      <c r="B145" s="292" t="s">
        <v>115</v>
      </c>
      <c r="C145" s="292"/>
      <c r="D145" s="31">
        <f>COUNTIFS(Oct[Hour],$B145)</f>
        <v>0</v>
      </c>
    </row>
    <row r="146" spans="2:4" x14ac:dyDescent="0.25">
      <c r="B146" s="292" t="s">
        <v>116</v>
      </c>
      <c r="C146" s="292"/>
      <c r="D146" s="31">
        <f>COUNTIFS(Oct[Hour],$B146)</f>
        <v>0</v>
      </c>
    </row>
    <row r="147" spans="2:4" x14ac:dyDescent="0.25">
      <c r="B147" s="292" t="s">
        <v>117</v>
      </c>
      <c r="C147" s="292"/>
      <c r="D147" s="31">
        <f>COUNTIFS(Oct[Hour],$B147)</f>
        <v>0</v>
      </c>
    </row>
    <row r="148" spans="2:4" x14ac:dyDescent="0.25">
      <c r="B148" s="292" t="s">
        <v>118</v>
      </c>
      <c r="C148" s="292"/>
      <c r="D148" s="31">
        <f>COUNTIFS(Oct[Hour],$B148)</f>
        <v>0</v>
      </c>
    </row>
    <row r="149" spans="2:4" x14ac:dyDescent="0.25">
      <c r="B149" s="292" t="s">
        <v>119</v>
      </c>
      <c r="C149" s="292"/>
      <c r="D149" s="31">
        <f>COUNTIFS(Oct[Hour],$B149)</f>
        <v>0</v>
      </c>
    </row>
    <row r="150" spans="2:4" x14ac:dyDescent="0.25">
      <c r="B150" s="292" t="s">
        <v>120</v>
      </c>
      <c r="C150" s="292"/>
      <c r="D150" s="31">
        <f>COUNTIFS(Oct[Hour],$B150)</f>
        <v>0</v>
      </c>
    </row>
    <row r="151" spans="2:4" x14ac:dyDescent="0.25">
      <c r="B151" s="292" t="s">
        <v>121</v>
      </c>
      <c r="C151" s="292"/>
      <c r="D151" s="31">
        <f>COUNTIFS(Oct[Hour],$B151)</f>
        <v>0</v>
      </c>
    </row>
    <row r="152" spans="2:4" x14ac:dyDescent="0.25">
      <c r="B152" s="292" t="s">
        <v>122</v>
      </c>
      <c r="C152" s="292"/>
      <c r="D152" s="31">
        <f>COUNTIFS(Oct[Hour],$B152)</f>
        <v>0</v>
      </c>
    </row>
    <row r="153" spans="2:4" x14ac:dyDescent="0.25">
      <c r="B153" s="292" t="s">
        <v>123</v>
      </c>
      <c r="C153" s="292"/>
      <c r="D153" s="31">
        <f>COUNTIFS(Oct[Hour],$B153)</f>
        <v>0</v>
      </c>
    </row>
    <row r="154" spans="2:4" x14ac:dyDescent="0.25">
      <c r="B154" s="292" t="s">
        <v>124</v>
      </c>
      <c r="C154" s="292"/>
      <c r="D154" s="31">
        <f>COUNTIFS(Oct[Hour],$B154)</f>
        <v>0</v>
      </c>
    </row>
    <row r="155" spans="2:4" x14ac:dyDescent="0.25">
      <c r="B155" s="292" t="s">
        <v>125</v>
      </c>
      <c r="C155" s="292"/>
      <c r="D155" s="31">
        <f>COUNTIFS(Oct[Hour],$B155)</f>
        <v>0</v>
      </c>
    </row>
    <row r="156" spans="2:4" x14ac:dyDescent="0.25">
      <c r="B156" s="292" t="s">
        <v>126</v>
      </c>
      <c r="C156" s="292"/>
      <c r="D156" s="31">
        <f>COUNTIFS(Oct[Hour],$B156)</f>
        <v>0</v>
      </c>
    </row>
    <row r="157" spans="2:4" x14ac:dyDescent="0.25">
      <c r="B157" s="292" t="s">
        <v>127</v>
      </c>
      <c r="C157" s="292"/>
      <c r="D157" s="31">
        <f>COUNTIFS(Oct[Hour],$B157)</f>
        <v>0</v>
      </c>
    </row>
    <row r="158" spans="2:4" x14ac:dyDescent="0.25">
      <c r="B158" s="292" t="s">
        <v>128</v>
      </c>
      <c r="C158" s="292"/>
      <c r="D158" s="31">
        <f>COUNTIFS(Oct[Hour],$B158)</f>
        <v>0</v>
      </c>
    </row>
    <row r="159" spans="2:4" x14ac:dyDescent="0.25">
      <c r="B159" s="292" t="s">
        <v>129</v>
      </c>
      <c r="C159" s="292"/>
      <c r="D159" s="31">
        <f>COUNTIFS(Oct[Hour],$B159)</f>
        <v>0</v>
      </c>
    </row>
    <row r="160" spans="2:4" x14ac:dyDescent="0.25">
      <c r="B160" s="292" t="s">
        <v>130</v>
      </c>
      <c r="C160" s="292"/>
      <c r="D160" s="31">
        <f>COUNTIFS(Oct[Hour],$B160)</f>
        <v>0</v>
      </c>
    </row>
    <row r="161" spans="1:8" x14ac:dyDescent="0.25">
      <c r="B161" s="292" t="s">
        <v>131</v>
      </c>
      <c r="C161" s="292"/>
      <c r="D161" s="31">
        <f>COUNTIFS(Oct[Hour],$B161)</f>
        <v>0</v>
      </c>
    </row>
    <row r="162" spans="1:8" x14ac:dyDescent="0.25">
      <c r="B162" s="292" t="s">
        <v>132</v>
      </c>
      <c r="C162" s="292"/>
      <c r="D162" s="31">
        <f>COUNTIFS(Oct[Hour],$B162)</f>
        <v>0</v>
      </c>
    </row>
    <row r="163" spans="1:8" x14ac:dyDescent="0.25">
      <c r="B163" s="292" t="s">
        <v>133</v>
      </c>
      <c r="C163" s="292"/>
      <c r="D163" s="31">
        <f>COUNTIFS(Oct[Hour],$B163)</f>
        <v>0</v>
      </c>
    </row>
    <row r="164" spans="1:8" x14ac:dyDescent="0.25">
      <c r="B164" s="292" t="s">
        <v>134</v>
      </c>
      <c r="C164" s="292"/>
      <c r="D164" s="31">
        <f>COUNTIFS(Oct[Hour],$B164)</f>
        <v>0</v>
      </c>
    </row>
    <row r="165" spans="1:8" x14ac:dyDescent="0.25">
      <c r="B165" s="292" t="s">
        <v>135</v>
      </c>
      <c r="C165" s="292"/>
      <c r="D165" s="31">
        <f>COUNTIFS(Oct[Hour],$B165)</f>
        <v>0</v>
      </c>
    </row>
    <row r="166" spans="1:8" x14ac:dyDescent="0.25">
      <c r="B166" s="292" t="s">
        <v>136</v>
      </c>
      <c r="C166" s="292"/>
      <c r="D166" s="31">
        <f>COUNTIFS(Oct[Hour],$B166)</f>
        <v>0</v>
      </c>
    </row>
    <row r="167" spans="1:8" x14ac:dyDescent="0.25">
      <c r="B167" s="292" t="s">
        <v>137</v>
      </c>
      <c r="C167" s="292"/>
      <c r="D167" s="31">
        <f>COUNTIFS(Oct[Hour],$B167)</f>
        <v>0</v>
      </c>
    </row>
    <row r="168" spans="1:8" ht="15.75" thickBot="1" x14ac:dyDescent="0.3">
      <c r="B168" s="292" t="s">
        <v>138</v>
      </c>
      <c r="C168" s="292"/>
      <c r="D168" s="34">
        <f>COUNTIFS(Oct[Hour],$B168)</f>
        <v>0</v>
      </c>
    </row>
    <row r="169" spans="1:8" ht="15.75" thickBot="1" x14ac:dyDescent="0.3">
      <c r="B169" s="285" t="s">
        <v>35</v>
      </c>
      <c r="C169" s="286"/>
      <c r="D169" s="35">
        <f>SUM(D145:D168)</f>
        <v>0</v>
      </c>
    </row>
    <row r="170" spans="1:8" ht="15.75" thickBot="1" x14ac:dyDescent="0.3"/>
    <row r="171" spans="1:8" ht="21.4" customHeight="1" thickBot="1" x14ac:dyDescent="0.3">
      <c r="B171" s="280" t="str">
        <f>"Falls by Contributing Factors"</f>
        <v>Falls by Contributing Factors</v>
      </c>
      <c r="C171" s="281"/>
      <c r="D171" s="281"/>
      <c r="E171" s="281"/>
      <c r="F171" s="281"/>
      <c r="G171" s="282"/>
    </row>
    <row r="172" spans="1:8" ht="15.6" customHeight="1" x14ac:dyDescent="0.25">
      <c r="A172" s="38"/>
      <c r="B172" s="288" t="s">
        <v>92</v>
      </c>
      <c r="C172" s="289"/>
      <c r="D172" s="289"/>
      <c r="E172" s="289"/>
      <c r="F172" s="290"/>
      <c r="G172" s="28" t="s">
        <v>35</v>
      </c>
    </row>
    <row r="173" spans="1:8" x14ac:dyDescent="0.25">
      <c r="A173" s="38"/>
      <c r="B173" s="44" t="str" cm="1">
        <f t="array" ref="B173:B196">IF(_xlfn._xlws.SORT(CF[Contributing Factors],1,1,TRUE)=0,"",(_xlfn._xlws.SORT(CF[Contributing Factors],1,1,TRUE)))</f>
        <v>Assisted/caregiver transfer</v>
      </c>
      <c r="C173" s="45"/>
      <c r="D173" s="45"/>
      <c r="E173" s="45"/>
      <c r="F173" s="46"/>
      <c r="G173" s="42">
        <f>IF($B173="",NA(),COUNTIFS(Oct[Contributing Factors],$B173))</f>
        <v>0</v>
      </c>
      <c r="H173" s="43"/>
    </row>
    <row r="174" spans="1:8" x14ac:dyDescent="0.25">
      <c r="A174" s="38"/>
      <c r="B174" s="39" t="str">
        <v>Bowel and bladder (B&amp;B) needs</v>
      </c>
      <c r="C174" s="40"/>
      <c r="D174" s="40"/>
      <c r="E174" s="40"/>
      <c r="F174" s="41"/>
      <c r="G174" s="42">
        <f>IF($B174="",NA(),COUNTIFS(Oct[Contributing Factors],$B174))</f>
        <v>0</v>
      </c>
    </row>
    <row r="175" spans="1:8" x14ac:dyDescent="0.25">
      <c r="A175" s="38"/>
      <c r="B175" s="44" t="str">
        <v>Behavioral or situational</v>
      </c>
      <c r="C175" s="45"/>
      <c r="D175" s="45"/>
      <c r="E175" s="45"/>
      <c r="F175" s="46"/>
      <c r="G175" s="42">
        <f>IF($B175="",NA(),COUNTIFS(Oct[Contributing Factors],$B175))</f>
        <v>0</v>
      </c>
    </row>
    <row r="176" spans="1:8" x14ac:dyDescent="0.25">
      <c r="A176" s="38"/>
      <c r="B176" s="39" t="str">
        <v>Change of condition</v>
      </c>
      <c r="C176" s="40"/>
      <c r="D176" s="40"/>
      <c r="E176" s="40"/>
      <c r="F176" s="41"/>
      <c r="G176" s="42">
        <f>IF($B176="",NA(),COUNTIFS(Oct[Contributing Factors],$B176))</f>
        <v>0</v>
      </c>
    </row>
    <row r="177" spans="1:7" x14ac:dyDescent="0.25">
      <c r="A177" s="38"/>
      <c r="B177" s="44" t="str">
        <v>Environmental factors</v>
      </c>
      <c r="C177" s="45"/>
      <c r="D177" s="45"/>
      <c r="E177" s="45"/>
      <c r="F177" s="46"/>
      <c r="G177" s="42">
        <f>IF($B177="",NA(),COUNTIFS(Oct[Contributing Factors],$B177))</f>
        <v>0</v>
      </c>
    </row>
    <row r="178" spans="1:7" x14ac:dyDescent="0.25">
      <c r="A178" s="38"/>
      <c r="B178" s="39" t="str">
        <v>Equipment malfunction</v>
      </c>
      <c r="C178" s="40"/>
      <c r="D178" s="40"/>
      <c r="E178" s="40"/>
      <c r="F178" s="41"/>
      <c r="G178" s="42">
        <f>IF($B178="",NA(),COUNTIFS(Oct[Contributing Factors],$B178))</f>
        <v>0</v>
      </c>
    </row>
    <row r="179" spans="1:7" x14ac:dyDescent="0.25">
      <c r="A179" s="38"/>
      <c r="B179" s="44" t="str">
        <v>Equipment or assistive device</v>
      </c>
      <c r="C179" s="45"/>
      <c r="D179" s="45"/>
      <c r="E179" s="45"/>
      <c r="F179" s="46"/>
      <c r="G179" s="42">
        <f>IF($B179="",NA(),COUNTIFS(Oct[Contributing Factors],$B179))</f>
        <v>0</v>
      </c>
    </row>
    <row r="180" spans="1:7" x14ac:dyDescent="0.25">
      <c r="A180" s="38"/>
      <c r="B180" s="39" t="str">
        <v>Medication related</v>
      </c>
      <c r="C180" s="40"/>
      <c r="D180" s="40"/>
      <c r="E180" s="40"/>
      <c r="F180" s="41"/>
      <c r="G180" s="42">
        <f>IF($B180="",NA(),COUNTIFS(Oct[Contributing Factors],$B180))</f>
        <v>0</v>
      </c>
    </row>
    <row r="181" spans="1:7" x14ac:dyDescent="0.25">
      <c r="A181" s="38"/>
      <c r="B181" s="44" t="str">
        <v>Process(s) not followed</v>
      </c>
      <c r="C181" s="45"/>
      <c r="D181" s="45"/>
      <c r="E181" s="45"/>
      <c r="F181" s="46"/>
      <c r="G181" s="42">
        <f>IF($B181="",NA(),COUNTIFS(Oct[Contributing Factors],$B181))</f>
        <v>0</v>
      </c>
    </row>
    <row r="182" spans="1:7" x14ac:dyDescent="0.25">
      <c r="A182" s="38"/>
      <c r="B182" s="39" t="str">
        <v>Resident health conditions</v>
      </c>
      <c r="C182" s="40"/>
      <c r="D182" s="40"/>
      <c r="E182" s="40"/>
      <c r="F182" s="41"/>
      <c r="G182" s="42">
        <f>IF($B182="",NA(),COUNTIFS(Oct[Contributing Factors],$B182))</f>
        <v>0</v>
      </c>
    </row>
    <row r="183" spans="1:7" x14ac:dyDescent="0.25">
      <c r="A183" s="38"/>
      <c r="B183" s="44" t="str">
        <v>Staff</v>
      </c>
      <c r="C183" s="45"/>
      <c r="D183" s="45"/>
      <c r="E183" s="45"/>
      <c r="F183" s="46"/>
      <c r="G183" s="42">
        <f>IF($B183="",NA(),COUNTIFS(Oct[Contributing Factors],$B183))</f>
        <v>0</v>
      </c>
    </row>
    <row r="184" spans="1:7" x14ac:dyDescent="0.25">
      <c r="A184" s="38"/>
      <c r="B184" s="39" t="str">
        <v/>
      </c>
      <c r="C184" s="40"/>
      <c r="D184" s="40"/>
      <c r="E184" s="40"/>
      <c r="F184" s="41"/>
      <c r="G184" s="42" t="e">
        <f>IF($B184="",NA(),COUNTIFS(Oct[Contributing Factors],$B184))</f>
        <v>#N/A</v>
      </c>
    </row>
    <row r="185" spans="1:7" x14ac:dyDescent="0.25">
      <c r="A185" s="38"/>
      <c r="B185" s="44" t="str">
        <v/>
      </c>
      <c r="C185" s="45"/>
      <c r="D185" s="45"/>
      <c r="E185" s="45"/>
      <c r="F185" s="46"/>
      <c r="G185" s="42" t="e">
        <f>IF($B185="",NA(),COUNTIFS(Oct[Contributing Factors],$B185))</f>
        <v>#N/A</v>
      </c>
    </row>
    <row r="186" spans="1:7" x14ac:dyDescent="0.25">
      <c r="A186" s="38"/>
      <c r="B186" s="39" t="str">
        <v/>
      </c>
      <c r="C186" s="40"/>
      <c r="D186" s="40"/>
      <c r="E186" s="40"/>
      <c r="F186" s="41"/>
      <c r="G186" s="42" t="e">
        <f>IF($B186="",NA(),COUNTIFS(Oct[Contributing Factors],$B186))</f>
        <v>#N/A</v>
      </c>
    </row>
    <row r="187" spans="1:7" x14ac:dyDescent="0.25">
      <c r="A187" s="38"/>
      <c r="B187" s="44" t="str">
        <v/>
      </c>
      <c r="C187" s="45"/>
      <c r="D187" s="45"/>
      <c r="E187" s="45"/>
      <c r="F187" s="46"/>
      <c r="G187" s="42" t="e">
        <f>IF($B187="",NA(),COUNTIFS(Oct[Contributing Factors],$B187))</f>
        <v>#N/A</v>
      </c>
    </row>
    <row r="188" spans="1:7" x14ac:dyDescent="0.25">
      <c r="A188" s="38"/>
      <c r="B188" s="39" t="str">
        <v/>
      </c>
      <c r="C188" s="40"/>
      <c r="D188" s="40"/>
      <c r="E188" s="40"/>
      <c r="F188" s="41"/>
      <c r="G188" s="42" t="e">
        <f>IF($B188="",NA(),COUNTIFS(Oct[Contributing Factors],$B188))</f>
        <v>#N/A</v>
      </c>
    </row>
    <row r="189" spans="1:7" x14ac:dyDescent="0.25">
      <c r="A189" s="38"/>
      <c r="B189" s="44" t="str">
        <v/>
      </c>
      <c r="C189" s="45"/>
      <c r="D189" s="45"/>
      <c r="E189" s="45"/>
      <c r="F189" s="46"/>
      <c r="G189" s="42" t="e">
        <f>IF($B189="",NA(),COUNTIFS(Oct[Contributing Factors],$B189))</f>
        <v>#N/A</v>
      </c>
    </row>
    <row r="190" spans="1:7" x14ac:dyDescent="0.25">
      <c r="A190" s="38"/>
      <c r="B190" s="39" t="str">
        <v/>
      </c>
      <c r="C190" s="40"/>
      <c r="D190" s="40"/>
      <c r="E190" s="40"/>
      <c r="F190" s="41"/>
      <c r="G190" s="42" t="e">
        <f>IF($B190="",NA(),COUNTIFS(Oct[Contributing Factors],$B190))</f>
        <v>#N/A</v>
      </c>
    </row>
    <row r="191" spans="1:7" x14ac:dyDescent="0.25">
      <c r="A191" s="38"/>
      <c r="B191" s="44" t="str">
        <v/>
      </c>
      <c r="C191" s="45"/>
      <c r="D191" s="45"/>
      <c r="E191" s="45"/>
      <c r="F191" s="46"/>
      <c r="G191" s="42" t="e">
        <f>IF($B191="",NA(),COUNTIFS(Oct[Contributing Factors],$B191))</f>
        <v>#N/A</v>
      </c>
    </row>
    <row r="192" spans="1:7" x14ac:dyDescent="0.25">
      <c r="A192" s="38"/>
      <c r="B192" s="39" t="str">
        <v/>
      </c>
      <c r="C192" s="40"/>
      <c r="D192" s="40"/>
      <c r="E192" s="40"/>
      <c r="F192" s="41"/>
      <c r="G192" s="42" t="e">
        <f>IF($B192="",NA(),COUNTIFS(Oct[Contributing Factors],$B192))</f>
        <v>#N/A</v>
      </c>
    </row>
    <row r="193" spans="1:7" x14ac:dyDescent="0.25">
      <c r="A193" s="38"/>
      <c r="B193" s="44" t="str">
        <v/>
      </c>
      <c r="C193" s="45"/>
      <c r="D193" s="45"/>
      <c r="E193" s="45"/>
      <c r="F193" s="46"/>
      <c r="G193" s="42" t="e">
        <f>IF($B193="",NA(),COUNTIFS(Oct[Contributing Factors],$B193))</f>
        <v>#N/A</v>
      </c>
    </row>
    <row r="194" spans="1:7" x14ac:dyDescent="0.25">
      <c r="A194" s="38"/>
      <c r="B194" s="39" t="str">
        <v/>
      </c>
      <c r="C194" s="40"/>
      <c r="D194" s="40"/>
      <c r="E194" s="40"/>
      <c r="F194" s="41"/>
      <c r="G194" s="42" t="e">
        <f>IF($B194="",NA(),COUNTIFS(Oct[Contributing Factors],$B194))</f>
        <v>#N/A</v>
      </c>
    </row>
    <row r="195" spans="1:7" x14ac:dyDescent="0.25">
      <c r="A195" s="38"/>
      <c r="B195" s="44" t="str">
        <v/>
      </c>
      <c r="C195" s="45"/>
      <c r="D195" s="45"/>
      <c r="E195" s="45"/>
      <c r="F195" s="46"/>
      <c r="G195" s="42" t="e">
        <f>IF($B195="",NA(),COUNTIFS(Oct[Contributing Factors],$B195))</f>
        <v>#N/A</v>
      </c>
    </row>
    <row r="196" spans="1:7" ht="15.75" thickBot="1" x14ac:dyDescent="0.3">
      <c r="A196" s="38"/>
      <c r="B196" s="39" t="str">
        <v/>
      </c>
      <c r="C196" s="40"/>
      <c r="D196" s="40"/>
      <c r="E196" s="40"/>
      <c r="F196" s="41"/>
      <c r="G196" s="42" t="e">
        <f>IF($B196="",NA(),COUNTIFS(Oct[Contributing Factors],$B196))</f>
        <v>#N/A</v>
      </c>
    </row>
    <row r="197" spans="1:7" ht="15.6" customHeight="1" thickBot="1" x14ac:dyDescent="0.3">
      <c r="B197" s="285" t="s">
        <v>35</v>
      </c>
      <c r="C197" s="286"/>
      <c r="D197" s="286"/>
      <c r="E197" s="286"/>
      <c r="F197" s="287"/>
      <c r="G197" s="37">
        <f>_xlfn.AGGREGATE(9,6,G173:G196)</f>
        <v>0</v>
      </c>
    </row>
  </sheetData>
  <sheetProtection algorithmName="SHA-512" hashValue="xfmCJ1caQNf51R+IcC6B1vDe6HEiI95uvWkGP0qQ06jjqfjZo0WidTLkAdlvoStB0mqwdqc6TnhSzX2CKtcs7w==" saltValue="QYyM8dmyPgUQ71YkboK8eQ==" spinCount="100000" sheet="1" formatCells="0" formatColumns="0" formatRows="0" sort="0" autoFilter="0"/>
  <mergeCells count="61">
    <mergeCell ref="F56:G56"/>
    <mergeCell ref="B51:D51"/>
    <mergeCell ref="F51:H51"/>
    <mergeCell ref="B52:C52"/>
    <mergeCell ref="F52:G52"/>
    <mergeCell ref="B55:C55"/>
    <mergeCell ref="B121:C121"/>
    <mergeCell ref="F58:H58"/>
    <mergeCell ref="F59:G59"/>
    <mergeCell ref="F63:G63"/>
    <mergeCell ref="B65:G65"/>
    <mergeCell ref="B66:F66"/>
    <mergeCell ref="B91:F91"/>
    <mergeCell ref="B93:D93"/>
    <mergeCell ref="B94:C94"/>
    <mergeCell ref="B106:C106"/>
    <mergeCell ref="B108:D108"/>
    <mergeCell ref="B109:C109"/>
    <mergeCell ref="B135:C135"/>
    <mergeCell ref="B123:D123"/>
    <mergeCell ref="B124:C124"/>
    <mergeCell ref="B125:C125"/>
    <mergeCell ref="B126:C126"/>
    <mergeCell ref="B127:C127"/>
    <mergeCell ref="B128:C128"/>
    <mergeCell ref="B129:C129"/>
    <mergeCell ref="B130:C130"/>
    <mergeCell ref="B131:C131"/>
    <mergeCell ref="B132:C132"/>
    <mergeCell ref="B134:D134"/>
    <mergeCell ref="B153:C153"/>
    <mergeCell ref="B141:C141"/>
    <mergeCell ref="B143:D143"/>
    <mergeCell ref="B144:C144"/>
    <mergeCell ref="B145:C145"/>
    <mergeCell ref="B146:C146"/>
    <mergeCell ref="B147:C147"/>
    <mergeCell ref="B148:C148"/>
    <mergeCell ref="B149:C149"/>
    <mergeCell ref="B150:C150"/>
    <mergeCell ref="B151:C151"/>
    <mergeCell ref="B152:C152"/>
    <mergeCell ref="B165:C165"/>
    <mergeCell ref="B154:C154"/>
    <mergeCell ref="B155:C155"/>
    <mergeCell ref="B156:C156"/>
    <mergeCell ref="B157:C157"/>
    <mergeCell ref="B158:C158"/>
    <mergeCell ref="B159:C159"/>
    <mergeCell ref="B160:C160"/>
    <mergeCell ref="B161:C161"/>
    <mergeCell ref="B162:C162"/>
    <mergeCell ref="B163:C163"/>
    <mergeCell ref="B164:C164"/>
    <mergeCell ref="B197:F197"/>
    <mergeCell ref="B166:C166"/>
    <mergeCell ref="B167:C167"/>
    <mergeCell ref="B168:C168"/>
    <mergeCell ref="B169:C169"/>
    <mergeCell ref="B171:G171"/>
    <mergeCell ref="B172:F172"/>
  </mergeCells>
  <conditionalFormatting sqref="C1">
    <cfRule type="expression" dxfId="103" priority="18">
      <formula>OR($C$1="",$C$1=0)</formula>
    </cfRule>
  </conditionalFormatting>
  <conditionalFormatting sqref="D1">
    <cfRule type="cellIs" dxfId="102" priority="19" operator="equal">
      <formula>"Enter year in Data Validation tab"</formula>
    </cfRule>
  </conditionalFormatting>
  <conditionalFormatting sqref="D4:D40">
    <cfRule type="expression" dxfId="101" priority="22">
      <formula>AND($C4&lt;&gt;"",$D4="")</formula>
    </cfRule>
  </conditionalFormatting>
  <conditionalFormatting sqref="D95:D105">
    <cfRule type="expression" dxfId="100" priority="9">
      <formula>ISERROR($D95)</formula>
    </cfRule>
  </conditionalFormatting>
  <conditionalFormatting sqref="D110:D120">
    <cfRule type="expression" dxfId="99" priority="10">
      <formula>ISERROR($D110)</formula>
    </cfRule>
  </conditionalFormatting>
  <conditionalFormatting sqref="D136:D140">
    <cfRule type="expression" dxfId="98" priority="1">
      <formula>ISERROR(D136)</formula>
    </cfRule>
  </conditionalFormatting>
  <conditionalFormatting sqref="E4:E40">
    <cfRule type="expression" dxfId="97" priority="21">
      <formula>AND($C4&lt;&gt;"",$E4="")</formula>
    </cfRule>
  </conditionalFormatting>
  <conditionalFormatting sqref="F4:F40">
    <cfRule type="expression" dxfId="96" priority="14">
      <formula>AND($C4&lt;&gt;"",$F4="")</formula>
    </cfRule>
  </conditionalFormatting>
  <conditionalFormatting sqref="G4:G40">
    <cfRule type="expression" dxfId="95" priority="13">
      <formula>AND($C4&lt;&gt;"",$G4="")</formula>
    </cfRule>
  </conditionalFormatting>
  <conditionalFormatting sqref="G67:G90">
    <cfRule type="expression" dxfId="94" priority="8">
      <formula>ISERROR($G67)</formula>
    </cfRule>
  </conditionalFormatting>
  <conditionalFormatting sqref="G173:G196">
    <cfRule type="expression" dxfId="93" priority="7">
      <formula>ISERROR($G173)</formula>
    </cfRule>
  </conditionalFormatting>
  <conditionalFormatting sqref="H4:H40">
    <cfRule type="expression" dxfId="92" priority="12">
      <formula>AND($C4&lt;&gt;"",$H4="")</formula>
    </cfRule>
  </conditionalFormatting>
  <conditionalFormatting sqref="I4:I40">
    <cfRule type="expression" dxfId="91" priority="11">
      <formula>AND($C4&lt;&gt;"",$I4="")</formula>
    </cfRule>
  </conditionalFormatting>
  <conditionalFormatting sqref="J4:J40">
    <cfRule type="expression" dxfId="90" priority="23">
      <formula>AND($C4&lt;&gt;"",$J4="")</formula>
    </cfRule>
  </conditionalFormatting>
  <conditionalFormatting sqref="L4:L40">
    <cfRule type="expression" dxfId="89" priority="20">
      <formula>AND($C4&lt;&gt;"",$L4="")</formula>
    </cfRule>
  </conditionalFormatting>
  <conditionalFormatting sqref="N4:N40">
    <cfRule type="expression" dxfId="88" priority="25">
      <formula>AND($C4&lt;&gt;"",$N4="")</formula>
    </cfRule>
  </conditionalFormatting>
  <conditionalFormatting sqref="O4:O40">
    <cfRule type="expression" dxfId="87" priority="4">
      <formula>AND($C4&lt;&gt;"",$O4="")</formula>
    </cfRule>
    <cfRule type="cellIs" dxfId="86" priority="15" operator="equal">
      <formula>"Intact (13-15)"</formula>
    </cfRule>
    <cfRule type="cellIs" dxfId="85" priority="16" operator="equal">
      <formula>"Moderate (8-12)"</formula>
    </cfRule>
    <cfRule type="cellIs" dxfId="84" priority="17" operator="equal">
      <formula>"Severe (1-7)"</formula>
    </cfRule>
  </conditionalFormatting>
  <conditionalFormatting sqref="P4:P40">
    <cfRule type="expression" dxfId="83" priority="5">
      <formula>AND($C4&lt;&gt;"",$P4="")</formula>
    </cfRule>
  </conditionalFormatting>
  <conditionalFormatting sqref="Q4:Q40">
    <cfRule type="expression" dxfId="82" priority="3">
      <formula>AND($C4&lt;&gt;"",$Q4="")</formula>
    </cfRule>
  </conditionalFormatting>
  <conditionalFormatting sqref="R4:R40">
    <cfRule type="expression" dxfId="81" priority="26">
      <formula>AND($C4&lt;&gt;"",$R4="")</formula>
    </cfRule>
  </conditionalFormatting>
  <conditionalFormatting sqref="S4:S40">
    <cfRule type="expression" dxfId="80" priority="6">
      <formula>AND($C4&lt;&gt;"",$S4="")</formula>
    </cfRule>
  </conditionalFormatting>
  <conditionalFormatting sqref="T4:T40">
    <cfRule type="expression" dxfId="79" priority="27">
      <formula>AND($C4&lt;&gt;"",$T4="")</formula>
    </cfRule>
  </conditionalFormatting>
  <conditionalFormatting sqref="U4:U40">
    <cfRule type="expression" dxfId="78" priority="24">
      <formula>AND($C4&lt;&gt;"",$U4="")</formula>
    </cfRule>
  </conditionalFormatting>
  <conditionalFormatting sqref="V4:V40">
    <cfRule type="expression" dxfId="77" priority="2">
      <formula>AND($C4&lt;&gt;"",$V4="")</formula>
    </cfRule>
  </conditionalFormatting>
  <dataValidations count="9">
    <dataValidation type="list" allowBlank="1" showInputMessage="1" showErrorMessage="1" sqref="R4:R40" xr:uid="{635CA509-6381-423C-A602-EED51A154FA3}">
      <formula1>DV_RCAComp</formula1>
    </dataValidation>
    <dataValidation type="list" allowBlank="1" showInputMessage="1" showErrorMessage="1" sqref="G4:G40" xr:uid="{D83B4047-D9B0-4D4A-A7C4-848281FA6E45}">
      <formula1>DV_FallCircumstances</formula1>
    </dataValidation>
    <dataValidation type="list" allowBlank="1" showInputMessage="1" showErrorMessage="1" sqref="P4:P40" xr:uid="{8FA8A597-292B-424A-92AE-4793B2ADE2D0}">
      <formula1>DV_PriortoFall</formula1>
    </dataValidation>
    <dataValidation type="list" allowBlank="1" showInputMessage="1" showErrorMessage="1" sqref="F4:F40" xr:uid="{37A4A068-4AD7-4CF9-A4D9-B7415CA07A5E}">
      <formula1>DV_Witnessed</formula1>
    </dataValidation>
    <dataValidation type="list" allowBlank="1" showInputMessage="1" showErrorMessage="1" sqref="N4:N40" xr:uid="{0963F583-937E-4BAA-89D1-6E0BACBFB4E7}">
      <formula1>DV_BIMSScore</formula1>
    </dataValidation>
    <dataValidation type="list" allowBlank="1" showInputMessage="1" showErrorMessage="1" sqref="L4:L40" xr:uid="{17585561-FEBD-4DDD-9463-16235F89AA51}">
      <formula1>DV_Shifts</formula1>
    </dataValidation>
    <dataValidation type="list" allowBlank="1" showInputMessage="1" showErrorMessage="1" sqref="J4:J40" xr:uid="{93889F44-3FC0-4BE5-AF1D-2A1BF2C3D156}">
      <formula1>DV_Station</formula1>
    </dataValidation>
    <dataValidation type="list" allowBlank="1" showInputMessage="1" showErrorMessage="1" sqref="I4:I40" xr:uid="{7907D838-ECE7-46D9-890E-6098E739F9FE}">
      <formula1>DV_Location</formula1>
    </dataValidation>
    <dataValidation type="list" allowBlank="1" showInputMessage="1" showErrorMessage="1" sqref="H4:H40" xr:uid="{183A18A4-93EE-4016-BCA7-563A9547F828}">
      <formula1>DV_FallType</formula1>
    </dataValidation>
  </dataValidations>
  <printOptions horizontalCentered="1"/>
  <pageMargins left="0.15" right="0.15" top="0.5" bottom="0.25" header="0.3" footer="0.3"/>
  <pageSetup scale="59" fitToHeight="0" orientation="landscape" r:id="rId1"/>
  <rowBreaks count="3" manualBreakCount="3">
    <brk id="49" max="16383" man="1"/>
    <brk id="91" max="16383" man="1"/>
    <brk id="141" max="16383" man="1"/>
  </rowBreaks>
  <drawing r:id="rId2"/>
  <tableParts count="1">
    <tablePart r:id="rId3"/>
  </tableParts>
  <extLst>
    <ext xmlns:x14="http://schemas.microsoft.com/office/spreadsheetml/2009/9/main" uri="{CCE6A557-97BC-4b89-ADB6-D9C93CAAB3DF}">
      <x14:dataValidations xmlns:xm="http://schemas.microsoft.com/office/excel/2006/main" count="1">
        <x14:dataValidation type="list" allowBlank="1" showInputMessage="1" showErrorMessage="1" xr:uid="{6562B707-BAF5-4B54-8138-779A233C71CA}">
          <x14:formula1>
            <xm:f>'Data Validation'!$K$3:$K$26</xm:f>
          </x14:formula1>
          <xm:sqref>S4:S40</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BA63C1-B13C-4CBE-90AA-0DF0E224819F}">
  <sheetPr>
    <pageSetUpPr autoPageBreaks="0" fitToPage="1"/>
  </sheetPr>
  <dimension ref="A1:V197"/>
  <sheetViews>
    <sheetView showGridLines="0" zoomScaleNormal="100" zoomScaleSheetLayoutView="98" workbookViewId="0">
      <selection activeCell="B4" sqref="B4"/>
    </sheetView>
  </sheetViews>
  <sheetFormatPr defaultRowHeight="15" x14ac:dyDescent="0.25"/>
  <cols>
    <col min="1" max="1" width="1.28515625" customWidth="1"/>
    <col min="2" max="2" width="5.85546875" customWidth="1"/>
    <col min="3" max="3" width="17.140625" customWidth="1"/>
    <col min="4" max="4" width="9.28515625" customWidth="1"/>
    <col min="5" max="5" width="11" customWidth="1"/>
    <col min="6" max="6" width="8" customWidth="1"/>
    <col min="7" max="7" width="12.140625" customWidth="1"/>
    <col min="8" max="8" width="10.5703125" customWidth="1"/>
    <col min="9" max="9" width="7.7109375" customWidth="1"/>
    <col min="10" max="10" width="6" customWidth="1"/>
    <col min="11" max="11" width="4.7109375" customWidth="1"/>
    <col min="12" max="12" width="9.28515625" customWidth="1"/>
    <col min="13" max="14" width="4.7109375" customWidth="1"/>
    <col min="15" max="15" width="12.140625" customWidth="1"/>
    <col min="16" max="17" width="23.7109375" customWidth="1"/>
    <col min="18" max="18" width="8.7109375" customWidth="1"/>
    <col min="19" max="19" width="23.7109375" customWidth="1"/>
    <col min="20" max="22" width="11.7109375" customWidth="1"/>
    <col min="23" max="24" width="10.7109375" customWidth="1"/>
  </cols>
  <sheetData>
    <row r="1" spans="1:22" ht="18.75" customHeight="1" x14ac:dyDescent="0.25">
      <c r="B1" s="13" t="s">
        <v>28</v>
      </c>
      <c r="C1" s="14">
        <f>'Data Validation'!$C$4</f>
        <v>0</v>
      </c>
      <c r="D1" s="15" t="str">
        <f>IF(OR($C$1="",$C$1=0),"Enter Year in Data Validation tab",'Data Validation'!$C$2&amp;" November ")</f>
        <v>Enter Year in Data Validation tab</v>
      </c>
      <c r="E1" s="16"/>
      <c r="F1" s="16"/>
      <c r="G1" s="16"/>
      <c r="H1" s="16"/>
      <c r="I1" s="16"/>
      <c r="J1" s="16"/>
      <c r="K1" s="16"/>
      <c r="L1" s="16"/>
      <c r="M1" s="16"/>
      <c r="N1" s="4"/>
      <c r="O1" s="16"/>
      <c r="P1" s="16"/>
      <c r="Q1" s="16"/>
      <c r="R1" s="17" t="s">
        <v>59</v>
      </c>
      <c r="S1" s="14" t="str">
        <f>IF(COUNTIFS(Nov[Resident Name],"&lt;&gt;")=0,"No Data",COUNTIFS(Nov[Resident Name],"&lt;&gt;"))</f>
        <v>No Data</v>
      </c>
      <c r="T1" s="17" t="s">
        <v>62</v>
      </c>
      <c r="U1" s="14" t="str">
        <f>'Fall Rate and Census'!$AF$35</f>
        <v>No Data</v>
      </c>
    </row>
    <row r="2" spans="1:22" ht="8.1" customHeight="1" x14ac:dyDescent="0.25">
      <c r="B2" s="18"/>
      <c r="C2" s="16"/>
      <c r="D2" s="16"/>
      <c r="E2" s="16"/>
      <c r="F2" s="16"/>
      <c r="G2" s="16"/>
      <c r="H2" s="16"/>
      <c r="I2" s="16"/>
      <c r="J2" s="16"/>
      <c r="K2" s="16"/>
      <c r="L2" s="16"/>
      <c r="M2" s="16"/>
      <c r="N2" s="16"/>
      <c r="O2" s="16"/>
      <c r="P2" s="16"/>
      <c r="Q2" s="16"/>
      <c r="R2" s="16"/>
    </row>
    <row r="3" spans="1:22" ht="22.35" customHeight="1" x14ac:dyDescent="0.25">
      <c r="B3" s="19" t="s">
        <v>104</v>
      </c>
      <c r="C3" s="19" t="s">
        <v>105</v>
      </c>
      <c r="D3" s="20" t="s">
        <v>0</v>
      </c>
      <c r="E3" s="20" t="s">
        <v>89</v>
      </c>
      <c r="F3" s="20" t="s">
        <v>84</v>
      </c>
      <c r="G3" s="20" t="s">
        <v>100</v>
      </c>
      <c r="H3" s="20" t="s">
        <v>90</v>
      </c>
      <c r="I3" s="20" t="s">
        <v>1</v>
      </c>
      <c r="J3" s="20" t="s">
        <v>2</v>
      </c>
      <c r="K3" s="20" t="s">
        <v>3</v>
      </c>
      <c r="L3" s="20" t="s">
        <v>33</v>
      </c>
      <c r="M3" s="20" t="s">
        <v>34</v>
      </c>
      <c r="N3" s="20" t="s">
        <v>26</v>
      </c>
      <c r="O3" s="20" t="s">
        <v>30</v>
      </c>
      <c r="P3" s="19" t="s">
        <v>158</v>
      </c>
      <c r="Q3" s="19" t="s">
        <v>80</v>
      </c>
      <c r="R3" s="20" t="s">
        <v>81</v>
      </c>
      <c r="S3" s="20" t="s">
        <v>92</v>
      </c>
      <c r="T3" s="12" t="s">
        <v>95</v>
      </c>
      <c r="U3" s="12" t="s">
        <v>94</v>
      </c>
      <c r="V3" s="12" t="s">
        <v>96</v>
      </c>
    </row>
    <row r="4" spans="1:22" ht="20.85" customHeight="1" x14ac:dyDescent="0.25">
      <c r="A4" s="21"/>
      <c r="B4" s="266"/>
      <c r="C4" s="5"/>
      <c r="D4" s="263"/>
      <c r="E4" s="263"/>
      <c r="F4" s="266"/>
      <c r="G4" s="267"/>
      <c r="H4" s="2"/>
      <c r="I4" s="2"/>
      <c r="J4" s="2"/>
      <c r="K4" s="24" t="str">
        <f>IF(Nov[[#This Row],[Date of Incident]]="","",TEXT(Nov[[#This Row],[Date of Incident]],"ddd"))</f>
        <v/>
      </c>
      <c r="L4" s="1"/>
      <c r="M4" s="24" t="str">
        <f>IFERROR(VLOOKUP(Nov[[#This Row],[Hour]],Shifts[],2,FALSE),"")</f>
        <v/>
      </c>
      <c r="N4" s="2"/>
      <c r="O4" s="24" t="str">
        <f>IFERROR(VLOOKUP(Nov[[#This Row],[BIMS Score]],BIMS[],2,FALSE),"")</f>
        <v/>
      </c>
      <c r="P4" s="3"/>
      <c r="Q4" s="3"/>
      <c r="R4" s="2"/>
      <c r="S4" s="168"/>
      <c r="T4" s="3"/>
      <c r="U4" s="3"/>
      <c r="V4" s="3"/>
    </row>
    <row r="5" spans="1:22" ht="20.85" customHeight="1" x14ac:dyDescent="0.25">
      <c r="A5" s="21"/>
      <c r="B5" s="266"/>
      <c r="C5" s="5"/>
      <c r="D5" s="263"/>
      <c r="E5" s="263"/>
      <c r="F5" s="266"/>
      <c r="G5" s="267"/>
      <c r="H5" s="2"/>
      <c r="I5" s="2"/>
      <c r="J5" s="2"/>
      <c r="K5" s="24" t="str">
        <f>IF(Nov[[#This Row],[Date of Incident]]="","",TEXT(Nov[[#This Row],[Date of Incident]],"ddd"))</f>
        <v/>
      </c>
      <c r="L5" s="1"/>
      <c r="M5" s="24" t="str">
        <f>IFERROR(VLOOKUP(Nov[[#This Row],[Hour]],Shifts[],2,FALSE),"")</f>
        <v/>
      </c>
      <c r="N5" s="2"/>
      <c r="O5" s="24" t="str">
        <f>IFERROR(VLOOKUP(Nov[[#This Row],[BIMS Score]],BIMS[],2,FALSE),"")</f>
        <v/>
      </c>
      <c r="P5" s="3"/>
      <c r="Q5" s="3"/>
      <c r="R5" s="2"/>
      <c r="S5" s="168"/>
      <c r="T5" s="3"/>
      <c r="U5" s="3"/>
      <c r="V5" s="3"/>
    </row>
    <row r="6" spans="1:22" ht="20.85" customHeight="1" x14ac:dyDescent="0.25">
      <c r="A6" s="21"/>
      <c r="B6" s="266"/>
      <c r="C6" s="5"/>
      <c r="D6" s="263"/>
      <c r="E6" s="263"/>
      <c r="F6" s="266"/>
      <c r="G6" s="267"/>
      <c r="H6" s="2"/>
      <c r="I6" s="2"/>
      <c r="J6" s="2"/>
      <c r="K6" s="24" t="str">
        <f>IF(Nov[[#This Row],[Date of Incident]]="","",TEXT(Nov[[#This Row],[Date of Incident]],"ddd"))</f>
        <v/>
      </c>
      <c r="L6" s="1"/>
      <c r="M6" s="24" t="str">
        <f>IFERROR(VLOOKUP(Nov[[#This Row],[Hour]],Shifts[],2,FALSE),"")</f>
        <v/>
      </c>
      <c r="N6" s="2"/>
      <c r="O6" s="24" t="str">
        <f>IFERROR(VLOOKUP(Nov[[#This Row],[BIMS Score]],BIMS[],2,FALSE),"")</f>
        <v/>
      </c>
      <c r="P6" s="3"/>
      <c r="Q6" s="3"/>
      <c r="R6" s="2"/>
      <c r="S6" s="168"/>
      <c r="T6" s="3"/>
      <c r="U6" s="3"/>
      <c r="V6" s="3"/>
    </row>
    <row r="7" spans="1:22" ht="20.85" customHeight="1" x14ac:dyDescent="0.25">
      <c r="A7" s="21"/>
      <c r="B7" s="266"/>
      <c r="C7" s="5"/>
      <c r="D7" s="263"/>
      <c r="E7" s="263"/>
      <c r="F7" s="266"/>
      <c r="G7" s="267"/>
      <c r="H7" s="2"/>
      <c r="I7" s="2"/>
      <c r="J7" s="2"/>
      <c r="K7" s="24" t="str">
        <f>IF(Nov[[#This Row],[Date of Incident]]="","",TEXT(Nov[[#This Row],[Date of Incident]],"ddd"))</f>
        <v/>
      </c>
      <c r="L7" s="1"/>
      <c r="M7" s="24" t="str">
        <f>IFERROR(VLOOKUP(Nov[[#This Row],[Hour]],Shifts[],2,FALSE),"")</f>
        <v/>
      </c>
      <c r="N7" s="2"/>
      <c r="O7" s="24" t="str">
        <f>IFERROR(VLOOKUP(Nov[[#This Row],[BIMS Score]],BIMS[],2,FALSE),"")</f>
        <v/>
      </c>
      <c r="P7" s="3"/>
      <c r="Q7" s="3"/>
      <c r="R7" s="2"/>
      <c r="S7" s="168"/>
      <c r="T7" s="3"/>
      <c r="U7" s="3"/>
      <c r="V7" s="3"/>
    </row>
    <row r="8" spans="1:22" ht="20.85" customHeight="1" x14ac:dyDescent="0.25">
      <c r="A8" s="21"/>
      <c r="B8" s="266"/>
      <c r="C8" s="5"/>
      <c r="D8" s="263"/>
      <c r="E8" s="263"/>
      <c r="F8" s="266"/>
      <c r="G8" s="267"/>
      <c r="H8" s="2"/>
      <c r="I8" s="2"/>
      <c r="J8" s="2"/>
      <c r="K8" s="24" t="str">
        <f>IF(Nov[[#This Row],[Date of Incident]]="","",TEXT(Nov[[#This Row],[Date of Incident]],"ddd"))</f>
        <v/>
      </c>
      <c r="L8" s="1"/>
      <c r="M8" s="24" t="str">
        <f>IFERROR(VLOOKUP(Nov[[#This Row],[Hour]],Shifts[],2,FALSE),"")</f>
        <v/>
      </c>
      <c r="N8" s="2"/>
      <c r="O8" s="24" t="str">
        <f>IFERROR(VLOOKUP(Nov[[#This Row],[BIMS Score]],BIMS[],2,FALSE),"")</f>
        <v/>
      </c>
      <c r="P8" s="3"/>
      <c r="Q8" s="3"/>
      <c r="R8" s="2"/>
      <c r="S8" s="168"/>
      <c r="T8" s="3"/>
      <c r="U8" s="3"/>
      <c r="V8" s="3"/>
    </row>
    <row r="9" spans="1:22" ht="20.85" customHeight="1" x14ac:dyDescent="0.25">
      <c r="A9" s="21"/>
      <c r="B9" s="266"/>
      <c r="C9" s="5"/>
      <c r="D9" s="263"/>
      <c r="E9" s="263"/>
      <c r="F9" s="266"/>
      <c r="G9" s="267"/>
      <c r="H9" s="2"/>
      <c r="I9" s="2"/>
      <c r="J9" s="2"/>
      <c r="K9" s="24" t="str">
        <f>IF(Nov[[#This Row],[Date of Incident]]="","",TEXT(Nov[[#This Row],[Date of Incident]],"ddd"))</f>
        <v/>
      </c>
      <c r="L9" s="1"/>
      <c r="M9" s="24" t="str">
        <f>IFERROR(VLOOKUP(Nov[[#This Row],[Hour]],Shifts[],2,FALSE),"")</f>
        <v/>
      </c>
      <c r="N9" s="2"/>
      <c r="O9" s="24" t="str">
        <f>IFERROR(VLOOKUP(Nov[[#This Row],[BIMS Score]],BIMS[],2,FALSE),"")</f>
        <v/>
      </c>
      <c r="P9" s="3"/>
      <c r="Q9" s="3"/>
      <c r="R9" s="2"/>
      <c r="S9" s="168"/>
      <c r="T9" s="3"/>
      <c r="U9" s="3"/>
      <c r="V9" s="3"/>
    </row>
    <row r="10" spans="1:22" ht="20.85" customHeight="1" x14ac:dyDescent="0.25">
      <c r="A10" s="21"/>
      <c r="B10" s="266"/>
      <c r="C10" s="5"/>
      <c r="D10" s="263"/>
      <c r="E10" s="263"/>
      <c r="F10" s="266"/>
      <c r="G10" s="267"/>
      <c r="H10" s="2"/>
      <c r="I10" s="2"/>
      <c r="J10" s="2"/>
      <c r="K10" s="24" t="str">
        <f>IF(Nov[[#This Row],[Date of Incident]]="","",TEXT(Nov[[#This Row],[Date of Incident]],"ddd"))</f>
        <v/>
      </c>
      <c r="L10" s="1"/>
      <c r="M10" s="24" t="str">
        <f>IFERROR(VLOOKUP(Nov[[#This Row],[Hour]],Shifts[],2,FALSE),"")</f>
        <v/>
      </c>
      <c r="N10" s="2"/>
      <c r="O10" s="24" t="str">
        <f>IFERROR(VLOOKUP(Nov[[#This Row],[BIMS Score]],BIMS[],2,FALSE),"")</f>
        <v/>
      </c>
      <c r="P10" s="3"/>
      <c r="Q10" s="3"/>
      <c r="R10" s="2"/>
      <c r="S10" s="168"/>
      <c r="T10" s="3"/>
      <c r="U10" s="3"/>
      <c r="V10" s="3"/>
    </row>
    <row r="11" spans="1:22" ht="20.85" customHeight="1" x14ac:dyDescent="0.25">
      <c r="A11" s="21"/>
      <c r="B11" s="266"/>
      <c r="C11" s="5"/>
      <c r="D11" s="263"/>
      <c r="E11" s="263"/>
      <c r="F11" s="266"/>
      <c r="G11" s="267"/>
      <c r="H11" s="2"/>
      <c r="I11" s="2"/>
      <c r="J11" s="2"/>
      <c r="K11" s="24" t="str">
        <f>IF(Nov[[#This Row],[Date of Incident]]="","",TEXT(Nov[[#This Row],[Date of Incident]],"ddd"))</f>
        <v/>
      </c>
      <c r="L11" s="1"/>
      <c r="M11" s="24" t="str">
        <f>IFERROR(VLOOKUP(Nov[[#This Row],[Hour]],Shifts[],2,FALSE),"")</f>
        <v/>
      </c>
      <c r="N11" s="2"/>
      <c r="O11" s="24" t="str">
        <f>IFERROR(VLOOKUP(Nov[[#This Row],[BIMS Score]],BIMS[],2,FALSE),"")</f>
        <v/>
      </c>
      <c r="P11" s="3"/>
      <c r="Q11" s="3"/>
      <c r="R11" s="2"/>
      <c r="S11" s="168"/>
      <c r="T11" s="3"/>
      <c r="U11" s="3"/>
      <c r="V11" s="3"/>
    </row>
    <row r="12" spans="1:22" ht="20.85" customHeight="1" x14ac:dyDescent="0.25">
      <c r="A12" s="21"/>
      <c r="B12" s="267"/>
      <c r="C12" s="5"/>
      <c r="D12" s="264"/>
      <c r="E12" s="263"/>
      <c r="F12" s="267"/>
      <c r="G12" s="267"/>
      <c r="H12" s="2"/>
      <c r="I12" s="2"/>
      <c r="J12" s="2"/>
      <c r="K12" s="24" t="str">
        <f>IF(Nov[[#This Row],[Date of Incident]]="","",TEXT(Nov[[#This Row],[Date of Incident]],"ddd"))</f>
        <v/>
      </c>
      <c r="L12" s="1"/>
      <c r="M12" s="24" t="str">
        <f>IFERROR(VLOOKUP(Nov[[#This Row],[Hour]],Shifts[],2,FALSE),"")</f>
        <v/>
      </c>
      <c r="N12" s="2"/>
      <c r="O12" s="24" t="str">
        <f>IFERROR(VLOOKUP(Nov[[#This Row],[BIMS Score]],BIMS[],2,FALSE),"")</f>
        <v/>
      </c>
      <c r="P12" s="3"/>
      <c r="Q12" s="3"/>
      <c r="R12" s="2"/>
      <c r="S12" s="168"/>
      <c r="T12" s="3"/>
      <c r="U12" s="3"/>
      <c r="V12" s="3"/>
    </row>
    <row r="13" spans="1:22" ht="20.85" customHeight="1" x14ac:dyDescent="0.25">
      <c r="A13" s="21"/>
      <c r="B13" s="267"/>
      <c r="C13" s="5"/>
      <c r="D13" s="264"/>
      <c r="E13" s="263"/>
      <c r="F13" s="267"/>
      <c r="G13" s="267"/>
      <c r="H13" s="2"/>
      <c r="I13" s="2"/>
      <c r="J13" s="2"/>
      <c r="K13" s="24" t="str">
        <f>IF(Nov[[#This Row],[Date of Incident]]="","",TEXT(Nov[[#This Row],[Date of Incident]],"ddd"))</f>
        <v/>
      </c>
      <c r="L13" s="1"/>
      <c r="M13" s="24" t="str">
        <f>IFERROR(VLOOKUP(Nov[[#This Row],[Hour]],Shifts[],2,FALSE),"")</f>
        <v/>
      </c>
      <c r="N13" s="2"/>
      <c r="O13" s="24" t="str">
        <f>IFERROR(VLOOKUP(Nov[[#This Row],[BIMS Score]],BIMS[],2,FALSE),"")</f>
        <v/>
      </c>
      <c r="P13" s="3"/>
      <c r="Q13" s="3"/>
      <c r="R13" s="2"/>
      <c r="S13" s="168"/>
      <c r="T13" s="3"/>
      <c r="U13" s="3"/>
      <c r="V13" s="3"/>
    </row>
    <row r="14" spans="1:22" ht="20.85" customHeight="1" x14ac:dyDescent="0.25">
      <c r="A14" s="21"/>
      <c r="B14" s="267"/>
      <c r="C14" s="5"/>
      <c r="D14" s="264"/>
      <c r="E14" s="263"/>
      <c r="F14" s="267"/>
      <c r="G14" s="267"/>
      <c r="H14" s="2"/>
      <c r="I14" s="2"/>
      <c r="J14" s="2"/>
      <c r="K14" s="24" t="str">
        <f>IF(Nov[[#This Row],[Date of Incident]]="","",TEXT(Nov[[#This Row],[Date of Incident]],"ddd"))</f>
        <v/>
      </c>
      <c r="L14" s="1"/>
      <c r="M14" s="24" t="str">
        <f>IFERROR(VLOOKUP(Nov[[#This Row],[Hour]],Shifts[],2,FALSE),"")</f>
        <v/>
      </c>
      <c r="N14" s="2"/>
      <c r="O14" s="24" t="str">
        <f>IFERROR(VLOOKUP(Nov[[#This Row],[BIMS Score]],BIMS[],2,FALSE),"")</f>
        <v/>
      </c>
      <c r="P14" s="3"/>
      <c r="Q14" s="3"/>
      <c r="R14" s="2"/>
      <c r="S14" s="168"/>
      <c r="T14" s="3"/>
      <c r="U14" s="3"/>
      <c r="V14" s="3"/>
    </row>
    <row r="15" spans="1:22" ht="20.85" customHeight="1" x14ac:dyDescent="0.25">
      <c r="A15" s="21"/>
      <c r="B15" s="267"/>
      <c r="C15" s="5"/>
      <c r="D15" s="264"/>
      <c r="E15" s="263"/>
      <c r="F15" s="267"/>
      <c r="G15" s="267"/>
      <c r="H15" s="2"/>
      <c r="I15" s="2"/>
      <c r="J15" s="2"/>
      <c r="K15" s="24" t="str">
        <f>IF(Nov[[#This Row],[Date of Incident]]="","",TEXT(Nov[[#This Row],[Date of Incident]],"ddd"))</f>
        <v/>
      </c>
      <c r="L15" s="1"/>
      <c r="M15" s="24" t="str">
        <f>IFERROR(VLOOKUP(Nov[[#This Row],[Hour]],Shifts[],2,FALSE),"")</f>
        <v/>
      </c>
      <c r="N15" s="2"/>
      <c r="O15" s="24" t="str">
        <f>IFERROR(VLOOKUP(Nov[[#This Row],[BIMS Score]],BIMS[],2,FALSE),"")</f>
        <v/>
      </c>
      <c r="P15" s="3"/>
      <c r="Q15" s="3"/>
      <c r="R15" s="2"/>
      <c r="S15" s="168"/>
      <c r="T15" s="3"/>
      <c r="U15" s="3"/>
      <c r="V15" s="3"/>
    </row>
    <row r="16" spans="1:22" ht="20.85" customHeight="1" x14ac:dyDescent="0.25">
      <c r="A16" s="21"/>
      <c r="B16" s="267"/>
      <c r="C16" s="3"/>
      <c r="D16" s="264"/>
      <c r="E16" s="264"/>
      <c r="F16" s="267"/>
      <c r="G16" s="267"/>
      <c r="H16" s="2"/>
      <c r="I16" s="2"/>
      <c r="J16" s="2"/>
      <c r="K16" s="24" t="str">
        <f>IF(Nov[[#This Row],[Date of Incident]]="","",TEXT(Nov[[#This Row],[Date of Incident]],"ddd"))</f>
        <v/>
      </c>
      <c r="L16" s="1"/>
      <c r="M16" s="24" t="str">
        <f>IFERROR(VLOOKUP(Nov[[#This Row],[Hour]],Shifts[],2,FALSE),"")</f>
        <v/>
      </c>
      <c r="N16" s="2"/>
      <c r="O16" s="24" t="str">
        <f>IFERROR(VLOOKUP(Nov[[#This Row],[BIMS Score]],BIMS[],2,FALSE),"")</f>
        <v/>
      </c>
      <c r="P16" s="3"/>
      <c r="Q16" s="3"/>
      <c r="R16" s="2"/>
      <c r="S16" s="168"/>
      <c r="T16" s="3"/>
      <c r="U16" s="3"/>
      <c r="V16" s="3"/>
    </row>
    <row r="17" spans="1:22" ht="20.85" customHeight="1" x14ac:dyDescent="0.25">
      <c r="A17" s="21"/>
      <c r="B17" s="267"/>
      <c r="C17" s="3"/>
      <c r="D17" s="264"/>
      <c r="E17" s="264"/>
      <c r="F17" s="267"/>
      <c r="G17" s="267"/>
      <c r="H17" s="2"/>
      <c r="I17" s="2"/>
      <c r="J17" s="2"/>
      <c r="K17" s="24" t="str">
        <f>IF(Nov[[#This Row],[Date of Incident]]="","",TEXT(Nov[[#This Row],[Date of Incident]],"ddd"))</f>
        <v/>
      </c>
      <c r="L17" s="1"/>
      <c r="M17" s="24" t="str">
        <f>IFERROR(VLOOKUP(Nov[[#This Row],[Hour]],Shifts[],2,FALSE),"")</f>
        <v/>
      </c>
      <c r="N17" s="2"/>
      <c r="O17" s="24" t="str">
        <f>IFERROR(VLOOKUP(Nov[[#This Row],[BIMS Score]],BIMS[],2,FALSE),"")</f>
        <v/>
      </c>
      <c r="P17" s="3"/>
      <c r="Q17" s="3"/>
      <c r="R17" s="2"/>
      <c r="S17" s="168"/>
      <c r="T17" s="3"/>
      <c r="U17" s="3"/>
      <c r="V17" s="3"/>
    </row>
    <row r="18" spans="1:22" ht="20.85" customHeight="1" x14ac:dyDescent="0.25">
      <c r="A18" s="21"/>
      <c r="B18" s="267"/>
      <c r="C18" s="3"/>
      <c r="D18" s="264"/>
      <c r="E18" s="264"/>
      <c r="F18" s="267"/>
      <c r="G18" s="267"/>
      <c r="H18" s="2"/>
      <c r="I18" s="2"/>
      <c r="J18" s="2"/>
      <c r="K18" s="24" t="str">
        <f>IF(Nov[[#This Row],[Date of Incident]]="","",TEXT(Nov[[#This Row],[Date of Incident]],"ddd"))</f>
        <v/>
      </c>
      <c r="L18" s="1"/>
      <c r="M18" s="24" t="str">
        <f>IFERROR(VLOOKUP(Nov[[#This Row],[Hour]],Shifts[],2,FALSE),"")</f>
        <v/>
      </c>
      <c r="N18" s="2"/>
      <c r="O18" s="24" t="str">
        <f>IFERROR(VLOOKUP(Nov[[#This Row],[BIMS Score]],BIMS[],2,FALSE),"")</f>
        <v/>
      </c>
      <c r="P18" s="3"/>
      <c r="Q18" s="3"/>
      <c r="R18" s="2"/>
      <c r="S18" s="168"/>
      <c r="T18" s="3"/>
      <c r="U18" s="3"/>
      <c r="V18" s="3"/>
    </row>
    <row r="19" spans="1:22" ht="20.85" customHeight="1" x14ac:dyDescent="0.25">
      <c r="A19" s="21"/>
      <c r="B19" s="267"/>
      <c r="C19" s="3"/>
      <c r="D19" s="264"/>
      <c r="E19" s="264"/>
      <c r="F19" s="267"/>
      <c r="G19" s="267"/>
      <c r="H19" s="2"/>
      <c r="I19" s="2"/>
      <c r="J19" s="2"/>
      <c r="K19" s="24" t="str">
        <f>IF(Nov[[#This Row],[Date of Incident]]="","",TEXT(Nov[[#This Row],[Date of Incident]],"ddd"))</f>
        <v/>
      </c>
      <c r="L19" s="1"/>
      <c r="M19" s="24" t="str">
        <f>IFERROR(VLOOKUP(Nov[[#This Row],[Hour]],Shifts[],2,FALSE),"")</f>
        <v/>
      </c>
      <c r="N19" s="2"/>
      <c r="O19" s="24" t="str">
        <f>IFERROR(VLOOKUP(Nov[[#This Row],[BIMS Score]],BIMS[],2,FALSE),"")</f>
        <v/>
      </c>
      <c r="P19" s="3"/>
      <c r="Q19" s="3"/>
      <c r="R19" s="2"/>
      <c r="S19" s="168"/>
      <c r="T19" s="3"/>
      <c r="U19" s="3"/>
      <c r="V19" s="3"/>
    </row>
    <row r="20" spans="1:22" ht="20.85" customHeight="1" x14ac:dyDescent="0.25">
      <c r="A20" s="21"/>
      <c r="B20" s="267"/>
      <c r="C20" s="3"/>
      <c r="D20" s="264"/>
      <c r="E20" s="264"/>
      <c r="F20" s="267"/>
      <c r="G20" s="267"/>
      <c r="H20" s="2"/>
      <c r="I20" s="2"/>
      <c r="J20" s="2"/>
      <c r="K20" s="24" t="str">
        <f>IF(Nov[[#This Row],[Date of Incident]]="","",TEXT(Nov[[#This Row],[Date of Incident]],"ddd"))</f>
        <v/>
      </c>
      <c r="L20" s="1"/>
      <c r="M20" s="24" t="str">
        <f>IFERROR(VLOOKUP(Nov[[#This Row],[Hour]],Shifts[],2,FALSE),"")</f>
        <v/>
      </c>
      <c r="N20" s="2"/>
      <c r="O20" s="24" t="str">
        <f>IFERROR(VLOOKUP(Nov[[#This Row],[BIMS Score]],BIMS[],2,FALSE),"")</f>
        <v/>
      </c>
      <c r="P20" s="3"/>
      <c r="Q20" s="3"/>
      <c r="R20" s="2"/>
      <c r="S20" s="168"/>
      <c r="T20" s="3"/>
      <c r="U20" s="3"/>
      <c r="V20" s="3"/>
    </row>
    <row r="21" spans="1:22" ht="20.85" customHeight="1" x14ac:dyDescent="0.25">
      <c r="A21" s="21"/>
      <c r="B21" s="267"/>
      <c r="C21" s="3"/>
      <c r="D21" s="264"/>
      <c r="E21" s="264"/>
      <c r="F21" s="267"/>
      <c r="G21" s="267"/>
      <c r="H21" s="2"/>
      <c r="I21" s="2"/>
      <c r="J21" s="2"/>
      <c r="K21" s="24" t="str">
        <f>IF(Nov[[#This Row],[Date of Incident]]="","",TEXT(Nov[[#This Row],[Date of Incident]],"ddd"))</f>
        <v/>
      </c>
      <c r="L21" s="1"/>
      <c r="M21" s="24" t="str">
        <f>IFERROR(VLOOKUP(Nov[[#This Row],[Hour]],Shifts[],2,FALSE),"")</f>
        <v/>
      </c>
      <c r="N21" s="2"/>
      <c r="O21" s="24" t="str">
        <f>IFERROR(VLOOKUP(Nov[[#This Row],[BIMS Score]],BIMS[],2,FALSE),"")</f>
        <v/>
      </c>
      <c r="P21" s="3"/>
      <c r="Q21" s="3"/>
      <c r="R21" s="2"/>
      <c r="S21" s="168"/>
      <c r="T21" s="3"/>
      <c r="U21" s="3"/>
      <c r="V21" s="3"/>
    </row>
    <row r="22" spans="1:22" ht="20.85" customHeight="1" x14ac:dyDescent="0.25">
      <c r="A22" s="21"/>
      <c r="B22" s="267"/>
      <c r="C22" s="3"/>
      <c r="D22" s="264"/>
      <c r="E22" s="264"/>
      <c r="F22" s="267"/>
      <c r="G22" s="267"/>
      <c r="H22" s="2"/>
      <c r="I22" s="2"/>
      <c r="J22" s="2"/>
      <c r="K22" s="24" t="str">
        <f>IF(Nov[[#This Row],[Date of Incident]]="","",TEXT(Nov[[#This Row],[Date of Incident]],"ddd"))</f>
        <v/>
      </c>
      <c r="L22" s="1"/>
      <c r="M22" s="24" t="str">
        <f>IFERROR(VLOOKUP(Nov[[#This Row],[Hour]],Shifts[],2,FALSE),"")</f>
        <v/>
      </c>
      <c r="N22" s="1"/>
      <c r="O22" s="24" t="str">
        <f>IFERROR(VLOOKUP(Nov[[#This Row],[BIMS Score]],BIMS[],2,FALSE),"")</f>
        <v/>
      </c>
      <c r="P22" s="3"/>
      <c r="Q22" s="3"/>
      <c r="R22" s="2"/>
      <c r="S22" s="168"/>
      <c r="T22" s="3"/>
      <c r="U22" s="3"/>
      <c r="V22" s="3"/>
    </row>
    <row r="23" spans="1:22" ht="20.85" customHeight="1" x14ac:dyDescent="0.25">
      <c r="A23" s="21"/>
      <c r="B23" s="267"/>
      <c r="C23" s="3"/>
      <c r="D23" s="264"/>
      <c r="E23" s="264"/>
      <c r="F23" s="267"/>
      <c r="G23" s="267"/>
      <c r="H23" s="2"/>
      <c r="I23" s="2"/>
      <c r="J23" s="2"/>
      <c r="K23" s="24" t="str">
        <f>IF(Nov[[#This Row],[Date of Incident]]="","",TEXT(Nov[[#This Row],[Date of Incident]],"ddd"))</f>
        <v/>
      </c>
      <c r="L23" s="1"/>
      <c r="M23" s="24" t="str">
        <f>IFERROR(VLOOKUP(Nov[[#This Row],[Hour]],Shifts[],2,FALSE),"")</f>
        <v/>
      </c>
      <c r="N23" s="1"/>
      <c r="O23" s="24" t="str">
        <f>IFERROR(VLOOKUP(Nov[[#This Row],[BIMS Score]],BIMS[],2,FALSE),"")</f>
        <v/>
      </c>
      <c r="P23" s="3"/>
      <c r="Q23" s="3"/>
      <c r="R23" s="2"/>
      <c r="S23" s="168"/>
      <c r="T23" s="3"/>
      <c r="U23" s="3"/>
      <c r="V23" s="3"/>
    </row>
    <row r="24" spans="1:22" s="10" customFormat="1" ht="20.85" customHeight="1" x14ac:dyDescent="0.25">
      <c r="A24" s="26"/>
      <c r="B24" s="266"/>
      <c r="C24" s="5"/>
      <c r="D24" s="263"/>
      <c r="E24" s="263"/>
      <c r="F24" s="267"/>
      <c r="G24" s="267"/>
      <c r="H24" s="1"/>
      <c r="I24" s="1"/>
      <c r="J24" s="1"/>
      <c r="K24" s="24" t="str">
        <f>IF(Nov[[#This Row],[Date of Incident]]="","",TEXT(Nov[[#This Row],[Date of Incident]],"ddd"))</f>
        <v/>
      </c>
      <c r="L24" s="1"/>
      <c r="M24" s="24" t="str">
        <f>IFERROR(VLOOKUP(Nov[[#This Row],[Hour]],Shifts[],2,FALSE),"")</f>
        <v/>
      </c>
      <c r="N24" s="1"/>
      <c r="O24" s="24" t="str">
        <f>IFERROR(VLOOKUP(Nov[[#This Row],[BIMS Score]],BIMS[],2,FALSE),"")</f>
        <v/>
      </c>
      <c r="P24" s="3"/>
      <c r="Q24" s="3"/>
      <c r="R24" s="2"/>
      <c r="S24" s="168"/>
      <c r="T24" s="5"/>
      <c r="U24" s="5"/>
      <c r="V24" s="3"/>
    </row>
    <row r="25" spans="1:22" ht="20.85" customHeight="1" x14ac:dyDescent="0.25">
      <c r="A25" s="21"/>
      <c r="B25" s="266"/>
      <c r="C25" s="5"/>
      <c r="D25" s="263"/>
      <c r="E25" s="263"/>
      <c r="F25" s="267"/>
      <c r="G25" s="267"/>
      <c r="H25" s="1"/>
      <c r="I25" s="1"/>
      <c r="J25" s="1"/>
      <c r="K25" s="24" t="str">
        <f>IF(Nov[[#This Row],[Date of Incident]]="","",TEXT(Nov[[#This Row],[Date of Incident]],"ddd"))</f>
        <v/>
      </c>
      <c r="L25" s="1"/>
      <c r="M25" s="24" t="str">
        <f>IFERROR(VLOOKUP(Nov[[#This Row],[Hour]],Shifts[],2,FALSE),"")</f>
        <v/>
      </c>
      <c r="N25" s="1"/>
      <c r="O25" s="24" t="str">
        <f>IFERROR(VLOOKUP(Nov[[#This Row],[BIMS Score]],BIMS[],2,FALSE),"")</f>
        <v/>
      </c>
      <c r="P25" s="3"/>
      <c r="Q25" s="3"/>
      <c r="R25" s="2"/>
      <c r="S25" s="168"/>
      <c r="T25" s="5"/>
      <c r="U25" s="5"/>
      <c r="V25" s="3"/>
    </row>
    <row r="26" spans="1:22" ht="20.85" customHeight="1" x14ac:dyDescent="0.25">
      <c r="A26" s="21"/>
      <c r="B26" s="266"/>
      <c r="C26" s="5"/>
      <c r="D26" s="263"/>
      <c r="E26" s="263"/>
      <c r="F26" s="267"/>
      <c r="G26" s="267"/>
      <c r="H26" s="1"/>
      <c r="I26" s="1"/>
      <c r="J26" s="1"/>
      <c r="K26" s="24" t="str">
        <f>IF(Nov[[#This Row],[Date of Incident]]="","",TEXT(Nov[[#This Row],[Date of Incident]],"ddd"))</f>
        <v/>
      </c>
      <c r="L26" s="1"/>
      <c r="M26" s="24" t="str">
        <f>IFERROR(VLOOKUP(Nov[[#This Row],[Hour]],Shifts[],2,FALSE),"")</f>
        <v/>
      </c>
      <c r="N26" s="1"/>
      <c r="O26" s="24" t="str">
        <f>IFERROR(VLOOKUP(Nov[[#This Row],[BIMS Score]],BIMS[],2,FALSE),"")</f>
        <v/>
      </c>
      <c r="P26" s="3"/>
      <c r="Q26" s="3"/>
      <c r="R26" s="2"/>
      <c r="S26" s="168"/>
      <c r="T26" s="5"/>
      <c r="U26" s="5"/>
      <c r="V26" s="3"/>
    </row>
    <row r="27" spans="1:22" ht="20.85" customHeight="1" x14ac:dyDescent="0.25">
      <c r="A27" s="21"/>
      <c r="B27" s="266"/>
      <c r="C27" s="5"/>
      <c r="D27" s="263"/>
      <c r="E27" s="263"/>
      <c r="F27" s="267"/>
      <c r="G27" s="267"/>
      <c r="H27" s="1"/>
      <c r="I27" s="1"/>
      <c r="J27" s="1"/>
      <c r="K27" s="24" t="str">
        <f>IF(Nov[[#This Row],[Date of Incident]]="","",TEXT(Nov[[#This Row],[Date of Incident]],"ddd"))</f>
        <v/>
      </c>
      <c r="L27" s="1"/>
      <c r="M27" s="24" t="str">
        <f>IFERROR(VLOOKUP(Nov[[#This Row],[Hour]],Shifts[],2,FALSE),"")</f>
        <v/>
      </c>
      <c r="N27" s="1"/>
      <c r="O27" s="24" t="str">
        <f>IFERROR(VLOOKUP(Nov[[#This Row],[BIMS Score]],BIMS[],2,FALSE),"")</f>
        <v/>
      </c>
      <c r="P27" s="3"/>
      <c r="Q27" s="3"/>
      <c r="R27" s="2"/>
      <c r="S27" s="168"/>
      <c r="T27" s="5"/>
      <c r="U27" s="5"/>
      <c r="V27" s="3"/>
    </row>
    <row r="28" spans="1:22" ht="20.85" customHeight="1" x14ac:dyDescent="0.25">
      <c r="A28" s="21"/>
      <c r="B28" s="266"/>
      <c r="C28" s="5"/>
      <c r="D28" s="263"/>
      <c r="E28" s="263"/>
      <c r="F28" s="267"/>
      <c r="G28" s="267"/>
      <c r="H28" s="1"/>
      <c r="I28" s="1"/>
      <c r="J28" s="1"/>
      <c r="K28" s="24" t="str">
        <f>IF(Nov[[#This Row],[Date of Incident]]="","",TEXT(Nov[[#This Row],[Date of Incident]],"ddd"))</f>
        <v/>
      </c>
      <c r="L28" s="1"/>
      <c r="M28" s="24" t="str">
        <f>IFERROR(VLOOKUP(Nov[[#This Row],[Hour]],Shifts[],2,FALSE),"")</f>
        <v/>
      </c>
      <c r="N28" s="1"/>
      <c r="O28" s="24" t="str">
        <f>IFERROR(VLOOKUP(Nov[[#This Row],[BIMS Score]],BIMS[],2,FALSE),"")</f>
        <v/>
      </c>
      <c r="P28" s="3"/>
      <c r="Q28" s="3"/>
      <c r="R28" s="2"/>
      <c r="S28" s="168"/>
      <c r="T28" s="5"/>
      <c r="U28" s="5"/>
      <c r="V28" s="3"/>
    </row>
    <row r="29" spans="1:22" ht="20.85" customHeight="1" x14ac:dyDescent="0.25">
      <c r="B29" s="266"/>
      <c r="C29" s="5"/>
      <c r="D29" s="263"/>
      <c r="E29" s="263"/>
      <c r="F29" s="267"/>
      <c r="G29" s="267"/>
      <c r="H29" s="1"/>
      <c r="I29" s="1"/>
      <c r="J29" s="1"/>
      <c r="K29" s="27" t="str">
        <f>IF(Nov[[#This Row],[Date of Incident]]="","",TEXT(Nov[[#This Row],[Date of Incident]],"ddd"))</f>
        <v/>
      </c>
      <c r="L29" s="1"/>
      <c r="M29" s="27" t="str">
        <f>IFERROR(VLOOKUP(Nov[[#This Row],[Hour]],Shifts[],2,FALSE),"")</f>
        <v/>
      </c>
      <c r="N29" s="2"/>
      <c r="O29" s="24" t="str">
        <f>IFERROR(VLOOKUP(Nov[[#This Row],[BIMS Score]],BIMS[],2,FALSE),"")</f>
        <v/>
      </c>
      <c r="P29" s="3"/>
      <c r="Q29" s="3"/>
      <c r="R29" s="2"/>
      <c r="S29" s="168"/>
      <c r="T29" s="5"/>
      <c r="U29" s="5"/>
      <c r="V29" s="5"/>
    </row>
    <row r="30" spans="1:22" ht="20.85" customHeight="1" x14ac:dyDescent="0.25">
      <c r="B30" s="266"/>
      <c r="C30" s="5"/>
      <c r="D30" s="263"/>
      <c r="E30" s="263"/>
      <c r="F30" s="267"/>
      <c r="G30" s="267"/>
      <c r="H30" s="1"/>
      <c r="I30" s="1"/>
      <c r="J30" s="1"/>
      <c r="K30" s="27" t="str">
        <f>IF(Nov[[#This Row],[Date of Incident]]="","",TEXT(Nov[[#This Row],[Date of Incident]],"ddd"))</f>
        <v/>
      </c>
      <c r="L30" s="1"/>
      <c r="M30" s="27" t="str">
        <f>IFERROR(VLOOKUP(Nov[[#This Row],[Hour]],Shifts[],2,FALSE),"")</f>
        <v/>
      </c>
      <c r="N30" s="2"/>
      <c r="O30" s="24" t="str">
        <f>IFERROR(VLOOKUP(Nov[[#This Row],[BIMS Score]],BIMS[],2,FALSE),"")</f>
        <v/>
      </c>
      <c r="P30" s="3"/>
      <c r="Q30" s="3"/>
      <c r="R30" s="2"/>
      <c r="S30" s="168"/>
      <c r="T30" s="5"/>
      <c r="U30" s="5"/>
      <c r="V30" s="5"/>
    </row>
    <row r="31" spans="1:22" ht="20.85" customHeight="1" x14ac:dyDescent="0.25">
      <c r="B31" s="266"/>
      <c r="C31" s="5"/>
      <c r="D31" s="263"/>
      <c r="E31" s="263"/>
      <c r="F31" s="267"/>
      <c r="G31" s="267"/>
      <c r="H31" s="1"/>
      <c r="I31" s="1"/>
      <c r="J31" s="1"/>
      <c r="K31" s="27" t="str">
        <f>IF(Nov[[#This Row],[Date of Incident]]="","",TEXT(Nov[[#This Row],[Date of Incident]],"ddd"))</f>
        <v/>
      </c>
      <c r="L31" s="1"/>
      <c r="M31" s="27" t="str">
        <f>IFERROR(VLOOKUP(Nov[[#This Row],[Hour]],Shifts[],2,FALSE),"")</f>
        <v/>
      </c>
      <c r="N31" s="2"/>
      <c r="O31" s="24" t="str">
        <f>IFERROR(VLOOKUP(Nov[[#This Row],[BIMS Score]],BIMS[],2,FALSE),"")</f>
        <v/>
      </c>
      <c r="P31" s="3"/>
      <c r="Q31" s="3"/>
      <c r="R31" s="2"/>
      <c r="S31" s="168"/>
      <c r="T31" s="5"/>
      <c r="U31" s="5"/>
      <c r="V31" s="5"/>
    </row>
    <row r="32" spans="1:22" ht="20.85" customHeight="1" x14ac:dyDescent="0.25">
      <c r="B32" s="266"/>
      <c r="C32" s="5"/>
      <c r="D32" s="263"/>
      <c r="E32" s="263"/>
      <c r="F32" s="267"/>
      <c r="G32" s="267"/>
      <c r="H32" s="1"/>
      <c r="I32" s="1"/>
      <c r="J32" s="1"/>
      <c r="K32" s="27" t="str">
        <f>IF(Nov[[#This Row],[Date of Incident]]="","",TEXT(Nov[[#This Row],[Date of Incident]],"ddd"))</f>
        <v/>
      </c>
      <c r="L32" s="1"/>
      <c r="M32" s="27" t="str">
        <f>IFERROR(VLOOKUP(Nov[[#This Row],[Hour]],Shifts[],2,FALSE),"")</f>
        <v/>
      </c>
      <c r="N32" s="2"/>
      <c r="O32" s="24" t="str">
        <f>IFERROR(VLOOKUP(Nov[[#This Row],[BIMS Score]],BIMS[],2,FALSE),"")</f>
        <v/>
      </c>
      <c r="P32" s="3"/>
      <c r="Q32" s="3"/>
      <c r="R32" s="2"/>
      <c r="S32" s="168"/>
      <c r="T32" s="5"/>
      <c r="U32" s="5"/>
      <c r="V32" s="5"/>
    </row>
    <row r="33" spans="2:22" ht="20.85" customHeight="1" x14ac:dyDescent="0.25">
      <c r="B33" s="266"/>
      <c r="C33" s="5"/>
      <c r="D33" s="263"/>
      <c r="E33" s="263"/>
      <c r="F33" s="267"/>
      <c r="G33" s="267"/>
      <c r="H33" s="1"/>
      <c r="I33" s="1"/>
      <c r="J33" s="1"/>
      <c r="K33" s="27" t="str">
        <f>IF(Nov[[#This Row],[Date of Incident]]="","",TEXT(Nov[[#This Row],[Date of Incident]],"ddd"))</f>
        <v/>
      </c>
      <c r="L33" s="1"/>
      <c r="M33" s="27" t="str">
        <f>IFERROR(VLOOKUP(Nov[[#This Row],[Hour]],Shifts[],2,FALSE),"")</f>
        <v/>
      </c>
      <c r="N33" s="2"/>
      <c r="O33" s="24" t="str">
        <f>IFERROR(VLOOKUP(Nov[[#This Row],[BIMS Score]],BIMS[],2,FALSE),"")</f>
        <v/>
      </c>
      <c r="P33" s="3"/>
      <c r="Q33" s="3"/>
      <c r="R33" s="2"/>
      <c r="S33" s="168"/>
      <c r="T33" s="5"/>
      <c r="U33" s="5"/>
      <c r="V33" s="5"/>
    </row>
    <row r="34" spans="2:22" ht="20.85" customHeight="1" x14ac:dyDescent="0.25">
      <c r="B34" s="266"/>
      <c r="C34" s="5"/>
      <c r="D34" s="263"/>
      <c r="E34" s="263"/>
      <c r="F34" s="267"/>
      <c r="G34" s="267"/>
      <c r="H34" s="1"/>
      <c r="I34" s="1"/>
      <c r="J34" s="1"/>
      <c r="K34" s="27" t="str">
        <f>IF(Nov[[#This Row],[Date of Incident]]="","",TEXT(Nov[[#This Row],[Date of Incident]],"ddd"))</f>
        <v/>
      </c>
      <c r="L34" s="1"/>
      <c r="M34" s="27" t="str">
        <f>IFERROR(VLOOKUP(Nov[[#This Row],[Hour]],Shifts[],2,FALSE),"")</f>
        <v/>
      </c>
      <c r="N34" s="2"/>
      <c r="O34" s="24" t="str">
        <f>IFERROR(VLOOKUP(Nov[[#This Row],[BIMS Score]],BIMS[],2,FALSE),"")</f>
        <v/>
      </c>
      <c r="P34" s="3"/>
      <c r="Q34" s="3"/>
      <c r="R34" s="2"/>
      <c r="S34" s="168"/>
      <c r="T34" s="5"/>
      <c r="U34" s="5"/>
      <c r="V34" s="5"/>
    </row>
    <row r="35" spans="2:22" ht="20.85" customHeight="1" x14ac:dyDescent="0.25">
      <c r="B35" s="266"/>
      <c r="C35" s="5"/>
      <c r="D35" s="263"/>
      <c r="E35" s="263"/>
      <c r="F35" s="267"/>
      <c r="G35" s="267"/>
      <c r="H35" s="1"/>
      <c r="I35" s="1"/>
      <c r="J35" s="1"/>
      <c r="K35" s="27" t="str">
        <f>IF(Nov[[#This Row],[Date of Incident]]="","",TEXT(Nov[[#This Row],[Date of Incident]],"ddd"))</f>
        <v/>
      </c>
      <c r="L35" s="1"/>
      <c r="M35" s="27" t="str">
        <f>IFERROR(VLOOKUP(Nov[[#This Row],[Hour]],Shifts[],2,FALSE),"")</f>
        <v/>
      </c>
      <c r="N35" s="2"/>
      <c r="O35" s="24" t="str">
        <f>IFERROR(VLOOKUP(Nov[[#This Row],[BIMS Score]],BIMS[],2,FALSE),"")</f>
        <v/>
      </c>
      <c r="P35" s="3"/>
      <c r="Q35" s="3"/>
      <c r="R35" s="2"/>
      <c r="S35" s="168"/>
      <c r="T35" s="5"/>
      <c r="U35" s="5"/>
      <c r="V35" s="5"/>
    </row>
    <row r="36" spans="2:22" ht="20.85" customHeight="1" x14ac:dyDescent="0.25">
      <c r="B36" s="266"/>
      <c r="C36" s="5"/>
      <c r="D36" s="263"/>
      <c r="E36" s="263"/>
      <c r="F36" s="267"/>
      <c r="G36" s="267"/>
      <c r="H36" s="1"/>
      <c r="I36" s="1"/>
      <c r="J36" s="1"/>
      <c r="K36" s="27" t="str">
        <f>IF(Nov[[#This Row],[Date of Incident]]="","",TEXT(Nov[[#This Row],[Date of Incident]],"ddd"))</f>
        <v/>
      </c>
      <c r="L36" s="1"/>
      <c r="M36" s="27" t="str">
        <f>IFERROR(VLOOKUP(Nov[[#This Row],[Hour]],Shifts[],2,FALSE),"")</f>
        <v/>
      </c>
      <c r="N36" s="2"/>
      <c r="O36" s="24" t="str">
        <f>IFERROR(VLOOKUP(Nov[[#This Row],[BIMS Score]],BIMS[],2,FALSE),"")</f>
        <v/>
      </c>
      <c r="P36" s="3"/>
      <c r="Q36" s="3"/>
      <c r="R36" s="2"/>
      <c r="S36" s="168"/>
      <c r="T36" s="5"/>
      <c r="U36" s="5"/>
      <c r="V36" s="5"/>
    </row>
    <row r="37" spans="2:22" ht="20.85" customHeight="1" x14ac:dyDescent="0.25">
      <c r="B37" s="266"/>
      <c r="C37" s="5"/>
      <c r="D37" s="263"/>
      <c r="E37" s="263"/>
      <c r="F37" s="267"/>
      <c r="G37" s="267"/>
      <c r="H37" s="1"/>
      <c r="I37" s="1"/>
      <c r="J37" s="1"/>
      <c r="K37" s="27" t="str">
        <f>IF(Nov[[#This Row],[Date of Incident]]="","",TEXT(Nov[[#This Row],[Date of Incident]],"ddd"))</f>
        <v/>
      </c>
      <c r="L37" s="1"/>
      <c r="M37" s="27" t="str">
        <f>IFERROR(VLOOKUP(Nov[[#This Row],[Hour]],Shifts[],2,FALSE),"")</f>
        <v/>
      </c>
      <c r="N37" s="2"/>
      <c r="O37" s="24" t="str">
        <f>IFERROR(VLOOKUP(Nov[[#This Row],[BIMS Score]],BIMS[],2,FALSE),"")</f>
        <v/>
      </c>
      <c r="P37" s="3"/>
      <c r="Q37" s="3"/>
      <c r="R37" s="2"/>
      <c r="S37" s="168"/>
      <c r="T37" s="5"/>
      <c r="U37" s="5"/>
      <c r="V37" s="5"/>
    </row>
    <row r="38" spans="2:22" ht="20.85" customHeight="1" x14ac:dyDescent="0.25">
      <c r="B38" s="266"/>
      <c r="C38" s="5"/>
      <c r="D38" s="263"/>
      <c r="E38" s="263"/>
      <c r="F38" s="267"/>
      <c r="G38" s="267"/>
      <c r="H38" s="1"/>
      <c r="I38" s="1"/>
      <c r="J38" s="1"/>
      <c r="K38" s="27" t="str">
        <f>IF(Nov[[#This Row],[Date of Incident]]="","",TEXT(Nov[[#This Row],[Date of Incident]],"ddd"))</f>
        <v/>
      </c>
      <c r="L38" s="1"/>
      <c r="M38" s="27" t="str">
        <f>IFERROR(VLOOKUP(Nov[[#This Row],[Hour]],Shifts[],2,FALSE),"")</f>
        <v/>
      </c>
      <c r="N38" s="2"/>
      <c r="O38" s="24" t="str">
        <f>IFERROR(VLOOKUP(Nov[[#This Row],[BIMS Score]],BIMS[],2,FALSE),"")</f>
        <v/>
      </c>
      <c r="P38" s="3"/>
      <c r="Q38" s="3"/>
      <c r="R38" s="2"/>
      <c r="S38" s="168"/>
      <c r="T38" s="5"/>
      <c r="U38" s="5"/>
      <c r="V38" s="5"/>
    </row>
    <row r="39" spans="2:22" ht="20.85" customHeight="1" x14ac:dyDescent="0.25">
      <c r="B39" s="266"/>
      <c r="C39" s="5"/>
      <c r="D39" s="263"/>
      <c r="E39" s="263"/>
      <c r="F39" s="267"/>
      <c r="G39" s="267"/>
      <c r="H39" s="1"/>
      <c r="I39" s="1"/>
      <c r="J39" s="1"/>
      <c r="K39" s="27" t="str">
        <f>IF(Nov[[#This Row],[Date of Incident]]="","",TEXT(Nov[[#This Row],[Date of Incident]],"ddd"))</f>
        <v/>
      </c>
      <c r="L39" s="1"/>
      <c r="M39" s="27" t="str">
        <f>IFERROR(VLOOKUP(Nov[[#This Row],[Hour]],Shifts[],2,FALSE),"")</f>
        <v/>
      </c>
      <c r="N39" s="2"/>
      <c r="O39" s="24" t="str">
        <f>IFERROR(VLOOKUP(Nov[[#This Row],[BIMS Score]],BIMS[],2,FALSE),"")</f>
        <v/>
      </c>
      <c r="P39" s="3"/>
      <c r="Q39" s="3"/>
      <c r="R39" s="2"/>
      <c r="S39" s="168"/>
      <c r="T39" s="5"/>
      <c r="U39" s="5"/>
      <c r="V39" s="5"/>
    </row>
    <row r="40" spans="2:22" ht="20.85" customHeight="1" x14ac:dyDescent="0.25">
      <c r="B40" s="266"/>
      <c r="C40" s="5"/>
      <c r="D40" s="263"/>
      <c r="E40" s="263"/>
      <c r="F40" s="267"/>
      <c r="G40" s="267"/>
      <c r="H40" s="1"/>
      <c r="I40" s="1"/>
      <c r="J40" s="1"/>
      <c r="K40" s="27" t="str">
        <f>IF(Nov[[#This Row],[Date of Incident]]="","",TEXT(Nov[[#This Row],[Date of Incident]],"ddd"))</f>
        <v/>
      </c>
      <c r="L40" s="1"/>
      <c r="M40" s="27" t="str">
        <f>IFERROR(VLOOKUP(Nov[[#This Row],[Hour]],Shifts[],2,FALSE),"")</f>
        <v/>
      </c>
      <c r="N40" s="2"/>
      <c r="O40" s="24" t="str">
        <f>IFERROR(VLOOKUP(Nov[[#This Row],[BIMS Score]],BIMS[],2,FALSE),"")</f>
        <v/>
      </c>
      <c r="P40" s="3"/>
      <c r="Q40" s="3"/>
      <c r="R40" s="2"/>
      <c r="S40" s="168"/>
      <c r="T40" s="5"/>
      <c r="U40" s="5"/>
      <c r="V40" s="5"/>
    </row>
    <row r="41" spans="2:22" x14ac:dyDescent="0.25">
      <c r="B41" s="26"/>
      <c r="C41" s="21"/>
      <c r="D41" s="22"/>
      <c r="E41" s="23"/>
      <c r="F41" s="26"/>
      <c r="G41" s="26"/>
      <c r="H41" s="26"/>
      <c r="I41" s="26"/>
      <c r="J41" s="26"/>
      <c r="K41" s="26"/>
      <c r="L41" s="26"/>
      <c r="M41" s="26"/>
      <c r="N41" s="20"/>
      <c r="O41" s="25"/>
      <c r="P41" s="21"/>
      <c r="Q41" s="21"/>
      <c r="R41" s="25"/>
    </row>
    <row r="42" spans="2:22" x14ac:dyDescent="0.25">
      <c r="B42" s="26"/>
      <c r="C42" s="21"/>
      <c r="D42" s="22"/>
      <c r="E42" s="23"/>
      <c r="F42" s="26"/>
      <c r="G42" s="26"/>
      <c r="H42" s="26"/>
      <c r="I42" s="26"/>
      <c r="J42" s="26"/>
      <c r="K42" s="26"/>
      <c r="L42" s="26"/>
      <c r="M42" s="26"/>
      <c r="N42" s="20"/>
      <c r="O42" s="25"/>
      <c r="P42" s="21"/>
      <c r="Q42" s="21"/>
      <c r="R42" s="25"/>
    </row>
    <row r="43" spans="2:22" x14ac:dyDescent="0.25">
      <c r="B43" s="26"/>
      <c r="C43" s="21"/>
      <c r="D43" s="22"/>
      <c r="E43" s="23"/>
      <c r="F43" s="26"/>
      <c r="G43" s="26"/>
      <c r="H43" s="26"/>
      <c r="I43" s="26"/>
      <c r="J43" s="26"/>
      <c r="K43" s="26"/>
      <c r="L43" s="26"/>
      <c r="M43" s="26"/>
      <c r="N43" s="20"/>
      <c r="O43" s="25"/>
      <c r="P43" s="21"/>
      <c r="Q43" s="21"/>
      <c r="R43" s="25"/>
    </row>
    <row r="44" spans="2:22" x14ac:dyDescent="0.25">
      <c r="B44" s="26"/>
      <c r="C44" s="21"/>
      <c r="D44" s="22"/>
      <c r="E44" s="23"/>
      <c r="F44" s="26"/>
      <c r="G44" s="26"/>
      <c r="H44" s="26"/>
      <c r="I44" s="26"/>
      <c r="J44" s="26"/>
      <c r="K44" s="26"/>
      <c r="L44" s="26"/>
      <c r="M44" s="26"/>
      <c r="N44" s="20"/>
      <c r="O44" s="25"/>
      <c r="P44" s="21"/>
      <c r="Q44" s="21"/>
      <c r="R44" s="25"/>
    </row>
    <row r="45" spans="2:22" x14ac:dyDescent="0.25">
      <c r="B45" s="26"/>
      <c r="C45" s="21"/>
      <c r="D45" s="22"/>
      <c r="E45" s="23"/>
      <c r="F45" s="26"/>
      <c r="G45" s="26"/>
      <c r="H45" s="26"/>
      <c r="I45" s="26"/>
      <c r="J45" s="26"/>
      <c r="K45" s="26"/>
      <c r="L45" s="26"/>
      <c r="M45" s="26"/>
      <c r="N45" s="20"/>
      <c r="O45" s="25"/>
      <c r="P45" s="21"/>
      <c r="Q45" s="21"/>
      <c r="R45" s="25"/>
    </row>
    <row r="46" spans="2:22" x14ac:dyDescent="0.25">
      <c r="B46" s="26"/>
      <c r="C46" s="21"/>
      <c r="D46" s="22"/>
      <c r="E46" s="23"/>
      <c r="F46" s="26"/>
      <c r="G46" s="26"/>
      <c r="H46" s="26"/>
      <c r="I46" s="26"/>
      <c r="J46" s="26"/>
      <c r="K46" s="26"/>
      <c r="L46" s="26"/>
      <c r="M46" s="26"/>
      <c r="N46" s="20"/>
      <c r="O46" s="25"/>
      <c r="P46" s="21"/>
      <c r="Q46" s="21"/>
      <c r="R46" s="25"/>
    </row>
    <row r="47" spans="2:22" x14ac:dyDescent="0.25">
      <c r="B47" s="26"/>
      <c r="C47" s="21"/>
      <c r="D47" s="22"/>
      <c r="E47" s="23"/>
      <c r="F47" s="26"/>
      <c r="G47" s="26"/>
      <c r="H47" s="26"/>
      <c r="I47" s="26"/>
      <c r="J47" s="26"/>
      <c r="K47" s="26"/>
      <c r="L47" s="26"/>
      <c r="M47" s="26"/>
      <c r="N47" s="20"/>
      <c r="O47" s="25"/>
      <c r="P47" s="21"/>
      <c r="Q47" s="21"/>
      <c r="R47" s="25"/>
    </row>
    <row r="48" spans="2:22" x14ac:dyDescent="0.25">
      <c r="B48" s="26"/>
      <c r="C48" s="21"/>
      <c r="D48" s="22"/>
      <c r="E48" s="23"/>
      <c r="F48" s="26"/>
      <c r="G48" s="26"/>
      <c r="H48" s="26"/>
      <c r="I48" s="26"/>
      <c r="J48" s="26"/>
      <c r="K48" s="26"/>
      <c r="L48" s="26"/>
      <c r="M48" s="26"/>
      <c r="N48" s="20"/>
      <c r="O48" s="25"/>
      <c r="P48" s="21"/>
      <c r="Q48" s="21"/>
      <c r="R48" s="25"/>
    </row>
    <row r="49" spans="1:18" x14ac:dyDescent="0.25">
      <c r="B49" s="26"/>
      <c r="C49" s="21"/>
      <c r="D49" s="22"/>
      <c r="E49" s="23"/>
      <c r="F49" s="26"/>
      <c r="G49" s="26"/>
      <c r="H49" s="26"/>
      <c r="I49" s="26"/>
      <c r="J49" s="26"/>
      <c r="K49" s="26"/>
      <c r="L49" s="26"/>
      <c r="M49" s="26"/>
      <c r="N49" s="20"/>
      <c r="O49" s="25"/>
      <c r="P49" s="21"/>
      <c r="Q49" s="21"/>
      <c r="R49" s="25"/>
    </row>
    <row r="50" spans="1:18" ht="15.75" thickBot="1" x14ac:dyDescent="0.3">
      <c r="B50" s="26"/>
      <c r="C50" s="21"/>
      <c r="D50" s="22"/>
      <c r="E50" s="23"/>
      <c r="F50" s="26"/>
      <c r="G50" s="26"/>
      <c r="H50" s="26"/>
      <c r="I50" s="26"/>
      <c r="Q50" s="21"/>
    </row>
    <row r="51" spans="1:18" ht="22.35" customHeight="1" thickBot="1" x14ac:dyDescent="0.3">
      <c r="B51" s="280" t="s">
        <v>85</v>
      </c>
      <c r="C51" s="281"/>
      <c r="D51" s="282"/>
      <c r="F51" s="280" t="s">
        <v>100</v>
      </c>
      <c r="G51" s="281"/>
      <c r="H51" s="282"/>
    </row>
    <row r="52" spans="1:18" ht="15.6" customHeight="1" x14ac:dyDescent="0.25">
      <c r="B52" s="283" t="s">
        <v>83</v>
      </c>
      <c r="C52" s="284"/>
      <c r="D52" s="28" t="s">
        <v>35</v>
      </c>
      <c r="F52" s="283" t="s">
        <v>83</v>
      </c>
      <c r="G52" s="284"/>
      <c r="H52" s="28" t="s">
        <v>35</v>
      </c>
    </row>
    <row r="53" spans="1:18" x14ac:dyDescent="0.25">
      <c r="B53" s="29" t="s">
        <v>41</v>
      </c>
      <c r="C53" s="30"/>
      <c r="D53" s="31">
        <f>COUNTIFS(Nov[Witnessed
Fall?],$B53)</f>
        <v>0</v>
      </c>
      <c r="F53" s="29" t="s">
        <v>79</v>
      </c>
      <c r="G53" s="30"/>
      <c r="H53" s="31">
        <f>COUNTIFS(Nov[Fall Circumstances],$F53)</f>
        <v>0</v>
      </c>
    </row>
    <row r="54" spans="1:18" ht="15.75" thickBot="1" x14ac:dyDescent="0.3">
      <c r="B54" s="32" t="s">
        <v>42</v>
      </c>
      <c r="C54" s="33"/>
      <c r="D54" s="34">
        <f>COUNTIFS(Nov[Witnessed
Fall?],$B54)</f>
        <v>0</v>
      </c>
      <c r="F54" s="29" t="s">
        <v>101</v>
      </c>
      <c r="G54" s="30"/>
      <c r="H54" s="31">
        <f>COUNTIFS(Nov[Fall Circumstances],$F54)</f>
        <v>0</v>
      </c>
    </row>
    <row r="55" spans="1:18" ht="15.6" customHeight="1" thickBot="1" x14ac:dyDescent="0.3">
      <c r="B55" s="285" t="s">
        <v>16</v>
      </c>
      <c r="C55" s="286"/>
      <c r="D55" s="35">
        <f>SUM(D53:D54)</f>
        <v>0</v>
      </c>
      <c r="F55" s="32" t="s">
        <v>102</v>
      </c>
      <c r="G55" s="33"/>
      <c r="H55" s="36">
        <f>COUNTIFS(Nov[Fall Circumstances],$F55)</f>
        <v>0</v>
      </c>
    </row>
    <row r="56" spans="1:18" ht="15.6" customHeight="1" thickBot="1" x14ac:dyDescent="0.3">
      <c r="A56" s="26"/>
      <c r="B56" s="21"/>
      <c r="C56" s="22"/>
      <c r="D56" s="26"/>
      <c r="F56" s="285" t="s">
        <v>16</v>
      </c>
      <c r="G56" s="286"/>
      <c r="H56" s="37">
        <f>SUM(H53:H55)</f>
        <v>0</v>
      </c>
    </row>
    <row r="57" spans="1:18" ht="15.75" thickBot="1" x14ac:dyDescent="0.3">
      <c r="A57" s="26"/>
      <c r="B57" s="21"/>
      <c r="C57" s="22"/>
      <c r="D57" s="26"/>
      <c r="F57" s="26"/>
      <c r="G57" s="21"/>
      <c r="H57" s="22"/>
      <c r="L57" s="21"/>
      <c r="O57" s="22"/>
    </row>
    <row r="58" spans="1:18" ht="15.75" thickBot="1" x14ac:dyDescent="0.3">
      <c r="A58" s="26"/>
      <c r="B58" s="21"/>
      <c r="C58" s="22"/>
      <c r="D58" s="26"/>
      <c r="F58" s="280" t="s">
        <v>103</v>
      </c>
      <c r="G58" s="281"/>
      <c r="H58" s="282"/>
      <c r="L58" s="21"/>
      <c r="O58" s="22"/>
    </row>
    <row r="59" spans="1:18" x14ac:dyDescent="0.25">
      <c r="A59" s="26"/>
      <c r="B59" s="21"/>
      <c r="C59" s="22"/>
      <c r="D59" s="26"/>
      <c r="F59" s="283" t="s">
        <v>26</v>
      </c>
      <c r="G59" s="284"/>
      <c r="H59" s="28" t="s">
        <v>35</v>
      </c>
      <c r="L59" s="21"/>
      <c r="O59" s="22"/>
    </row>
    <row r="60" spans="1:18" ht="15.6" customHeight="1" x14ac:dyDescent="0.25">
      <c r="F60" s="29" t="s">
        <v>142</v>
      </c>
      <c r="G60" s="30"/>
      <c r="H60" s="31">
        <f>COUNTIFS(Nov[Cognitive Impairment],$F60)</f>
        <v>0</v>
      </c>
    </row>
    <row r="61" spans="1:18" x14ac:dyDescent="0.25">
      <c r="F61" s="29" t="s">
        <v>143</v>
      </c>
      <c r="G61" s="30"/>
      <c r="H61" s="31">
        <f>COUNTIFS(Nov[Cognitive Impairment],$F61)</f>
        <v>0</v>
      </c>
    </row>
    <row r="62" spans="1:18" ht="15.75" thickBot="1" x14ac:dyDescent="0.3">
      <c r="F62" s="32" t="s">
        <v>144</v>
      </c>
      <c r="G62" s="33"/>
      <c r="H62" s="31">
        <f>COUNTIFS(Nov[Cognitive Impairment],$F62)</f>
        <v>0</v>
      </c>
    </row>
    <row r="63" spans="1:18" ht="15.75" thickBot="1" x14ac:dyDescent="0.3">
      <c r="F63" s="285" t="s">
        <v>16</v>
      </c>
      <c r="G63" s="286"/>
      <c r="H63" s="37">
        <f>SUM(H60:H62)</f>
        <v>0</v>
      </c>
    </row>
    <row r="64" spans="1:18" ht="15.75" thickBot="1" x14ac:dyDescent="0.3"/>
    <row r="65" spans="1:8" ht="21.4" customHeight="1" thickBot="1" x14ac:dyDescent="0.3">
      <c r="B65" s="280" t="s">
        <v>78</v>
      </c>
      <c r="C65" s="281"/>
      <c r="D65" s="281"/>
      <c r="E65" s="281"/>
      <c r="F65" s="281"/>
      <c r="G65" s="282"/>
    </row>
    <row r="66" spans="1:8" ht="15.6" customHeight="1" x14ac:dyDescent="0.25">
      <c r="A66" s="38"/>
      <c r="B66" s="288" t="s">
        <v>86</v>
      </c>
      <c r="C66" s="289"/>
      <c r="D66" s="289"/>
      <c r="E66" s="289"/>
      <c r="F66" s="290"/>
      <c r="G66" s="28" t="s">
        <v>35</v>
      </c>
    </row>
    <row r="67" spans="1:8" x14ac:dyDescent="0.25">
      <c r="A67" s="38"/>
      <c r="B67" s="39" t="str" cm="1">
        <f t="array" ref="B67:B90">IF(_xlfn._xlws.SORT(PriortoFall[What was the resident doing prior to fall?],1,1,TRUE)=0,"",(_xlfn._xlws.SORT(PriortoFall[What was the resident doing prior to fall?],1,1,TRUE)))</f>
        <v>Ambulating with assistive device (walker, cane, wheelchair)</v>
      </c>
      <c r="C67" s="40"/>
      <c r="D67" s="40"/>
      <c r="E67" s="40"/>
      <c r="F67" s="41"/>
      <c r="G67" s="42">
        <f>IF($B67="",NA(),COUNTIFS(Nov[What was resident doing prior to fall?],$B67))</f>
        <v>0</v>
      </c>
      <c r="H67" s="43"/>
    </row>
    <row r="68" spans="1:8" x14ac:dyDescent="0.25">
      <c r="A68" s="38"/>
      <c r="B68" s="44" t="str">
        <v>Ambulating with staff assistance</v>
      </c>
      <c r="C68" s="45"/>
      <c r="D68" s="45"/>
      <c r="E68" s="45"/>
      <c r="F68" s="46"/>
      <c r="G68" s="42">
        <f>IF($B68="",NA(),COUNTIFS(Nov[What was resident doing prior to fall?],$B68))</f>
        <v>0</v>
      </c>
    </row>
    <row r="69" spans="1:8" x14ac:dyDescent="0.25">
      <c r="A69" s="38"/>
      <c r="B69" s="39" t="str">
        <v>Ambulating without assistance or assistive device</v>
      </c>
      <c r="C69" s="40"/>
      <c r="D69" s="40"/>
      <c r="E69" s="40"/>
      <c r="F69" s="41"/>
      <c r="G69" s="42">
        <f>IF($B69="",NA(),COUNTIFS(Nov[What was resident doing prior to fall?],$B69))</f>
        <v>0</v>
      </c>
    </row>
    <row r="70" spans="1:8" x14ac:dyDescent="0.25">
      <c r="A70" s="38"/>
      <c r="B70" s="44" t="str">
        <v>Changing position (e.g., in bed, chair)</v>
      </c>
      <c r="C70" s="45"/>
      <c r="D70" s="45"/>
      <c r="E70" s="45"/>
      <c r="F70" s="46"/>
      <c r="G70" s="42">
        <f>IF($B70="",NA(),COUNTIFS(Nov[What was resident doing prior to fall?],$B70))</f>
        <v>0</v>
      </c>
    </row>
    <row r="71" spans="1:8" x14ac:dyDescent="0.25">
      <c r="A71" s="38"/>
      <c r="B71" s="44" t="str">
        <v>Dressing or undressing</v>
      </c>
      <c r="C71" s="45"/>
      <c r="D71" s="45"/>
      <c r="E71" s="45"/>
      <c r="F71" s="46"/>
      <c r="G71" s="42">
        <f>IF($B71="",NA(),COUNTIFS(Nov[What was resident doing prior to fall?],$B71))</f>
        <v>0</v>
      </c>
    </row>
    <row r="72" spans="1:8" x14ac:dyDescent="0.25">
      <c r="A72" s="38"/>
      <c r="B72" s="44" t="str">
        <v>Other activity</v>
      </c>
      <c r="C72" s="45"/>
      <c r="D72" s="45"/>
      <c r="E72" s="45"/>
      <c r="F72" s="46"/>
      <c r="G72" s="42">
        <f>IF($B72="",NA(),COUNTIFS(Nov[What was resident doing prior to fall?],$B72))</f>
        <v>0</v>
      </c>
    </row>
    <row r="73" spans="1:8" x14ac:dyDescent="0.25">
      <c r="A73" s="38"/>
      <c r="B73" s="44" t="str">
        <v>Reaching for an item</v>
      </c>
      <c r="C73" s="45"/>
      <c r="D73" s="45"/>
      <c r="E73" s="45"/>
      <c r="F73" s="46"/>
      <c r="G73" s="42">
        <f>IF($B73="",NA(),COUNTIFS(Nov[What was resident doing prior to fall?],$B73))</f>
        <v>0</v>
      </c>
    </row>
    <row r="74" spans="1:8" x14ac:dyDescent="0.25">
      <c r="A74" s="38"/>
      <c r="B74" s="44" t="str">
        <v>Showering or bathing</v>
      </c>
      <c r="C74" s="45"/>
      <c r="D74" s="45"/>
      <c r="E74" s="45"/>
      <c r="F74" s="46"/>
      <c r="G74" s="42">
        <f>IF($B74="",NA(),COUNTIFS(Nov[What was resident doing prior to fall?],$B74))</f>
        <v>0</v>
      </c>
    </row>
    <row r="75" spans="1:8" x14ac:dyDescent="0.25">
      <c r="A75" s="38"/>
      <c r="B75" s="44" t="str">
        <v>Toileting</v>
      </c>
      <c r="C75" s="45"/>
      <c r="D75" s="45"/>
      <c r="E75" s="45"/>
      <c r="F75" s="46"/>
      <c r="G75" s="42">
        <f>IF($B75="",NA(),COUNTIFS(Nov[What was resident doing prior to fall?],$B75))</f>
        <v>0</v>
      </c>
    </row>
    <row r="76" spans="1:8" x14ac:dyDescent="0.25">
      <c r="A76" s="38"/>
      <c r="B76" s="44" t="str">
        <v>Transferring to or from bed, chair, wheelchair, etc.</v>
      </c>
      <c r="C76" s="45"/>
      <c r="D76" s="45"/>
      <c r="E76" s="45"/>
      <c r="F76" s="46"/>
      <c r="G76" s="42">
        <f>IF($B76="",NA(),COUNTIFS(Nov[What was resident doing prior to fall?],$B76))</f>
        <v>0</v>
      </c>
    </row>
    <row r="77" spans="1:8" x14ac:dyDescent="0.25">
      <c r="A77" s="38"/>
      <c r="B77" s="39" t="str">
        <v>Unknown</v>
      </c>
      <c r="C77" s="40"/>
      <c r="D77" s="40"/>
      <c r="E77" s="40"/>
      <c r="F77" s="41"/>
      <c r="G77" s="42">
        <f>IF($B77="",NA(),COUNTIFS(Nov[What was resident doing prior to fall?],$B77))</f>
        <v>0</v>
      </c>
    </row>
    <row r="78" spans="1:8" x14ac:dyDescent="0.25">
      <c r="A78" s="38"/>
      <c r="B78" s="44" t="str">
        <v/>
      </c>
      <c r="C78" s="45"/>
      <c r="D78" s="45"/>
      <c r="E78" s="45"/>
      <c r="F78" s="46"/>
      <c r="G78" s="42" t="e">
        <f>IF($B78="",NA(),COUNTIFS(Nov[What was resident doing prior to fall?],$B78))</f>
        <v>#N/A</v>
      </c>
    </row>
    <row r="79" spans="1:8" x14ac:dyDescent="0.25">
      <c r="A79" s="38"/>
      <c r="B79" s="39" t="str">
        <v/>
      </c>
      <c r="C79" s="40"/>
      <c r="D79" s="40"/>
      <c r="E79" s="40"/>
      <c r="F79" s="41"/>
      <c r="G79" s="42" t="e">
        <f>IF($B79="",NA(),COUNTIFS(Nov[What was resident doing prior to fall?],$B79))</f>
        <v>#N/A</v>
      </c>
    </row>
    <row r="80" spans="1:8" x14ac:dyDescent="0.25">
      <c r="A80" s="38"/>
      <c r="B80" s="44" t="str">
        <v/>
      </c>
      <c r="C80" s="45"/>
      <c r="D80" s="45"/>
      <c r="E80" s="45"/>
      <c r="F80" s="46"/>
      <c r="G80" s="42" t="e">
        <f>IF($B80="",NA(),COUNTIFS(Nov[What was resident doing prior to fall?],$B80))</f>
        <v>#N/A</v>
      </c>
    </row>
    <row r="81" spans="1:7" x14ac:dyDescent="0.25">
      <c r="A81" s="38"/>
      <c r="B81" s="39" t="str">
        <v/>
      </c>
      <c r="C81" s="40"/>
      <c r="D81" s="40"/>
      <c r="E81" s="40"/>
      <c r="F81" s="41"/>
      <c r="G81" s="42" t="e">
        <f>IF($B81="",NA(),COUNTIFS(Nov[What was resident doing prior to fall?],$B81))</f>
        <v>#N/A</v>
      </c>
    </row>
    <row r="82" spans="1:7" x14ac:dyDescent="0.25">
      <c r="A82" s="38"/>
      <c r="B82" s="44" t="str">
        <v/>
      </c>
      <c r="C82" s="45"/>
      <c r="D82" s="45"/>
      <c r="E82" s="45"/>
      <c r="F82" s="46"/>
      <c r="G82" s="42" t="e">
        <f>IF($B82="",NA(),COUNTIFS(Nov[What was resident doing prior to fall?],$B82))</f>
        <v>#N/A</v>
      </c>
    </row>
    <row r="83" spans="1:7" x14ac:dyDescent="0.25">
      <c r="A83" s="38"/>
      <c r="B83" s="39" t="str">
        <v/>
      </c>
      <c r="C83" s="40"/>
      <c r="D83" s="40"/>
      <c r="E83" s="40"/>
      <c r="F83" s="41"/>
      <c r="G83" s="42" t="e">
        <f>IF($B83="",NA(),COUNTIFS(Nov[What was resident doing prior to fall?],$B83))</f>
        <v>#N/A</v>
      </c>
    </row>
    <row r="84" spans="1:7" x14ac:dyDescent="0.25">
      <c r="A84" s="38"/>
      <c r="B84" s="44" t="str">
        <v/>
      </c>
      <c r="C84" s="45"/>
      <c r="D84" s="45"/>
      <c r="E84" s="45"/>
      <c r="F84" s="46"/>
      <c r="G84" s="42" t="e">
        <f>IF($B84="",NA(),COUNTIFS(Nov[What was resident doing prior to fall?],$B84))</f>
        <v>#N/A</v>
      </c>
    </row>
    <row r="85" spans="1:7" x14ac:dyDescent="0.25">
      <c r="A85" s="38"/>
      <c r="B85" s="44" t="str">
        <v/>
      </c>
      <c r="C85" s="45"/>
      <c r="D85" s="45"/>
      <c r="E85" s="45"/>
      <c r="F85" s="46"/>
      <c r="G85" s="42" t="e">
        <f>IF($B85="",NA(),COUNTIFS(Nov[What was resident doing prior to fall?],$B85))</f>
        <v>#N/A</v>
      </c>
    </row>
    <row r="86" spans="1:7" x14ac:dyDescent="0.25">
      <c r="A86" s="38"/>
      <c r="B86" s="39" t="str">
        <v/>
      </c>
      <c r="C86" s="40"/>
      <c r="D86" s="40"/>
      <c r="E86" s="40"/>
      <c r="F86" s="41"/>
      <c r="G86" s="42" t="e">
        <f>IF($B86="",NA(),COUNTIFS(Nov[What was resident doing prior to fall?],$B86))</f>
        <v>#N/A</v>
      </c>
    </row>
    <row r="87" spans="1:7" x14ac:dyDescent="0.25">
      <c r="A87" s="38"/>
      <c r="B87" s="44" t="str">
        <v/>
      </c>
      <c r="C87" s="45"/>
      <c r="D87" s="45"/>
      <c r="E87" s="45"/>
      <c r="F87" s="46"/>
      <c r="G87" s="42" t="e">
        <f>IF($B87="",NA(),COUNTIFS(Nov[What was resident doing prior to fall?],$B87))</f>
        <v>#N/A</v>
      </c>
    </row>
    <row r="88" spans="1:7" x14ac:dyDescent="0.25">
      <c r="A88" s="38"/>
      <c r="B88" s="39" t="str">
        <v/>
      </c>
      <c r="C88" s="40"/>
      <c r="D88" s="40"/>
      <c r="E88" s="40"/>
      <c r="F88" s="41"/>
      <c r="G88" s="42" t="e">
        <f>IF($B88="",NA(),COUNTIFS(Nov[What was resident doing prior to fall?],$B88))</f>
        <v>#N/A</v>
      </c>
    </row>
    <row r="89" spans="1:7" x14ac:dyDescent="0.25">
      <c r="A89" s="38"/>
      <c r="B89" s="44" t="str">
        <v/>
      </c>
      <c r="C89" s="45"/>
      <c r="D89" s="45"/>
      <c r="E89" s="45"/>
      <c r="F89" s="46"/>
      <c r="G89" s="42" t="e">
        <f>IF($B89="",NA(),COUNTIFS(Nov[What was resident doing prior to fall?],$B89))</f>
        <v>#N/A</v>
      </c>
    </row>
    <row r="90" spans="1:7" ht="15.75" thickBot="1" x14ac:dyDescent="0.3">
      <c r="A90" s="38"/>
      <c r="B90" s="47" t="str">
        <v/>
      </c>
      <c r="C90" s="47"/>
      <c r="D90" s="47"/>
      <c r="E90" s="47"/>
      <c r="F90" s="48"/>
      <c r="G90" s="42" t="e">
        <f>IF($B90="",NA(),COUNTIFS(Nov[What was resident doing prior to fall?],$B90))</f>
        <v>#N/A</v>
      </c>
    </row>
    <row r="91" spans="1:7" ht="15.6" customHeight="1" thickBot="1" x14ac:dyDescent="0.3">
      <c r="B91" s="285" t="s">
        <v>35</v>
      </c>
      <c r="C91" s="286"/>
      <c r="D91" s="286"/>
      <c r="E91" s="286"/>
      <c r="F91" s="287"/>
      <c r="G91" s="37">
        <f>_xlfn.AGGREGATE(9,6,G67:G90)</f>
        <v>0</v>
      </c>
    </row>
    <row r="92" spans="1:7" ht="15.75" thickBot="1" x14ac:dyDescent="0.3"/>
    <row r="93" spans="1:7" ht="22.35" customHeight="1" thickBot="1" x14ac:dyDescent="0.3">
      <c r="B93" s="293" t="s">
        <v>173</v>
      </c>
      <c r="C93" s="294"/>
      <c r="D93" s="295"/>
    </row>
    <row r="94" spans="1:7" x14ac:dyDescent="0.25">
      <c r="A94" s="38"/>
      <c r="B94" s="298" t="s">
        <v>1</v>
      </c>
      <c r="C94" s="299"/>
      <c r="D94" s="49" t="s">
        <v>35</v>
      </c>
    </row>
    <row r="95" spans="1:7" x14ac:dyDescent="0.25">
      <c r="A95" s="38"/>
      <c r="B95" s="50" t="str" cm="1">
        <f t="array" ref="B95:B105">IF(_xlfn._xlws.SORT(Location[Location],1,1,TRUE)=0,"",(_xlfn._xlws.SORT(Location[Location],1,1,TRUE)))</f>
        <v>Activity Room</v>
      </c>
      <c r="C95" s="51"/>
      <c r="D95" s="52">
        <f>IF($B95="",NA(),COUNTIFS(Nov[Location],$B95))</f>
        <v>0</v>
      </c>
    </row>
    <row r="96" spans="1:7" x14ac:dyDescent="0.25">
      <c r="A96" s="38"/>
      <c r="B96" s="50" t="str">
        <v>Bedroom</v>
      </c>
      <c r="C96" s="51"/>
      <c r="D96" s="52">
        <f>IF($B96="",NA(),COUNTIFS(Nov[Location],$B96))</f>
        <v>0</v>
      </c>
    </row>
    <row r="97" spans="1:4" x14ac:dyDescent="0.25">
      <c r="A97" s="38"/>
      <c r="B97" s="50" t="str">
        <v>Bathroom</v>
      </c>
      <c r="C97" s="51"/>
      <c r="D97" s="52">
        <f>IF($B97="",NA(),COUNTIFS(Nov[Location],$B97))</f>
        <v>0</v>
      </c>
    </row>
    <row r="98" spans="1:4" x14ac:dyDescent="0.25">
      <c r="A98" s="38"/>
      <c r="B98" s="50" t="str">
        <v>Hallway</v>
      </c>
      <c r="C98" s="51"/>
      <c r="D98" s="52">
        <f>IF($B98="",NA(),COUNTIFS(Nov[Location],$B98))</f>
        <v>0</v>
      </c>
    </row>
    <row r="99" spans="1:4" x14ac:dyDescent="0.25">
      <c r="A99" s="38"/>
      <c r="B99" s="50" t="str">
        <v>Offsite</v>
      </c>
      <c r="C99" s="51"/>
      <c r="D99" s="52">
        <f>IF($B99="",NA(),COUNTIFS(Nov[Location],$B99))</f>
        <v>0</v>
      </c>
    </row>
    <row r="100" spans="1:4" x14ac:dyDescent="0.25">
      <c r="A100" s="38"/>
      <c r="B100" s="53" t="str">
        <v>Shower Room</v>
      </c>
      <c r="C100" s="54"/>
      <c r="D100" s="52">
        <f>IF($B100="",NA(),COUNTIFS(Nov[Location],$B100))</f>
        <v>0</v>
      </c>
    </row>
    <row r="101" spans="1:4" x14ac:dyDescent="0.25">
      <c r="A101" s="38"/>
      <c r="B101" s="55" t="str">
        <v>Dining Room</v>
      </c>
      <c r="C101" s="56"/>
      <c r="D101" s="52">
        <f>IF($B101="",NA(),COUNTIFS(Nov[Location],$B101))</f>
        <v>0</v>
      </c>
    </row>
    <row r="102" spans="1:4" x14ac:dyDescent="0.25">
      <c r="A102" s="38"/>
      <c r="B102" s="57" t="str">
        <v/>
      </c>
      <c r="C102" s="58"/>
      <c r="D102" s="52" t="e">
        <f>IF($B102="",NA(),COUNTIFS(Nov[Location],$B102))</f>
        <v>#N/A</v>
      </c>
    </row>
    <row r="103" spans="1:4" x14ac:dyDescent="0.25">
      <c r="A103" s="38"/>
      <c r="B103" s="59" t="str">
        <v/>
      </c>
      <c r="C103" s="51"/>
      <c r="D103" s="52" t="e">
        <f>IF($B103="",NA(),COUNTIFS(Nov[Location],$B103))</f>
        <v>#N/A</v>
      </c>
    </row>
    <row r="104" spans="1:4" x14ac:dyDescent="0.25">
      <c r="A104" s="38"/>
      <c r="B104" s="53" t="str">
        <v/>
      </c>
      <c r="C104" s="60"/>
      <c r="D104" s="52" t="e">
        <f>IF($B104="",NA(),COUNTIFS(Nov[Location],$B104))</f>
        <v>#N/A</v>
      </c>
    </row>
    <row r="105" spans="1:4" ht="15.75" thickBot="1" x14ac:dyDescent="0.3">
      <c r="A105" s="38"/>
      <c r="B105" s="59" t="str">
        <v/>
      </c>
      <c r="C105" s="61"/>
      <c r="D105" s="52" t="e">
        <f>IF($B105="",NA(),COUNTIFS(Nov[Location],$B105))</f>
        <v>#N/A</v>
      </c>
    </row>
    <row r="106" spans="1:4" ht="15.75" thickBot="1" x14ac:dyDescent="0.3">
      <c r="B106" s="296" t="s">
        <v>16</v>
      </c>
      <c r="C106" s="297"/>
      <c r="D106" s="37">
        <f>_xlfn.AGGREGATE(9,6,D95:D105)</f>
        <v>0</v>
      </c>
    </row>
    <row r="107" spans="1:4" ht="15.75" thickBot="1" x14ac:dyDescent="0.3"/>
    <row r="108" spans="1:4" ht="21.4" customHeight="1" thickBot="1" x14ac:dyDescent="0.3">
      <c r="B108" s="280" t="str">
        <f>"Falls by Nursing Station "</f>
        <v xml:space="preserve">Falls by Nursing Station </v>
      </c>
      <c r="C108" s="281"/>
      <c r="D108" s="282"/>
    </row>
    <row r="109" spans="1:4" ht="15.75" x14ac:dyDescent="0.25">
      <c r="B109" s="291" t="s">
        <v>2</v>
      </c>
      <c r="C109" s="291"/>
      <c r="D109" s="28" t="s">
        <v>35</v>
      </c>
    </row>
    <row r="110" spans="1:4" x14ac:dyDescent="0.25">
      <c r="B110" s="62" cm="1">
        <f t="array" ref="B110:B120">IF(_xlfn._xlws.SORT(NS[Nurses Stations],1,1,TRUE)=0,"",(_xlfn._xlws.SORT(NS[Nurses Stations],1,1,TRUE)))</f>
        <v>1</v>
      </c>
      <c r="C110" s="63"/>
      <c r="D110" s="31">
        <f>IF($B110="",NA(),COUNTIFS(Nov[Station],$B110))</f>
        <v>0</v>
      </c>
    </row>
    <row r="111" spans="1:4" x14ac:dyDescent="0.25">
      <c r="B111" s="62">
        <v>2</v>
      </c>
      <c r="C111" s="63"/>
      <c r="D111" s="31">
        <f>IF($B111="",NA(),COUNTIFS(Nov[Station],$B111))</f>
        <v>0</v>
      </c>
    </row>
    <row r="112" spans="1:4" x14ac:dyDescent="0.25">
      <c r="B112" s="62">
        <v>3</v>
      </c>
      <c r="C112" s="63"/>
      <c r="D112" s="31">
        <f>IF($B112="",NA(),COUNTIFS(Nov[Station],$B112))</f>
        <v>0</v>
      </c>
    </row>
    <row r="113" spans="2:4" x14ac:dyDescent="0.25">
      <c r="B113" s="62">
        <v>4</v>
      </c>
      <c r="C113" s="63"/>
      <c r="D113" s="31">
        <f>IF($B113="",NA(),COUNTIFS(Nov[Station],$B113))</f>
        <v>0</v>
      </c>
    </row>
    <row r="114" spans="2:4" x14ac:dyDescent="0.25">
      <c r="B114" s="62">
        <v>5</v>
      </c>
      <c r="C114" s="63"/>
      <c r="D114" s="31">
        <f>IF($B114="",NA(),COUNTIFS(Nov[Station],$B114))</f>
        <v>0</v>
      </c>
    </row>
    <row r="115" spans="2:4" x14ac:dyDescent="0.25">
      <c r="B115" s="62" t="str">
        <v/>
      </c>
      <c r="C115" s="63"/>
      <c r="D115" s="31" t="e">
        <f>IF($B115="",NA(),COUNTIFS(Nov[Station],$B115))</f>
        <v>#N/A</v>
      </c>
    </row>
    <row r="116" spans="2:4" x14ac:dyDescent="0.25">
      <c r="B116" s="62" t="str">
        <v/>
      </c>
      <c r="C116" s="63"/>
      <c r="D116" s="31" t="e">
        <f>IF($B116="",NA(),COUNTIFS(Nov[Station],$B116))</f>
        <v>#N/A</v>
      </c>
    </row>
    <row r="117" spans="2:4" x14ac:dyDescent="0.25">
      <c r="B117" s="62" t="str">
        <v/>
      </c>
      <c r="C117" s="63"/>
      <c r="D117" s="31" t="e">
        <f>IF($B117="",NA(),COUNTIFS(Nov[Station],$B117))</f>
        <v>#N/A</v>
      </c>
    </row>
    <row r="118" spans="2:4" x14ac:dyDescent="0.25">
      <c r="B118" s="62" t="str">
        <v/>
      </c>
      <c r="C118" s="63"/>
      <c r="D118" s="31" t="e">
        <f>IF($B118="",NA(),COUNTIFS(Nov[Station],$B118))</f>
        <v>#N/A</v>
      </c>
    </row>
    <row r="119" spans="2:4" x14ac:dyDescent="0.25">
      <c r="B119" s="62" t="str">
        <v/>
      </c>
      <c r="C119" s="63"/>
      <c r="D119" s="31" t="e">
        <f>IF($B119="",NA(),COUNTIFS(Nov[Station],$B119))</f>
        <v>#N/A</v>
      </c>
    </row>
    <row r="120" spans="2:4" ht="15.75" thickBot="1" x14ac:dyDescent="0.3">
      <c r="B120" s="64" t="str">
        <v/>
      </c>
      <c r="C120" s="63"/>
      <c r="D120" s="31" t="e">
        <f>IF($B120="",NA(),COUNTIFS(Nov[Station],$B120))</f>
        <v>#N/A</v>
      </c>
    </row>
    <row r="121" spans="2:4" ht="15.6" customHeight="1" thickBot="1" x14ac:dyDescent="0.3">
      <c r="B121" s="285" t="s">
        <v>16</v>
      </c>
      <c r="C121" s="286"/>
      <c r="D121" s="37">
        <f>_xlfn.AGGREGATE(9,6,D110:D120)</f>
        <v>0</v>
      </c>
    </row>
    <row r="122" spans="2:4" ht="15.6" customHeight="1" thickBot="1" x14ac:dyDescent="0.3">
      <c r="B122" s="65"/>
      <c r="C122" s="66"/>
      <c r="D122" s="67"/>
    </row>
    <row r="123" spans="2:4" ht="21.95" customHeight="1" thickBot="1" x14ac:dyDescent="0.3">
      <c r="B123" s="280" t="str">
        <f>"Falls by Day of the Week "</f>
        <v xml:space="preserve">Falls by Day of the Week </v>
      </c>
      <c r="C123" s="281"/>
      <c r="D123" s="282"/>
    </row>
    <row r="124" spans="2:4" ht="15.75" x14ac:dyDescent="0.25">
      <c r="B124" s="291" t="s">
        <v>3</v>
      </c>
      <c r="C124" s="291"/>
      <c r="D124" s="28" t="s">
        <v>35</v>
      </c>
    </row>
    <row r="125" spans="2:4" x14ac:dyDescent="0.25">
      <c r="B125" s="292" t="s">
        <v>46</v>
      </c>
      <c r="C125" s="292"/>
      <c r="D125" s="31">
        <f>COUNTIFS(Nov[Day],$B125)</f>
        <v>0</v>
      </c>
    </row>
    <row r="126" spans="2:4" x14ac:dyDescent="0.25">
      <c r="B126" s="292" t="s">
        <v>47</v>
      </c>
      <c r="C126" s="292"/>
      <c r="D126" s="31">
        <f>COUNTIFS(Nov[Day],$B126)</f>
        <v>0</v>
      </c>
    </row>
    <row r="127" spans="2:4" x14ac:dyDescent="0.25">
      <c r="B127" s="292" t="s">
        <v>52</v>
      </c>
      <c r="C127" s="292"/>
      <c r="D127" s="31">
        <f>COUNTIFS(Nov[Day],$B127)</f>
        <v>0</v>
      </c>
    </row>
    <row r="128" spans="2:4" x14ac:dyDescent="0.25">
      <c r="B128" s="292" t="s">
        <v>48</v>
      </c>
      <c r="C128" s="292"/>
      <c r="D128" s="31">
        <f>COUNTIFS(Nov[Day],$B128)</f>
        <v>0</v>
      </c>
    </row>
    <row r="129" spans="2:4" x14ac:dyDescent="0.25">
      <c r="B129" s="292" t="s">
        <v>51</v>
      </c>
      <c r="C129" s="292"/>
      <c r="D129" s="31">
        <f>COUNTIFS(Nov[Day],$B129)</f>
        <v>0</v>
      </c>
    </row>
    <row r="130" spans="2:4" x14ac:dyDescent="0.25">
      <c r="B130" s="292" t="s">
        <v>49</v>
      </c>
      <c r="C130" s="292"/>
      <c r="D130" s="31">
        <f>COUNTIFS(Nov[Day],$B130)</f>
        <v>0</v>
      </c>
    </row>
    <row r="131" spans="2:4" ht="15.75" thickBot="1" x14ac:dyDescent="0.3">
      <c r="B131" s="292" t="s">
        <v>50</v>
      </c>
      <c r="C131" s="292"/>
      <c r="D131" s="34">
        <f>COUNTIFS(Nov[Day],$B131)</f>
        <v>0</v>
      </c>
    </row>
    <row r="132" spans="2:4" ht="15.6" customHeight="1" thickBot="1" x14ac:dyDescent="0.3">
      <c r="B132" s="285" t="s">
        <v>16</v>
      </c>
      <c r="C132" s="286"/>
      <c r="D132" s="35">
        <f>SUM(D125:D131)</f>
        <v>0</v>
      </c>
    </row>
    <row r="133" spans="2:4" ht="15.75" thickBot="1" x14ac:dyDescent="0.3"/>
    <row r="134" spans="2:4" ht="21.4" customHeight="1" thickBot="1" x14ac:dyDescent="0.3">
      <c r="B134" s="280" t="str">
        <f>"Falls by Shift"</f>
        <v>Falls by Shift</v>
      </c>
      <c r="C134" s="281"/>
      <c r="D134" s="282"/>
    </row>
    <row r="135" spans="2:4" ht="15.75" x14ac:dyDescent="0.25">
      <c r="B135" s="291" t="s">
        <v>34</v>
      </c>
      <c r="C135" s="291"/>
      <c r="D135" s="28" t="s">
        <v>35</v>
      </c>
    </row>
    <row r="136" spans="2:4" x14ac:dyDescent="0.25">
      <c r="B136" s="29" t="str" cm="1">
        <f t="array" ref="B136:B140">IF(_xlfn._xlws.SORT('Data Validation'!P3:P7,1,1,TRUE)=0,"",(_xlfn._xlws.SORT('Data Validation'!P3:P7,1,1,TRUE)))</f>
        <v>11-7</v>
      </c>
      <c r="C136" s="58"/>
      <c r="D136" s="31">
        <f>IF($B136="",NA(),COUNTIFS(Nov[Shift],$B136))</f>
        <v>0</v>
      </c>
    </row>
    <row r="137" spans="2:4" x14ac:dyDescent="0.25">
      <c r="B137" s="29" t="str">
        <v>11–7</v>
      </c>
      <c r="C137" s="58"/>
      <c r="D137" s="31">
        <f>IF($B137="",NA(),COUNTIFS(Nov[Shift],$B137))</f>
        <v>0</v>
      </c>
    </row>
    <row r="138" spans="2:4" x14ac:dyDescent="0.25">
      <c r="B138" s="29" t="str">
        <v>7–3</v>
      </c>
      <c r="C138" s="58"/>
      <c r="D138" s="31">
        <f>IF($B138="",NA(),COUNTIFS(Nov[Shift],$B138))</f>
        <v>0</v>
      </c>
    </row>
    <row r="139" spans="2:4" x14ac:dyDescent="0.25">
      <c r="B139" s="29" t="str">
        <v>3–11</v>
      </c>
      <c r="C139" s="58"/>
      <c r="D139" s="31">
        <f>IF($B139="",NA(),COUNTIFS(Nov[Shift],$B139))</f>
        <v>0</v>
      </c>
    </row>
    <row r="140" spans="2:4" ht="15.75" thickBot="1" x14ac:dyDescent="0.3">
      <c r="B140" s="29" t="str">
        <v/>
      </c>
      <c r="C140" s="68"/>
      <c r="D140" s="34" t="e">
        <f>IF($B140="",NA(),COUNTIFS(Nov[Shift],$B140))</f>
        <v>#N/A</v>
      </c>
    </row>
    <row r="141" spans="2:4" ht="15.75" thickBot="1" x14ac:dyDescent="0.3">
      <c r="B141" s="285" t="s">
        <v>16</v>
      </c>
      <c r="C141" s="286"/>
      <c r="D141" s="35">
        <f>_xlfn.AGGREGATE(9,6,D136:D140)</f>
        <v>0</v>
      </c>
    </row>
    <row r="142" spans="2:4" ht="15.75" thickBot="1" x14ac:dyDescent="0.3"/>
    <row r="143" spans="2:4" ht="21.4" customHeight="1" thickBot="1" x14ac:dyDescent="0.3">
      <c r="B143" s="280" t="str">
        <f>"Falls by Hour "</f>
        <v xml:space="preserve">Falls by Hour </v>
      </c>
      <c r="C143" s="281"/>
      <c r="D143" s="282"/>
    </row>
    <row r="144" spans="2:4" ht="15.75" x14ac:dyDescent="0.25">
      <c r="B144" s="291" t="s">
        <v>33</v>
      </c>
      <c r="C144" s="291"/>
      <c r="D144" s="28" t="s">
        <v>35</v>
      </c>
    </row>
    <row r="145" spans="2:4" x14ac:dyDescent="0.25">
      <c r="B145" s="292" t="s">
        <v>115</v>
      </c>
      <c r="C145" s="292"/>
      <c r="D145" s="31">
        <f>COUNTIFS(Nov[Hour],$B145)</f>
        <v>0</v>
      </c>
    </row>
    <row r="146" spans="2:4" x14ac:dyDescent="0.25">
      <c r="B146" s="292" t="s">
        <v>116</v>
      </c>
      <c r="C146" s="292"/>
      <c r="D146" s="31">
        <f>COUNTIFS(Nov[Hour],$B146)</f>
        <v>0</v>
      </c>
    </row>
    <row r="147" spans="2:4" x14ac:dyDescent="0.25">
      <c r="B147" s="292" t="s">
        <v>117</v>
      </c>
      <c r="C147" s="292"/>
      <c r="D147" s="31">
        <f>COUNTIFS(Nov[Hour],$B147)</f>
        <v>0</v>
      </c>
    </row>
    <row r="148" spans="2:4" x14ac:dyDescent="0.25">
      <c r="B148" s="292" t="s">
        <v>118</v>
      </c>
      <c r="C148" s="292"/>
      <c r="D148" s="31">
        <f>COUNTIFS(Nov[Hour],$B148)</f>
        <v>0</v>
      </c>
    </row>
    <row r="149" spans="2:4" x14ac:dyDescent="0.25">
      <c r="B149" s="292" t="s">
        <v>119</v>
      </c>
      <c r="C149" s="292"/>
      <c r="D149" s="31">
        <f>COUNTIFS(Nov[Hour],$B149)</f>
        <v>0</v>
      </c>
    </row>
    <row r="150" spans="2:4" x14ac:dyDescent="0.25">
      <c r="B150" s="292" t="s">
        <v>120</v>
      </c>
      <c r="C150" s="292"/>
      <c r="D150" s="31">
        <f>COUNTIFS(Nov[Hour],$B150)</f>
        <v>0</v>
      </c>
    </row>
    <row r="151" spans="2:4" x14ac:dyDescent="0.25">
      <c r="B151" s="292" t="s">
        <v>121</v>
      </c>
      <c r="C151" s="292"/>
      <c r="D151" s="31">
        <f>COUNTIFS(Nov[Hour],$B151)</f>
        <v>0</v>
      </c>
    </row>
    <row r="152" spans="2:4" x14ac:dyDescent="0.25">
      <c r="B152" s="292" t="s">
        <v>122</v>
      </c>
      <c r="C152" s="292"/>
      <c r="D152" s="31">
        <f>COUNTIFS(Nov[Hour],$B152)</f>
        <v>0</v>
      </c>
    </row>
    <row r="153" spans="2:4" x14ac:dyDescent="0.25">
      <c r="B153" s="292" t="s">
        <v>123</v>
      </c>
      <c r="C153" s="292"/>
      <c r="D153" s="31">
        <f>COUNTIFS(Nov[Hour],$B153)</f>
        <v>0</v>
      </c>
    </row>
    <row r="154" spans="2:4" x14ac:dyDescent="0.25">
      <c r="B154" s="292" t="s">
        <v>124</v>
      </c>
      <c r="C154" s="292"/>
      <c r="D154" s="31">
        <f>COUNTIFS(Nov[Hour],$B154)</f>
        <v>0</v>
      </c>
    </row>
    <row r="155" spans="2:4" x14ac:dyDescent="0.25">
      <c r="B155" s="292" t="s">
        <v>125</v>
      </c>
      <c r="C155" s="292"/>
      <c r="D155" s="31">
        <f>COUNTIFS(Nov[Hour],$B155)</f>
        <v>0</v>
      </c>
    </row>
    <row r="156" spans="2:4" x14ac:dyDescent="0.25">
      <c r="B156" s="292" t="s">
        <v>126</v>
      </c>
      <c r="C156" s="292"/>
      <c r="D156" s="31">
        <f>COUNTIFS(Nov[Hour],$B156)</f>
        <v>0</v>
      </c>
    </row>
    <row r="157" spans="2:4" x14ac:dyDescent="0.25">
      <c r="B157" s="292" t="s">
        <v>127</v>
      </c>
      <c r="C157" s="292"/>
      <c r="D157" s="31">
        <f>COUNTIFS(Nov[Hour],$B157)</f>
        <v>0</v>
      </c>
    </row>
    <row r="158" spans="2:4" x14ac:dyDescent="0.25">
      <c r="B158" s="292" t="s">
        <v>128</v>
      </c>
      <c r="C158" s="292"/>
      <c r="D158" s="31">
        <f>COUNTIFS(Nov[Hour],$B158)</f>
        <v>0</v>
      </c>
    </row>
    <row r="159" spans="2:4" x14ac:dyDescent="0.25">
      <c r="B159" s="292" t="s">
        <v>129</v>
      </c>
      <c r="C159" s="292"/>
      <c r="D159" s="31">
        <f>COUNTIFS(Nov[Hour],$B159)</f>
        <v>0</v>
      </c>
    </row>
    <row r="160" spans="2:4" x14ac:dyDescent="0.25">
      <c r="B160" s="292" t="s">
        <v>130</v>
      </c>
      <c r="C160" s="292"/>
      <c r="D160" s="31">
        <f>COUNTIFS(Nov[Hour],$B160)</f>
        <v>0</v>
      </c>
    </row>
    <row r="161" spans="1:8" x14ac:dyDescent="0.25">
      <c r="B161" s="292" t="s">
        <v>131</v>
      </c>
      <c r="C161" s="292"/>
      <c r="D161" s="31">
        <f>COUNTIFS(Nov[Hour],$B161)</f>
        <v>0</v>
      </c>
    </row>
    <row r="162" spans="1:8" x14ac:dyDescent="0.25">
      <c r="B162" s="292" t="s">
        <v>132</v>
      </c>
      <c r="C162" s="292"/>
      <c r="D162" s="31">
        <f>COUNTIFS(Nov[Hour],$B162)</f>
        <v>0</v>
      </c>
    </row>
    <row r="163" spans="1:8" x14ac:dyDescent="0.25">
      <c r="B163" s="292" t="s">
        <v>133</v>
      </c>
      <c r="C163" s="292"/>
      <c r="D163" s="31">
        <f>COUNTIFS(Nov[Hour],$B163)</f>
        <v>0</v>
      </c>
    </row>
    <row r="164" spans="1:8" x14ac:dyDescent="0.25">
      <c r="B164" s="292" t="s">
        <v>134</v>
      </c>
      <c r="C164" s="292"/>
      <c r="D164" s="31">
        <f>COUNTIFS(Nov[Hour],$B164)</f>
        <v>0</v>
      </c>
    </row>
    <row r="165" spans="1:8" x14ac:dyDescent="0.25">
      <c r="B165" s="292" t="s">
        <v>135</v>
      </c>
      <c r="C165" s="292"/>
      <c r="D165" s="31">
        <f>COUNTIFS(Nov[Hour],$B165)</f>
        <v>0</v>
      </c>
    </row>
    <row r="166" spans="1:8" x14ac:dyDescent="0.25">
      <c r="B166" s="292" t="s">
        <v>136</v>
      </c>
      <c r="C166" s="292"/>
      <c r="D166" s="31">
        <f>COUNTIFS(Nov[Hour],$B166)</f>
        <v>0</v>
      </c>
    </row>
    <row r="167" spans="1:8" x14ac:dyDescent="0.25">
      <c r="B167" s="292" t="s">
        <v>137</v>
      </c>
      <c r="C167" s="292"/>
      <c r="D167" s="31">
        <f>COUNTIFS(Nov[Hour],$B167)</f>
        <v>0</v>
      </c>
    </row>
    <row r="168" spans="1:8" ht="15.75" thickBot="1" x14ac:dyDescent="0.3">
      <c r="B168" s="292" t="s">
        <v>138</v>
      </c>
      <c r="C168" s="292"/>
      <c r="D168" s="34">
        <f>COUNTIFS(Nov[Hour],$B168)</f>
        <v>0</v>
      </c>
    </row>
    <row r="169" spans="1:8" ht="15.75" thickBot="1" x14ac:dyDescent="0.3">
      <c r="B169" s="285" t="s">
        <v>35</v>
      </c>
      <c r="C169" s="286"/>
      <c r="D169" s="35">
        <f>SUM(D145:D168)</f>
        <v>0</v>
      </c>
    </row>
    <row r="170" spans="1:8" ht="15.75" thickBot="1" x14ac:dyDescent="0.3"/>
    <row r="171" spans="1:8" ht="21.4" customHeight="1" thickBot="1" x14ac:dyDescent="0.3">
      <c r="B171" s="280" t="str">
        <f>"Falls by Contributing Factors"</f>
        <v>Falls by Contributing Factors</v>
      </c>
      <c r="C171" s="281"/>
      <c r="D171" s="281"/>
      <c r="E171" s="281"/>
      <c r="F171" s="281"/>
      <c r="G171" s="282"/>
    </row>
    <row r="172" spans="1:8" ht="15.6" customHeight="1" x14ac:dyDescent="0.25">
      <c r="A172" s="38"/>
      <c r="B172" s="288" t="s">
        <v>92</v>
      </c>
      <c r="C172" s="289"/>
      <c r="D172" s="289"/>
      <c r="E172" s="289"/>
      <c r="F172" s="290"/>
      <c r="G172" s="28" t="s">
        <v>35</v>
      </c>
    </row>
    <row r="173" spans="1:8" x14ac:dyDescent="0.25">
      <c r="A173" s="38"/>
      <c r="B173" s="44" t="str" cm="1">
        <f t="array" ref="B173:B196">IF(_xlfn._xlws.SORT(CF[Contributing Factors],1,1,TRUE)=0,"",(_xlfn._xlws.SORT(CF[Contributing Factors],1,1,TRUE)))</f>
        <v>Assisted/caregiver transfer</v>
      </c>
      <c r="C173" s="45"/>
      <c r="D173" s="45"/>
      <c r="E173" s="45"/>
      <c r="F173" s="46"/>
      <c r="G173" s="42">
        <f>IF($B173="",NA(),COUNTIFS(Nov[Contributing Factors],$B173))</f>
        <v>0</v>
      </c>
      <c r="H173" s="43"/>
    </row>
    <row r="174" spans="1:8" x14ac:dyDescent="0.25">
      <c r="A174" s="38"/>
      <c r="B174" s="39" t="str">
        <v>Bowel and bladder (B&amp;B) needs</v>
      </c>
      <c r="C174" s="40"/>
      <c r="D174" s="40"/>
      <c r="E174" s="40"/>
      <c r="F174" s="41"/>
      <c r="G174" s="42">
        <f>IF($B174="",NA(),COUNTIFS(Nov[Contributing Factors],$B174))</f>
        <v>0</v>
      </c>
    </row>
    <row r="175" spans="1:8" x14ac:dyDescent="0.25">
      <c r="A175" s="38"/>
      <c r="B175" s="44" t="str">
        <v>Behavioral or situational</v>
      </c>
      <c r="C175" s="45"/>
      <c r="D175" s="45"/>
      <c r="E175" s="45"/>
      <c r="F175" s="46"/>
      <c r="G175" s="42">
        <f>IF($B175="",NA(),COUNTIFS(Nov[Contributing Factors],$B175))</f>
        <v>0</v>
      </c>
    </row>
    <row r="176" spans="1:8" x14ac:dyDescent="0.25">
      <c r="A176" s="38"/>
      <c r="B176" s="39" t="str">
        <v>Change of condition</v>
      </c>
      <c r="C176" s="40"/>
      <c r="D176" s="40"/>
      <c r="E176" s="40"/>
      <c r="F176" s="41"/>
      <c r="G176" s="42">
        <f>IF($B176="",NA(),COUNTIFS(Nov[Contributing Factors],$B176))</f>
        <v>0</v>
      </c>
    </row>
    <row r="177" spans="1:7" x14ac:dyDescent="0.25">
      <c r="A177" s="38"/>
      <c r="B177" s="44" t="str">
        <v>Environmental factors</v>
      </c>
      <c r="C177" s="45"/>
      <c r="D177" s="45"/>
      <c r="E177" s="45"/>
      <c r="F177" s="46"/>
      <c r="G177" s="42">
        <f>IF($B177="",NA(),COUNTIFS(Nov[Contributing Factors],$B177))</f>
        <v>0</v>
      </c>
    </row>
    <row r="178" spans="1:7" x14ac:dyDescent="0.25">
      <c r="A178" s="38"/>
      <c r="B178" s="39" t="str">
        <v>Equipment malfunction</v>
      </c>
      <c r="C178" s="40"/>
      <c r="D178" s="40"/>
      <c r="E178" s="40"/>
      <c r="F178" s="41"/>
      <c r="G178" s="42">
        <f>IF($B178="",NA(),COUNTIFS(Nov[Contributing Factors],$B178))</f>
        <v>0</v>
      </c>
    </row>
    <row r="179" spans="1:7" x14ac:dyDescent="0.25">
      <c r="A179" s="38"/>
      <c r="B179" s="44" t="str">
        <v>Equipment or assistive device</v>
      </c>
      <c r="C179" s="45"/>
      <c r="D179" s="45"/>
      <c r="E179" s="45"/>
      <c r="F179" s="46"/>
      <c r="G179" s="42">
        <f>IF($B179="",NA(),COUNTIFS(Nov[Contributing Factors],$B179))</f>
        <v>0</v>
      </c>
    </row>
    <row r="180" spans="1:7" x14ac:dyDescent="0.25">
      <c r="A180" s="38"/>
      <c r="B180" s="39" t="str">
        <v>Medication related</v>
      </c>
      <c r="C180" s="40"/>
      <c r="D180" s="40"/>
      <c r="E180" s="40"/>
      <c r="F180" s="41"/>
      <c r="G180" s="42">
        <f>IF($B180="",NA(),COUNTIFS(Nov[Contributing Factors],$B180))</f>
        <v>0</v>
      </c>
    </row>
    <row r="181" spans="1:7" x14ac:dyDescent="0.25">
      <c r="A181" s="38"/>
      <c r="B181" s="44" t="str">
        <v>Process(s) not followed</v>
      </c>
      <c r="C181" s="45"/>
      <c r="D181" s="45"/>
      <c r="E181" s="45"/>
      <c r="F181" s="46"/>
      <c r="G181" s="42">
        <f>IF($B181="",NA(),COUNTIFS(Nov[Contributing Factors],$B181))</f>
        <v>0</v>
      </c>
    </row>
    <row r="182" spans="1:7" x14ac:dyDescent="0.25">
      <c r="A182" s="38"/>
      <c r="B182" s="39" t="str">
        <v>Resident health conditions</v>
      </c>
      <c r="C182" s="40"/>
      <c r="D182" s="40"/>
      <c r="E182" s="40"/>
      <c r="F182" s="41"/>
      <c r="G182" s="42">
        <f>IF($B182="",NA(),COUNTIFS(Nov[Contributing Factors],$B182))</f>
        <v>0</v>
      </c>
    </row>
    <row r="183" spans="1:7" x14ac:dyDescent="0.25">
      <c r="A183" s="38"/>
      <c r="B183" s="44" t="str">
        <v>Staff</v>
      </c>
      <c r="C183" s="45"/>
      <c r="D183" s="45"/>
      <c r="E183" s="45"/>
      <c r="F183" s="46"/>
      <c r="G183" s="42">
        <f>IF($B183="",NA(),COUNTIFS(Nov[Contributing Factors],$B183))</f>
        <v>0</v>
      </c>
    </row>
    <row r="184" spans="1:7" x14ac:dyDescent="0.25">
      <c r="A184" s="38"/>
      <c r="B184" s="39" t="str">
        <v/>
      </c>
      <c r="C184" s="40"/>
      <c r="D184" s="40"/>
      <c r="E184" s="40"/>
      <c r="F184" s="41"/>
      <c r="G184" s="42" t="e">
        <f>IF($B184="",NA(),COUNTIFS(Nov[Contributing Factors],$B184))</f>
        <v>#N/A</v>
      </c>
    </row>
    <row r="185" spans="1:7" x14ac:dyDescent="0.25">
      <c r="A185" s="38"/>
      <c r="B185" s="44" t="str">
        <v/>
      </c>
      <c r="C185" s="45"/>
      <c r="D185" s="45"/>
      <c r="E185" s="45"/>
      <c r="F185" s="46"/>
      <c r="G185" s="42" t="e">
        <f>IF($B185="",NA(),COUNTIFS(Nov[Contributing Factors],$B185))</f>
        <v>#N/A</v>
      </c>
    </row>
    <row r="186" spans="1:7" x14ac:dyDescent="0.25">
      <c r="A186" s="38"/>
      <c r="B186" s="39" t="str">
        <v/>
      </c>
      <c r="C186" s="40"/>
      <c r="D186" s="40"/>
      <c r="E186" s="40"/>
      <c r="F186" s="41"/>
      <c r="G186" s="42" t="e">
        <f>IF($B186="",NA(),COUNTIFS(Nov[Contributing Factors],$B186))</f>
        <v>#N/A</v>
      </c>
    </row>
    <row r="187" spans="1:7" x14ac:dyDescent="0.25">
      <c r="A187" s="38"/>
      <c r="B187" s="44" t="str">
        <v/>
      </c>
      <c r="C187" s="45"/>
      <c r="D187" s="45"/>
      <c r="E187" s="45"/>
      <c r="F187" s="46"/>
      <c r="G187" s="42" t="e">
        <f>IF($B187="",NA(),COUNTIFS(Nov[Contributing Factors],$B187))</f>
        <v>#N/A</v>
      </c>
    </row>
    <row r="188" spans="1:7" x14ac:dyDescent="0.25">
      <c r="A188" s="38"/>
      <c r="B188" s="39" t="str">
        <v/>
      </c>
      <c r="C188" s="40"/>
      <c r="D188" s="40"/>
      <c r="E188" s="40"/>
      <c r="F188" s="41"/>
      <c r="G188" s="42" t="e">
        <f>IF($B188="",NA(),COUNTIFS(Nov[Contributing Factors],$B188))</f>
        <v>#N/A</v>
      </c>
    </row>
    <row r="189" spans="1:7" x14ac:dyDescent="0.25">
      <c r="A189" s="38"/>
      <c r="B189" s="44" t="str">
        <v/>
      </c>
      <c r="C189" s="45"/>
      <c r="D189" s="45"/>
      <c r="E189" s="45"/>
      <c r="F189" s="46"/>
      <c r="G189" s="42" t="e">
        <f>IF($B189="",NA(),COUNTIFS(Nov[Contributing Factors],$B189))</f>
        <v>#N/A</v>
      </c>
    </row>
    <row r="190" spans="1:7" x14ac:dyDescent="0.25">
      <c r="A190" s="38"/>
      <c r="B190" s="39" t="str">
        <v/>
      </c>
      <c r="C190" s="40"/>
      <c r="D190" s="40"/>
      <c r="E190" s="40"/>
      <c r="F190" s="41"/>
      <c r="G190" s="42" t="e">
        <f>IF($B190="",NA(),COUNTIFS(Nov[Contributing Factors],$B190))</f>
        <v>#N/A</v>
      </c>
    </row>
    <row r="191" spans="1:7" x14ac:dyDescent="0.25">
      <c r="A191" s="38"/>
      <c r="B191" s="44" t="str">
        <v/>
      </c>
      <c r="C191" s="45"/>
      <c r="D191" s="45"/>
      <c r="E191" s="45"/>
      <c r="F191" s="46"/>
      <c r="G191" s="42" t="e">
        <f>IF($B191="",NA(),COUNTIFS(Nov[Contributing Factors],$B191))</f>
        <v>#N/A</v>
      </c>
    </row>
    <row r="192" spans="1:7" x14ac:dyDescent="0.25">
      <c r="A192" s="38"/>
      <c r="B192" s="39" t="str">
        <v/>
      </c>
      <c r="C192" s="40"/>
      <c r="D192" s="40"/>
      <c r="E192" s="40"/>
      <c r="F192" s="41"/>
      <c r="G192" s="42" t="e">
        <f>IF($B192="",NA(),COUNTIFS(Nov[Contributing Factors],$B192))</f>
        <v>#N/A</v>
      </c>
    </row>
    <row r="193" spans="1:7" x14ac:dyDescent="0.25">
      <c r="A193" s="38"/>
      <c r="B193" s="44" t="str">
        <v/>
      </c>
      <c r="C193" s="45"/>
      <c r="D193" s="45"/>
      <c r="E193" s="45"/>
      <c r="F193" s="46"/>
      <c r="G193" s="42" t="e">
        <f>IF($B193="",NA(),COUNTIFS(Nov[Contributing Factors],$B193))</f>
        <v>#N/A</v>
      </c>
    </row>
    <row r="194" spans="1:7" x14ac:dyDescent="0.25">
      <c r="A194" s="38"/>
      <c r="B194" s="39" t="str">
        <v/>
      </c>
      <c r="C194" s="40"/>
      <c r="D194" s="40"/>
      <c r="E194" s="40"/>
      <c r="F194" s="41"/>
      <c r="G194" s="42" t="e">
        <f>IF($B194="",NA(),COUNTIFS(Nov[Contributing Factors],$B194))</f>
        <v>#N/A</v>
      </c>
    </row>
    <row r="195" spans="1:7" x14ac:dyDescent="0.25">
      <c r="A195" s="38"/>
      <c r="B195" s="44" t="str">
        <v/>
      </c>
      <c r="C195" s="45"/>
      <c r="D195" s="45"/>
      <c r="E195" s="45"/>
      <c r="F195" s="46"/>
      <c r="G195" s="42" t="e">
        <f>IF($B195="",NA(),COUNTIFS(Nov[Contributing Factors],$B195))</f>
        <v>#N/A</v>
      </c>
    </row>
    <row r="196" spans="1:7" ht="15.75" thickBot="1" x14ac:dyDescent="0.3">
      <c r="A196" s="38"/>
      <c r="B196" s="39" t="str">
        <v/>
      </c>
      <c r="C196" s="40"/>
      <c r="D196" s="40"/>
      <c r="E196" s="40"/>
      <c r="F196" s="41"/>
      <c r="G196" s="42" t="e">
        <f>IF($B196="",NA(),COUNTIFS(Nov[Contributing Factors],$B196))</f>
        <v>#N/A</v>
      </c>
    </row>
    <row r="197" spans="1:7" ht="15.6" customHeight="1" thickBot="1" x14ac:dyDescent="0.3">
      <c r="B197" s="285" t="s">
        <v>35</v>
      </c>
      <c r="C197" s="286"/>
      <c r="D197" s="286"/>
      <c r="E197" s="286"/>
      <c r="F197" s="287"/>
      <c r="G197" s="37">
        <f>_xlfn.AGGREGATE(9,6,G173:G196)</f>
        <v>0</v>
      </c>
    </row>
  </sheetData>
  <sheetProtection algorithmName="SHA-512" hashValue="DBoI1sO65TkXNi74fk2zdRr4nkViAaomtBJ5bIo+Om/T7WyPqhn9OHOFiMO8pPmL1ZIgdDbGLmIUvILvBwW8iw==" saltValue="w4pqgcGre2gXtf8kEEyV1g==" spinCount="100000" sheet="1" formatCells="0" formatColumns="0" formatRows="0" sort="0" autoFilter="0"/>
  <mergeCells count="61">
    <mergeCell ref="F56:G56"/>
    <mergeCell ref="B51:D51"/>
    <mergeCell ref="F51:H51"/>
    <mergeCell ref="B52:C52"/>
    <mergeCell ref="F52:G52"/>
    <mergeCell ref="B55:C55"/>
    <mergeCell ref="B121:C121"/>
    <mergeCell ref="F58:H58"/>
    <mergeCell ref="F59:G59"/>
    <mergeCell ref="F63:G63"/>
    <mergeCell ref="B65:G65"/>
    <mergeCell ref="B66:F66"/>
    <mergeCell ref="B91:F91"/>
    <mergeCell ref="B93:D93"/>
    <mergeCell ref="B94:C94"/>
    <mergeCell ref="B106:C106"/>
    <mergeCell ref="B108:D108"/>
    <mergeCell ref="B109:C109"/>
    <mergeCell ref="B135:C135"/>
    <mergeCell ref="B123:D123"/>
    <mergeCell ref="B124:C124"/>
    <mergeCell ref="B125:C125"/>
    <mergeCell ref="B126:C126"/>
    <mergeCell ref="B127:C127"/>
    <mergeCell ref="B128:C128"/>
    <mergeCell ref="B129:C129"/>
    <mergeCell ref="B130:C130"/>
    <mergeCell ref="B131:C131"/>
    <mergeCell ref="B132:C132"/>
    <mergeCell ref="B134:D134"/>
    <mergeCell ref="B153:C153"/>
    <mergeCell ref="B141:C141"/>
    <mergeCell ref="B143:D143"/>
    <mergeCell ref="B144:C144"/>
    <mergeCell ref="B145:C145"/>
    <mergeCell ref="B146:C146"/>
    <mergeCell ref="B147:C147"/>
    <mergeCell ref="B148:C148"/>
    <mergeCell ref="B149:C149"/>
    <mergeCell ref="B150:C150"/>
    <mergeCell ref="B151:C151"/>
    <mergeCell ref="B152:C152"/>
    <mergeCell ref="B165:C165"/>
    <mergeCell ref="B154:C154"/>
    <mergeCell ref="B155:C155"/>
    <mergeCell ref="B156:C156"/>
    <mergeCell ref="B157:C157"/>
    <mergeCell ref="B158:C158"/>
    <mergeCell ref="B159:C159"/>
    <mergeCell ref="B160:C160"/>
    <mergeCell ref="B161:C161"/>
    <mergeCell ref="B162:C162"/>
    <mergeCell ref="B163:C163"/>
    <mergeCell ref="B164:C164"/>
    <mergeCell ref="B197:F197"/>
    <mergeCell ref="B166:C166"/>
    <mergeCell ref="B167:C167"/>
    <mergeCell ref="B168:C168"/>
    <mergeCell ref="B169:C169"/>
    <mergeCell ref="B171:G171"/>
    <mergeCell ref="B172:F172"/>
  </mergeCells>
  <conditionalFormatting sqref="C1">
    <cfRule type="expression" dxfId="76" priority="18">
      <formula>OR($C$1="",$C$1=0)</formula>
    </cfRule>
  </conditionalFormatting>
  <conditionalFormatting sqref="D1">
    <cfRule type="cellIs" dxfId="75" priority="19" operator="equal">
      <formula>"Enter year in Data Validation tab"</formula>
    </cfRule>
  </conditionalFormatting>
  <conditionalFormatting sqref="D4:D40">
    <cfRule type="expression" dxfId="74" priority="22">
      <formula>AND($C4&lt;&gt;"",$D4="")</formula>
    </cfRule>
  </conditionalFormatting>
  <conditionalFormatting sqref="D95:D105">
    <cfRule type="expression" dxfId="73" priority="9">
      <formula>ISERROR($D95)</formula>
    </cfRule>
  </conditionalFormatting>
  <conditionalFormatting sqref="D110:D120">
    <cfRule type="expression" dxfId="72" priority="10">
      <formula>ISERROR($D110)</formula>
    </cfRule>
  </conditionalFormatting>
  <conditionalFormatting sqref="D136:D140">
    <cfRule type="expression" dxfId="71" priority="1">
      <formula>ISERROR(D136)</formula>
    </cfRule>
  </conditionalFormatting>
  <conditionalFormatting sqref="E4:E40">
    <cfRule type="expression" dxfId="70" priority="21">
      <formula>AND($C4&lt;&gt;"",$E4="")</formula>
    </cfRule>
  </conditionalFormatting>
  <conditionalFormatting sqref="F4:F40">
    <cfRule type="expression" dxfId="69" priority="14">
      <formula>AND($C4&lt;&gt;"",$F4="")</formula>
    </cfRule>
  </conditionalFormatting>
  <conditionalFormatting sqref="G4:G40">
    <cfRule type="expression" dxfId="68" priority="13">
      <formula>AND($C4&lt;&gt;"",$G4="")</formula>
    </cfRule>
  </conditionalFormatting>
  <conditionalFormatting sqref="G67:G90">
    <cfRule type="expression" dxfId="67" priority="8">
      <formula>ISERROR($G67)</formula>
    </cfRule>
  </conditionalFormatting>
  <conditionalFormatting sqref="G173:G196">
    <cfRule type="expression" dxfId="66" priority="7">
      <formula>ISERROR($G173)</formula>
    </cfRule>
  </conditionalFormatting>
  <conditionalFormatting sqref="H4:H40">
    <cfRule type="expression" dxfId="65" priority="12">
      <formula>AND($C4&lt;&gt;"",$H4="")</formula>
    </cfRule>
  </conditionalFormatting>
  <conditionalFormatting sqref="I4:I40">
    <cfRule type="expression" dxfId="64" priority="11">
      <formula>AND($C4&lt;&gt;"",$I4="")</formula>
    </cfRule>
  </conditionalFormatting>
  <conditionalFormatting sqref="J4:J40">
    <cfRule type="expression" dxfId="63" priority="23">
      <formula>AND($C4&lt;&gt;"",$J4="")</formula>
    </cfRule>
  </conditionalFormatting>
  <conditionalFormatting sqref="L4:L40">
    <cfRule type="expression" dxfId="62" priority="20">
      <formula>AND($C4&lt;&gt;"",$L4="")</formula>
    </cfRule>
  </conditionalFormatting>
  <conditionalFormatting sqref="N4:N40">
    <cfRule type="expression" dxfId="61" priority="25">
      <formula>AND($C4&lt;&gt;"",$N4="")</formula>
    </cfRule>
  </conditionalFormatting>
  <conditionalFormatting sqref="O4:O40">
    <cfRule type="expression" dxfId="60" priority="4">
      <formula>AND($C4&lt;&gt;"",$O4="")</formula>
    </cfRule>
    <cfRule type="cellIs" dxfId="59" priority="15" operator="equal">
      <formula>"Intact (13-15)"</formula>
    </cfRule>
    <cfRule type="cellIs" dxfId="58" priority="16" operator="equal">
      <formula>"Moderate (8-12)"</formula>
    </cfRule>
    <cfRule type="cellIs" dxfId="57" priority="17" operator="equal">
      <formula>"Severe (1-7)"</formula>
    </cfRule>
  </conditionalFormatting>
  <conditionalFormatting sqref="P4:P40">
    <cfRule type="expression" dxfId="56" priority="5">
      <formula>AND($C4&lt;&gt;"",$P4="")</formula>
    </cfRule>
  </conditionalFormatting>
  <conditionalFormatting sqref="Q4:Q40">
    <cfRule type="expression" dxfId="55" priority="3">
      <formula>AND($C4&lt;&gt;"",$Q4="")</formula>
    </cfRule>
  </conditionalFormatting>
  <conditionalFormatting sqref="R4:R40">
    <cfRule type="expression" dxfId="54" priority="26">
      <formula>AND($C4&lt;&gt;"",$R4="")</formula>
    </cfRule>
  </conditionalFormatting>
  <conditionalFormatting sqref="S4:S40">
    <cfRule type="expression" dxfId="53" priority="6">
      <formula>AND($C4&lt;&gt;"",$S4="")</formula>
    </cfRule>
  </conditionalFormatting>
  <conditionalFormatting sqref="T4:T40">
    <cfRule type="expression" dxfId="52" priority="27">
      <formula>AND($C4&lt;&gt;"",$T4="")</formula>
    </cfRule>
  </conditionalFormatting>
  <conditionalFormatting sqref="U4:U40">
    <cfRule type="expression" dxfId="51" priority="24">
      <formula>AND($C4&lt;&gt;"",$U4="")</formula>
    </cfRule>
  </conditionalFormatting>
  <conditionalFormatting sqref="V4:V40">
    <cfRule type="expression" dxfId="50" priority="2">
      <formula>AND($C4&lt;&gt;"",$V4="")</formula>
    </cfRule>
  </conditionalFormatting>
  <dataValidations count="9">
    <dataValidation type="list" allowBlank="1" showInputMessage="1" showErrorMessage="1" sqref="R4:R40" xr:uid="{7940987A-5578-4248-8EEC-8DC74F64A87A}">
      <formula1>DV_RCAComp</formula1>
    </dataValidation>
    <dataValidation type="list" allowBlank="1" showInputMessage="1" showErrorMessage="1" sqref="G4:G40" xr:uid="{49545D9C-9289-4145-A079-4B526A8D8ED6}">
      <formula1>DV_FallCircumstances</formula1>
    </dataValidation>
    <dataValidation type="list" allowBlank="1" showInputMessage="1" showErrorMessage="1" sqref="P4:P40" xr:uid="{E24934EE-7345-4EA4-B952-730D97F68982}">
      <formula1>DV_PriortoFall</formula1>
    </dataValidation>
    <dataValidation type="list" allowBlank="1" showInputMessage="1" showErrorMessage="1" sqref="F4:F40" xr:uid="{56FFA8CB-63CD-465F-93DC-E7F0AA255D21}">
      <formula1>DV_Witnessed</formula1>
    </dataValidation>
    <dataValidation type="list" allowBlank="1" showInputMessage="1" showErrorMessage="1" sqref="N4:N40" xr:uid="{06F549EA-7697-49DC-B613-AAEBFC5AB899}">
      <formula1>DV_BIMSScore</formula1>
    </dataValidation>
    <dataValidation type="list" allowBlank="1" showInputMessage="1" showErrorMessage="1" sqref="L4:L40" xr:uid="{BCC56024-6F5D-4717-B66C-0BDE12E9BB62}">
      <formula1>DV_Shifts</formula1>
    </dataValidation>
    <dataValidation type="list" allowBlank="1" showInputMessage="1" showErrorMessage="1" sqref="J4:J40" xr:uid="{ECAFA5AD-DD6A-4C34-8D67-E32012DC3427}">
      <formula1>DV_Station</formula1>
    </dataValidation>
    <dataValidation type="list" allowBlank="1" showInputMessage="1" showErrorMessage="1" sqref="I4:I40" xr:uid="{98B614E7-02A4-4154-BE9A-0E4B68DB4113}">
      <formula1>DV_Location</formula1>
    </dataValidation>
    <dataValidation type="list" allowBlank="1" showInputMessage="1" showErrorMessage="1" sqref="H4:H40" xr:uid="{6EA53AE4-52AE-4EFD-8EFC-0E9A1BCA72BC}">
      <formula1>DV_FallType</formula1>
    </dataValidation>
  </dataValidations>
  <printOptions horizontalCentered="1"/>
  <pageMargins left="0.15" right="0.15" top="0.5" bottom="0.25" header="0.3" footer="0.3"/>
  <pageSetup scale="59" fitToHeight="0" orientation="landscape" r:id="rId1"/>
  <rowBreaks count="3" manualBreakCount="3">
    <brk id="49" max="16383" man="1"/>
    <brk id="91" max="16383" man="1"/>
    <brk id="141" max="16383" man="1"/>
  </rowBreaks>
  <drawing r:id="rId2"/>
  <tableParts count="1">
    <tablePart r:id="rId3"/>
  </tableParts>
  <extLst>
    <ext xmlns:x14="http://schemas.microsoft.com/office/spreadsheetml/2009/9/main" uri="{CCE6A557-97BC-4b89-ADB6-D9C93CAAB3DF}">
      <x14:dataValidations xmlns:xm="http://schemas.microsoft.com/office/excel/2006/main" count="1">
        <x14:dataValidation type="list" allowBlank="1" showInputMessage="1" showErrorMessage="1" xr:uid="{C4AB7F48-C9DB-41BB-BA02-1DE9299529DD}">
          <x14:formula1>
            <xm:f>'Data Validation'!$K$3:$K$26</xm:f>
          </x14:formula1>
          <xm:sqref>S4:S40</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05F3A8-27DC-43A8-B69F-11154D028B8F}">
  <sheetPr>
    <pageSetUpPr autoPageBreaks="0" fitToPage="1"/>
  </sheetPr>
  <dimension ref="A1:V197"/>
  <sheetViews>
    <sheetView showGridLines="0" zoomScaleNormal="100" zoomScaleSheetLayoutView="98" workbookViewId="0">
      <selection activeCell="B4" sqref="B4"/>
    </sheetView>
  </sheetViews>
  <sheetFormatPr defaultRowHeight="15" x14ac:dyDescent="0.25"/>
  <cols>
    <col min="1" max="1" width="1.28515625" customWidth="1"/>
    <col min="2" max="2" width="5.85546875" customWidth="1"/>
    <col min="3" max="3" width="17.140625" customWidth="1"/>
    <col min="4" max="4" width="9.28515625" customWidth="1"/>
    <col min="5" max="5" width="11" customWidth="1"/>
    <col min="6" max="6" width="8" customWidth="1"/>
    <col min="7" max="7" width="12.140625" customWidth="1"/>
    <col min="8" max="8" width="10.5703125" customWidth="1"/>
    <col min="9" max="9" width="7.7109375" customWidth="1"/>
    <col min="10" max="10" width="6" customWidth="1"/>
    <col min="11" max="11" width="4.7109375" customWidth="1"/>
    <col min="12" max="12" width="9.28515625" customWidth="1"/>
    <col min="13" max="14" width="4.7109375" customWidth="1"/>
    <col min="15" max="15" width="12.140625" customWidth="1"/>
    <col min="16" max="17" width="23.7109375" customWidth="1"/>
    <col min="18" max="18" width="8.7109375" customWidth="1"/>
    <col min="19" max="19" width="23.7109375" customWidth="1"/>
    <col min="20" max="22" width="11.7109375" customWidth="1"/>
    <col min="23" max="24" width="10.7109375" customWidth="1"/>
  </cols>
  <sheetData>
    <row r="1" spans="1:22" ht="18.75" customHeight="1" x14ac:dyDescent="0.25">
      <c r="B1" s="13" t="s">
        <v>28</v>
      </c>
      <c r="C1" s="14">
        <f>'Data Validation'!$C$4</f>
        <v>0</v>
      </c>
      <c r="D1" s="15" t="str">
        <f>IF(OR($C$1="",$C$1=0),"Enter Year in Data Validation tab",'Data Validation'!$C$2&amp;" December ")</f>
        <v>Enter Year in Data Validation tab</v>
      </c>
      <c r="E1" s="16"/>
      <c r="F1" s="16"/>
      <c r="G1" s="16"/>
      <c r="H1" s="16"/>
      <c r="I1" s="16"/>
      <c r="J1" s="16"/>
      <c r="K1" s="16"/>
      <c r="L1" s="16"/>
      <c r="M1" s="16"/>
      <c r="N1" s="4"/>
      <c r="O1" s="16"/>
      <c r="P1" s="16"/>
      <c r="Q1" s="16"/>
      <c r="R1" s="17" t="s">
        <v>59</v>
      </c>
      <c r="S1" s="14" t="str">
        <f>IF(COUNTIFS(Dec[Resident Name],"&lt;&gt;")=0,"No Data",COUNTIFS(Dec[Resident Name],"&lt;&gt;"))</f>
        <v>No Data</v>
      </c>
      <c r="T1" s="17" t="s">
        <v>62</v>
      </c>
      <c r="U1" s="14" t="str">
        <f>'Fall Rate and Census'!$AI$36</f>
        <v>No Data</v>
      </c>
    </row>
    <row r="2" spans="1:22" ht="8.1" customHeight="1" x14ac:dyDescent="0.25">
      <c r="B2" s="18"/>
      <c r="C2" s="16"/>
      <c r="D2" s="16"/>
      <c r="E2" s="16"/>
      <c r="F2" s="16"/>
      <c r="G2" s="16"/>
      <c r="H2" s="16"/>
      <c r="I2" s="16"/>
      <c r="J2" s="16"/>
      <c r="K2" s="16"/>
      <c r="L2" s="16"/>
      <c r="M2" s="16"/>
      <c r="N2" s="16"/>
      <c r="O2" s="16"/>
      <c r="P2" s="16"/>
      <c r="Q2" s="16"/>
      <c r="R2" s="16"/>
    </row>
    <row r="3" spans="1:22" ht="22.35" customHeight="1" x14ac:dyDescent="0.25">
      <c r="B3" s="19" t="s">
        <v>104</v>
      </c>
      <c r="C3" s="19" t="s">
        <v>105</v>
      </c>
      <c r="D3" s="20" t="s">
        <v>0</v>
      </c>
      <c r="E3" s="20" t="s">
        <v>89</v>
      </c>
      <c r="F3" s="20" t="s">
        <v>84</v>
      </c>
      <c r="G3" s="20" t="s">
        <v>100</v>
      </c>
      <c r="H3" s="20" t="s">
        <v>90</v>
      </c>
      <c r="I3" s="20" t="s">
        <v>1</v>
      </c>
      <c r="J3" s="20" t="s">
        <v>2</v>
      </c>
      <c r="K3" s="20" t="s">
        <v>3</v>
      </c>
      <c r="L3" s="20" t="s">
        <v>33</v>
      </c>
      <c r="M3" s="20" t="s">
        <v>34</v>
      </c>
      <c r="N3" s="20" t="s">
        <v>26</v>
      </c>
      <c r="O3" s="20" t="s">
        <v>30</v>
      </c>
      <c r="P3" s="19" t="s">
        <v>158</v>
      </c>
      <c r="Q3" s="19" t="s">
        <v>80</v>
      </c>
      <c r="R3" s="20" t="s">
        <v>81</v>
      </c>
      <c r="S3" s="20" t="s">
        <v>92</v>
      </c>
      <c r="T3" s="12" t="s">
        <v>95</v>
      </c>
      <c r="U3" s="12" t="s">
        <v>94</v>
      </c>
      <c r="V3" s="12" t="s">
        <v>96</v>
      </c>
    </row>
    <row r="4" spans="1:22" ht="20.85" customHeight="1" x14ac:dyDescent="0.25">
      <c r="A4" s="21"/>
      <c r="B4" s="266"/>
      <c r="C4" s="5"/>
      <c r="D4" s="263"/>
      <c r="E4" s="263"/>
      <c r="F4" s="266"/>
      <c r="G4" s="267"/>
      <c r="H4" s="2"/>
      <c r="I4" s="2"/>
      <c r="J4" s="2"/>
      <c r="K4" s="24" t="str">
        <f>IF(Dec[[#This Row],[Date of Incident]]="","",TEXT(Dec[[#This Row],[Date of Incident]],"ddd"))</f>
        <v/>
      </c>
      <c r="L4" s="1"/>
      <c r="M4" s="24" t="str">
        <f>IFERROR(VLOOKUP(Dec[[#This Row],[Hour]],Shifts[],2,FALSE),"")</f>
        <v/>
      </c>
      <c r="N4" s="2"/>
      <c r="O4" s="24" t="str">
        <f>IFERROR(VLOOKUP(Dec[[#This Row],[BIMS Score]],BIMS[],2,FALSE),"")</f>
        <v/>
      </c>
      <c r="P4" s="3"/>
      <c r="Q4" s="3"/>
      <c r="R4" s="2"/>
      <c r="S4" s="168"/>
      <c r="T4" s="3"/>
      <c r="U4" s="3"/>
      <c r="V4" s="3"/>
    </row>
    <row r="5" spans="1:22" ht="20.85" customHeight="1" x14ac:dyDescent="0.25">
      <c r="A5" s="21"/>
      <c r="B5" s="266"/>
      <c r="C5" s="5"/>
      <c r="D5" s="263"/>
      <c r="E5" s="263"/>
      <c r="F5" s="266"/>
      <c r="G5" s="267"/>
      <c r="H5" s="2"/>
      <c r="I5" s="2"/>
      <c r="J5" s="2"/>
      <c r="K5" s="24" t="str">
        <f>IF(Dec[[#This Row],[Date of Incident]]="","",TEXT(Dec[[#This Row],[Date of Incident]],"ddd"))</f>
        <v/>
      </c>
      <c r="L5" s="1"/>
      <c r="M5" s="24" t="str">
        <f>IFERROR(VLOOKUP(Dec[[#This Row],[Hour]],Shifts[],2,FALSE),"")</f>
        <v/>
      </c>
      <c r="N5" s="2"/>
      <c r="O5" s="24" t="str">
        <f>IFERROR(VLOOKUP(Dec[[#This Row],[BIMS Score]],BIMS[],2,FALSE),"")</f>
        <v/>
      </c>
      <c r="P5" s="3"/>
      <c r="Q5" s="3"/>
      <c r="R5" s="2"/>
      <c r="S5" s="168"/>
      <c r="T5" s="3"/>
      <c r="U5" s="3"/>
      <c r="V5" s="3"/>
    </row>
    <row r="6" spans="1:22" ht="20.85" customHeight="1" x14ac:dyDescent="0.25">
      <c r="A6" s="21"/>
      <c r="B6" s="266"/>
      <c r="C6" s="5"/>
      <c r="D6" s="263"/>
      <c r="E6" s="263"/>
      <c r="F6" s="266"/>
      <c r="G6" s="267"/>
      <c r="H6" s="2"/>
      <c r="I6" s="2"/>
      <c r="J6" s="2"/>
      <c r="K6" s="24" t="str">
        <f>IF(Dec[[#This Row],[Date of Incident]]="","",TEXT(Dec[[#This Row],[Date of Incident]],"ddd"))</f>
        <v/>
      </c>
      <c r="L6" s="1"/>
      <c r="M6" s="24" t="str">
        <f>IFERROR(VLOOKUP(Dec[[#This Row],[Hour]],Shifts[],2,FALSE),"")</f>
        <v/>
      </c>
      <c r="N6" s="2"/>
      <c r="O6" s="24" t="str">
        <f>IFERROR(VLOOKUP(Dec[[#This Row],[BIMS Score]],BIMS[],2,FALSE),"")</f>
        <v/>
      </c>
      <c r="P6" s="3"/>
      <c r="Q6" s="3"/>
      <c r="R6" s="2"/>
      <c r="S6" s="168"/>
      <c r="T6" s="3"/>
      <c r="U6" s="3"/>
      <c r="V6" s="3"/>
    </row>
    <row r="7" spans="1:22" ht="20.85" customHeight="1" x14ac:dyDescent="0.25">
      <c r="A7" s="21"/>
      <c r="B7" s="266"/>
      <c r="C7" s="5"/>
      <c r="D7" s="263"/>
      <c r="E7" s="263"/>
      <c r="F7" s="266"/>
      <c r="G7" s="267"/>
      <c r="H7" s="2"/>
      <c r="I7" s="2"/>
      <c r="J7" s="2"/>
      <c r="K7" s="24" t="str">
        <f>IF(Dec[[#This Row],[Date of Incident]]="","",TEXT(Dec[[#This Row],[Date of Incident]],"ddd"))</f>
        <v/>
      </c>
      <c r="L7" s="1"/>
      <c r="M7" s="24" t="str">
        <f>IFERROR(VLOOKUP(Dec[[#This Row],[Hour]],Shifts[],2,FALSE),"")</f>
        <v/>
      </c>
      <c r="N7" s="2"/>
      <c r="O7" s="24" t="str">
        <f>IFERROR(VLOOKUP(Dec[[#This Row],[BIMS Score]],BIMS[],2,FALSE),"")</f>
        <v/>
      </c>
      <c r="P7" s="3"/>
      <c r="Q7" s="3"/>
      <c r="R7" s="2"/>
      <c r="S7" s="168"/>
      <c r="T7" s="3"/>
      <c r="U7" s="3"/>
      <c r="V7" s="3"/>
    </row>
    <row r="8" spans="1:22" ht="20.85" customHeight="1" x14ac:dyDescent="0.25">
      <c r="A8" s="21"/>
      <c r="B8" s="266"/>
      <c r="C8" s="5"/>
      <c r="D8" s="263"/>
      <c r="E8" s="263"/>
      <c r="F8" s="266"/>
      <c r="G8" s="267"/>
      <c r="H8" s="2"/>
      <c r="I8" s="2"/>
      <c r="J8" s="2"/>
      <c r="K8" s="24" t="str">
        <f>IF(Dec[[#This Row],[Date of Incident]]="","",TEXT(Dec[[#This Row],[Date of Incident]],"ddd"))</f>
        <v/>
      </c>
      <c r="L8" s="1"/>
      <c r="M8" s="24" t="str">
        <f>IFERROR(VLOOKUP(Dec[[#This Row],[Hour]],Shifts[],2,FALSE),"")</f>
        <v/>
      </c>
      <c r="N8" s="2"/>
      <c r="O8" s="24" t="str">
        <f>IFERROR(VLOOKUP(Dec[[#This Row],[BIMS Score]],BIMS[],2,FALSE),"")</f>
        <v/>
      </c>
      <c r="P8" s="3"/>
      <c r="Q8" s="3"/>
      <c r="R8" s="2"/>
      <c r="S8" s="168"/>
      <c r="T8" s="3"/>
      <c r="U8" s="3"/>
      <c r="V8" s="3"/>
    </row>
    <row r="9" spans="1:22" ht="20.85" customHeight="1" x14ac:dyDescent="0.25">
      <c r="A9" s="21"/>
      <c r="B9" s="266"/>
      <c r="C9" s="5"/>
      <c r="D9" s="263"/>
      <c r="E9" s="263"/>
      <c r="F9" s="266"/>
      <c r="G9" s="267"/>
      <c r="H9" s="2"/>
      <c r="I9" s="2"/>
      <c r="J9" s="2"/>
      <c r="K9" s="24" t="str">
        <f>IF(Dec[[#This Row],[Date of Incident]]="","",TEXT(Dec[[#This Row],[Date of Incident]],"ddd"))</f>
        <v/>
      </c>
      <c r="L9" s="1"/>
      <c r="M9" s="24" t="str">
        <f>IFERROR(VLOOKUP(Dec[[#This Row],[Hour]],Shifts[],2,FALSE),"")</f>
        <v/>
      </c>
      <c r="N9" s="2"/>
      <c r="O9" s="24" t="str">
        <f>IFERROR(VLOOKUP(Dec[[#This Row],[BIMS Score]],BIMS[],2,FALSE),"")</f>
        <v/>
      </c>
      <c r="P9" s="3"/>
      <c r="Q9" s="3"/>
      <c r="R9" s="2"/>
      <c r="S9" s="168"/>
      <c r="T9" s="3"/>
      <c r="U9" s="3"/>
      <c r="V9" s="3"/>
    </row>
    <row r="10" spans="1:22" ht="20.85" customHeight="1" x14ac:dyDescent="0.25">
      <c r="A10" s="21"/>
      <c r="B10" s="266"/>
      <c r="C10" s="5"/>
      <c r="D10" s="263"/>
      <c r="E10" s="263"/>
      <c r="F10" s="266"/>
      <c r="G10" s="267"/>
      <c r="H10" s="2"/>
      <c r="I10" s="2"/>
      <c r="J10" s="2"/>
      <c r="K10" s="24" t="str">
        <f>IF(Dec[[#This Row],[Date of Incident]]="","",TEXT(Dec[[#This Row],[Date of Incident]],"ddd"))</f>
        <v/>
      </c>
      <c r="L10" s="1"/>
      <c r="M10" s="24" t="str">
        <f>IFERROR(VLOOKUP(Dec[[#This Row],[Hour]],Shifts[],2,FALSE),"")</f>
        <v/>
      </c>
      <c r="N10" s="2"/>
      <c r="O10" s="24" t="str">
        <f>IFERROR(VLOOKUP(Dec[[#This Row],[BIMS Score]],BIMS[],2,FALSE),"")</f>
        <v/>
      </c>
      <c r="P10" s="3"/>
      <c r="Q10" s="3"/>
      <c r="R10" s="2"/>
      <c r="S10" s="168"/>
      <c r="T10" s="3"/>
      <c r="U10" s="3"/>
      <c r="V10" s="3"/>
    </row>
    <row r="11" spans="1:22" ht="20.85" customHeight="1" x14ac:dyDescent="0.25">
      <c r="A11" s="21"/>
      <c r="B11" s="266"/>
      <c r="C11" s="5"/>
      <c r="D11" s="263"/>
      <c r="E11" s="263"/>
      <c r="F11" s="266"/>
      <c r="G11" s="267"/>
      <c r="H11" s="2"/>
      <c r="I11" s="2"/>
      <c r="J11" s="2"/>
      <c r="K11" s="24" t="str">
        <f>IF(Dec[[#This Row],[Date of Incident]]="","",TEXT(Dec[[#This Row],[Date of Incident]],"ddd"))</f>
        <v/>
      </c>
      <c r="L11" s="1"/>
      <c r="M11" s="24" t="str">
        <f>IFERROR(VLOOKUP(Dec[[#This Row],[Hour]],Shifts[],2,FALSE),"")</f>
        <v/>
      </c>
      <c r="N11" s="2"/>
      <c r="O11" s="24" t="str">
        <f>IFERROR(VLOOKUP(Dec[[#This Row],[BIMS Score]],BIMS[],2,FALSE),"")</f>
        <v/>
      </c>
      <c r="P11" s="3"/>
      <c r="Q11" s="3"/>
      <c r="R11" s="2"/>
      <c r="S11" s="168"/>
      <c r="T11" s="3"/>
      <c r="U11" s="3"/>
      <c r="V11" s="3"/>
    </row>
    <row r="12" spans="1:22" ht="20.85" customHeight="1" x14ac:dyDescent="0.25">
      <c r="A12" s="21"/>
      <c r="B12" s="267"/>
      <c r="C12" s="5"/>
      <c r="D12" s="264"/>
      <c r="E12" s="263"/>
      <c r="F12" s="267"/>
      <c r="G12" s="267"/>
      <c r="H12" s="2"/>
      <c r="I12" s="2"/>
      <c r="J12" s="2"/>
      <c r="K12" s="24" t="str">
        <f>IF(Dec[[#This Row],[Date of Incident]]="","",TEXT(Dec[[#This Row],[Date of Incident]],"ddd"))</f>
        <v/>
      </c>
      <c r="L12" s="1"/>
      <c r="M12" s="24" t="str">
        <f>IFERROR(VLOOKUP(Dec[[#This Row],[Hour]],Shifts[],2,FALSE),"")</f>
        <v/>
      </c>
      <c r="N12" s="2"/>
      <c r="O12" s="24" t="str">
        <f>IFERROR(VLOOKUP(Dec[[#This Row],[BIMS Score]],BIMS[],2,FALSE),"")</f>
        <v/>
      </c>
      <c r="P12" s="3"/>
      <c r="Q12" s="3"/>
      <c r="R12" s="2"/>
      <c r="S12" s="168"/>
      <c r="T12" s="3"/>
      <c r="U12" s="3"/>
      <c r="V12" s="3"/>
    </row>
    <row r="13" spans="1:22" ht="20.85" customHeight="1" x14ac:dyDescent="0.25">
      <c r="A13" s="21"/>
      <c r="B13" s="267"/>
      <c r="C13" s="5"/>
      <c r="D13" s="264"/>
      <c r="E13" s="263"/>
      <c r="F13" s="267"/>
      <c r="G13" s="267"/>
      <c r="H13" s="2"/>
      <c r="I13" s="2"/>
      <c r="J13" s="2"/>
      <c r="K13" s="24" t="str">
        <f>IF(Dec[[#This Row],[Date of Incident]]="","",TEXT(Dec[[#This Row],[Date of Incident]],"ddd"))</f>
        <v/>
      </c>
      <c r="L13" s="1"/>
      <c r="M13" s="24" t="str">
        <f>IFERROR(VLOOKUP(Dec[[#This Row],[Hour]],Shifts[],2,FALSE),"")</f>
        <v/>
      </c>
      <c r="N13" s="2"/>
      <c r="O13" s="24" t="str">
        <f>IFERROR(VLOOKUP(Dec[[#This Row],[BIMS Score]],BIMS[],2,FALSE),"")</f>
        <v/>
      </c>
      <c r="P13" s="3"/>
      <c r="Q13" s="3"/>
      <c r="R13" s="2"/>
      <c r="S13" s="168"/>
      <c r="T13" s="3"/>
      <c r="U13" s="3"/>
      <c r="V13" s="3"/>
    </row>
    <row r="14" spans="1:22" ht="20.85" customHeight="1" x14ac:dyDescent="0.25">
      <c r="A14" s="21"/>
      <c r="B14" s="267"/>
      <c r="C14" s="5"/>
      <c r="D14" s="264"/>
      <c r="E14" s="263"/>
      <c r="F14" s="267"/>
      <c r="G14" s="267"/>
      <c r="H14" s="2"/>
      <c r="I14" s="2"/>
      <c r="J14" s="2"/>
      <c r="K14" s="24" t="str">
        <f>IF(Dec[[#This Row],[Date of Incident]]="","",TEXT(Dec[[#This Row],[Date of Incident]],"ddd"))</f>
        <v/>
      </c>
      <c r="L14" s="1"/>
      <c r="M14" s="24" t="str">
        <f>IFERROR(VLOOKUP(Dec[[#This Row],[Hour]],Shifts[],2,FALSE),"")</f>
        <v/>
      </c>
      <c r="N14" s="2"/>
      <c r="O14" s="24" t="str">
        <f>IFERROR(VLOOKUP(Dec[[#This Row],[BIMS Score]],BIMS[],2,FALSE),"")</f>
        <v/>
      </c>
      <c r="P14" s="3"/>
      <c r="Q14" s="3"/>
      <c r="R14" s="2"/>
      <c r="S14" s="168"/>
      <c r="T14" s="3"/>
      <c r="U14" s="3"/>
      <c r="V14" s="3"/>
    </row>
    <row r="15" spans="1:22" ht="20.85" customHeight="1" x14ac:dyDescent="0.25">
      <c r="A15" s="21"/>
      <c r="B15" s="267"/>
      <c r="C15" s="5"/>
      <c r="D15" s="264"/>
      <c r="E15" s="263"/>
      <c r="F15" s="267"/>
      <c r="G15" s="267"/>
      <c r="H15" s="2"/>
      <c r="I15" s="2"/>
      <c r="J15" s="2"/>
      <c r="K15" s="24" t="str">
        <f>IF(Dec[[#This Row],[Date of Incident]]="","",TEXT(Dec[[#This Row],[Date of Incident]],"ddd"))</f>
        <v/>
      </c>
      <c r="L15" s="1"/>
      <c r="M15" s="24" t="str">
        <f>IFERROR(VLOOKUP(Dec[[#This Row],[Hour]],Shifts[],2,FALSE),"")</f>
        <v/>
      </c>
      <c r="N15" s="2"/>
      <c r="O15" s="24" t="str">
        <f>IFERROR(VLOOKUP(Dec[[#This Row],[BIMS Score]],BIMS[],2,FALSE),"")</f>
        <v/>
      </c>
      <c r="P15" s="3"/>
      <c r="Q15" s="3"/>
      <c r="R15" s="2"/>
      <c r="S15" s="168"/>
      <c r="T15" s="3"/>
      <c r="U15" s="3"/>
      <c r="V15" s="3"/>
    </row>
    <row r="16" spans="1:22" ht="20.85" customHeight="1" x14ac:dyDescent="0.25">
      <c r="A16" s="21"/>
      <c r="B16" s="267"/>
      <c r="C16" s="3"/>
      <c r="D16" s="264"/>
      <c r="E16" s="264"/>
      <c r="F16" s="267"/>
      <c r="G16" s="267"/>
      <c r="H16" s="2"/>
      <c r="I16" s="2"/>
      <c r="J16" s="2"/>
      <c r="K16" s="24" t="str">
        <f>IF(Dec[[#This Row],[Date of Incident]]="","",TEXT(Dec[[#This Row],[Date of Incident]],"ddd"))</f>
        <v/>
      </c>
      <c r="L16" s="1"/>
      <c r="M16" s="24" t="str">
        <f>IFERROR(VLOOKUP(Dec[[#This Row],[Hour]],Shifts[],2,FALSE),"")</f>
        <v/>
      </c>
      <c r="N16" s="2"/>
      <c r="O16" s="24" t="str">
        <f>IFERROR(VLOOKUP(Dec[[#This Row],[BIMS Score]],BIMS[],2,FALSE),"")</f>
        <v/>
      </c>
      <c r="P16" s="3"/>
      <c r="Q16" s="3"/>
      <c r="R16" s="2"/>
      <c r="S16" s="168"/>
      <c r="T16" s="3"/>
      <c r="U16" s="3"/>
      <c r="V16" s="3"/>
    </row>
    <row r="17" spans="1:22" ht="20.85" customHeight="1" x14ac:dyDescent="0.25">
      <c r="A17" s="21"/>
      <c r="B17" s="267"/>
      <c r="C17" s="3"/>
      <c r="D17" s="264"/>
      <c r="E17" s="264"/>
      <c r="F17" s="267"/>
      <c r="G17" s="267"/>
      <c r="H17" s="2"/>
      <c r="I17" s="2"/>
      <c r="J17" s="2"/>
      <c r="K17" s="24" t="str">
        <f>IF(Dec[[#This Row],[Date of Incident]]="","",TEXT(Dec[[#This Row],[Date of Incident]],"ddd"))</f>
        <v/>
      </c>
      <c r="L17" s="1"/>
      <c r="M17" s="24" t="str">
        <f>IFERROR(VLOOKUP(Dec[[#This Row],[Hour]],Shifts[],2,FALSE),"")</f>
        <v/>
      </c>
      <c r="N17" s="2"/>
      <c r="O17" s="24" t="str">
        <f>IFERROR(VLOOKUP(Dec[[#This Row],[BIMS Score]],BIMS[],2,FALSE),"")</f>
        <v/>
      </c>
      <c r="P17" s="3"/>
      <c r="Q17" s="3"/>
      <c r="R17" s="2"/>
      <c r="S17" s="168"/>
      <c r="T17" s="3"/>
      <c r="U17" s="3"/>
      <c r="V17" s="3"/>
    </row>
    <row r="18" spans="1:22" ht="20.85" customHeight="1" x14ac:dyDescent="0.25">
      <c r="A18" s="21"/>
      <c r="B18" s="267"/>
      <c r="C18" s="3"/>
      <c r="D18" s="264"/>
      <c r="E18" s="264"/>
      <c r="F18" s="267"/>
      <c r="G18" s="267"/>
      <c r="H18" s="2"/>
      <c r="I18" s="2"/>
      <c r="J18" s="2"/>
      <c r="K18" s="24" t="str">
        <f>IF(Dec[[#This Row],[Date of Incident]]="","",TEXT(Dec[[#This Row],[Date of Incident]],"ddd"))</f>
        <v/>
      </c>
      <c r="L18" s="1"/>
      <c r="M18" s="24" t="str">
        <f>IFERROR(VLOOKUP(Dec[[#This Row],[Hour]],Shifts[],2,FALSE),"")</f>
        <v/>
      </c>
      <c r="N18" s="2"/>
      <c r="O18" s="24" t="str">
        <f>IFERROR(VLOOKUP(Dec[[#This Row],[BIMS Score]],BIMS[],2,FALSE),"")</f>
        <v/>
      </c>
      <c r="P18" s="3"/>
      <c r="Q18" s="3"/>
      <c r="R18" s="2"/>
      <c r="S18" s="168"/>
      <c r="T18" s="3"/>
      <c r="U18" s="3"/>
      <c r="V18" s="3"/>
    </row>
    <row r="19" spans="1:22" ht="20.85" customHeight="1" x14ac:dyDescent="0.25">
      <c r="A19" s="21"/>
      <c r="B19" s="267"/>
      <c r="C19" s="3"/>
      <c r="D19" s="264"/>
      <c r="E19" s="264"/>
      <c r="F19" s="267"/>
      <c r="G19" s="267"/>
      <c r="H19" s="2"/>
      <c r="I19" s="2"/>
      <c r="J19" s="2"/>
      <c r="K19" s="24" t="str">
        <f>IF(Dec[[#This Row],[Date of Incident]]="","",TEXT(Dec[[#This Row],[Date of Incident]],"ddd"))</f>
        <v/>
      </c>
      <c r="L19" s="1"/>
      <c r="M19" s="24" t="str">
        <f>IFERROR(VLOOKUP(Dec[[#This Row],[Hour]],Shifts[],2,FALSE),"")</f>
        <v/>
      </c>
      <c r="N19" s="2"/>
      <c r="O19" s="24" t="str">
        <f>IFERROR(VLOOKUP(Dec[[#This Row],[BIMS Score]],BIMS[],2,FALSE),"")</f>
        <v/>
      </c>
      <c r="P19" s="3"/>
      <c r="Q19" s="3"/>
      <c r="R19" s="2"/>
      <c r="S19" s="168"/>
      <c r="T19" s="3"/>
      <c r="U19" s="3"/>
      <c r="V19" s="3"/>
    </row>
    <row r="20" spans="1:22" ht="20.85" customHeight="1" x14ac:dyDescent="0.25">
      <c r="A20" s="21"/>
      <c r="B20" s="267"/>
      <c r="C20" s="3"/>
      <c r="D20" s="264"/>
      <c r="E20" s="264"/>
      <c r="F20" s="267"/>
      <c r="G20" s="267"/>
      <c r="H20" s="2"/>
      <c r="I20" s="2"/>
      <c r="J20" s="2"/>
      <c r="K20" s="24" t="str">
        <f>IF(Dec[[#This Row],[Date of Incident]]="","",TEXT(Dec[[#This Row],[Date of Incident]],"ddd"))</f>
        <v/>
      </c>
      <c r="L20" s="1"/>
      <c r="M20" s="24" t="str">
        <f>IFERROR(VLOOKUP(Dec[[#This Row],[Hour]],Shifts[],2,FALSE),"")</f>
        <v/>
      </c>
      <c r="N20" s="2"/>
      <c r="O20" s="24" t="str">
        <f>IFERROR(VLOOKUP(Dec[[#This Row],[BIMS Score]],BIMS[],2,FALSE),"")</f>
        <v/>
      </c>
      <c r="P20" s="3"/>
      <c r="Q20" s="3"/>
      <c r="R20" s="2"/>
      <c r="S20" s="168"/>
      <c r="T20" s="3"/>
      <c r="U20" s="3"/>
      <c r="V20" s="3"/>
    </row>
    <row r="21" spans="1:22" ht="20.85" customHeight="1" x14ac:dyDescent="0.25">
      <c r="A21" s="21"/>
      <c r="B21" s="267"/>
      <c r="C21" s="3"/>
      <c r="D21" s="264"/>
      <c r="E21" s="264"/>
      <c r="F21" s="267"/>
      <c r="G21" s="267"/>
      <c r="H21" s="2"/>
      <c r="I21" s="2"/>
      <c r="J21" s="2"/>
      <c r="K21" s="24" t="str">
        <f>IF(Dec[[#This Row],[Date of Incident]]="","",TEXT(Dec[[#This Row],[Date of Incident]],"ddd"))</f>
        <v/>
      </c>
      <c r="L21" s="1"/>
      <c r="M21" s="24" t="str">
        <f>IFERROR(VLOOKUP(Dec[[#This Row],[Hour]],Shifts[],2,FALSE),"")</f>
        <v/>
      </c>
      <c r="N21" s="2"/>
      <c r="O21" s="24" t="str">
        <f>IFERROR(VLOOKUP(Dec[[#This Row],[BIMS Score]],BIMS[],2,FALSE),"")</f>
        <v/>
      </c>
      <c r="P21" s="3"/>
      <c r="Q21" s="3"/>
      <c r="R21" s="2"/>
      <c r="S21" s="168"/>
      <c r="T21" s="3"/>
      <c r="U21" s="3"/>
      <c r="V21" s="3"/>
    </row>
    <row r="22" spans="1:22" ht="20.85" customHeight="1" x14ac:dyDescent="0.25">
      <c r="A22" s="21"/>
      <c r="B22" s="267"/>
      <c r="C22" s="3"/>
      <c r="D22" s="264"/>
      <c r="E22" s="264"/>
      <c r="F22" s="267"/>
      <c r="G22" s="267"/>
      <c r="H22" s="2"/>
      <c r="I22" s="2"/>
      <c r="J22" s="2"/>
      <c r="K22" s="24" t="str">
        <f>IF(Dec[[#This Row],[Date of Incident]]="","",TEXT(Dec[[#This Row],[Date of Incident]],"ddd"))</f>
        <v/>
      </c>
      <c r="L22" s="1"/>
      <c r="M22" s="24" t="str">
        <f>IFERROR(VLOOKUP(Dec[[#This Row],[Hour]],Shifts[],2,FALSE),"")</f>
        <v/>
      </c>
      <c r="N22" s="1"/>
      <c r="O22" s="24" t="str">
        <f>IFERROR(VLOOKUP(Dec[[#This Row],[BIMS Score]],BIMS[],2,FALSE),"")</f>
        <v/>
      </c>
      <c r="P22" s="3"/>
      <c r="Q22" s="3"/>
      <c r="R22" s="2"/>
      <c r="S22" s="168"/>
      <c r="T22" s="3"/>
      <c r="U22" s="3"/>
      <c r="V22" s="3"/>
    </row>
    <row r="23" spans="1:22" ht="20.85" customHeight="1" x14ac:dyDescent="0.25">
      <c r="A23" s="21"/>
      <c r="B23" s="267"/>
      <c r="C23" s="3"/>
      <c r="D23" s="264"/>
      <c r="E23" s="264"/>
      <c r="F23" s="267"/>
      <c r="G23" s="267"/>
      <c r="H23" s="2"/>
      <c r="I23" s="2"/>
      <c r="J23" s="2"/>
      <c r="K23" s="24" t="str">
        <f>IF(Dec[[#This Row],[Date of Incident]]="","",TEXT(Dec[[#This Row],[Date of Incident]],"ddd"))</f>
        <v/>
      </c>
      <c r="L23" s="1"/>
      <c r="M23" s="24" t="str">
        <f>IFERROR(VLOOKUP(Dec[[#This Row],[Hour]],Shifts[],2,FALSE),"")</f>
        <v/>
      </c>
      <c r="N23" s="1"/>
      <c r="O23" s="24" t="str">
        <f>IFERROR(VLOOKUP(Dec[[#This Row],[BIMS Score]],BIMS[],2,FALSE),"")</f>
        <v/>
      </c>
      <c r="P23" s="3"/>
      <c r="Q23" s="3"/>
      <c r="R23" s="2"/>
      <c r="S23" s="168"/>
      <c r="T23" s="3"/>
      <c r="U23" s="3"/>
      <c r="V23" s="3"/>
    </row>
    <row r="24" spans="1:22" s="10" customFormat="1" ht="20.85" customHeight="1" x14ac:dyDescent="0.25">
      <c r="A24" s="26"/>
      <c r="B24" s="266"/>
      <c r="C24" s="5"/>
      <c r="D24" s="263"/>
      <c r="E24" s="263"/>
      <c r="F24" s="267"/>
      <c r="G24" s="267"/>
      <c r="H24" s="1"/>
      <c r="I24" s="1"/>
      <c r="J24" s="1"/>
      <c r="K24" s="24" t="str">
        <f>IF(Dec[[#This Row],[Date of Incident]]="","",TEXT(Dec[[#This Row],[Date of Incident]],"ddd"))</f>
        <v/>
      </c>
      <c r="L24" s="1"/>
      <c r="M24" s="24" t="str">
        <f>IFERROR(VLOOKUP(Dec[[#This Row],[Hour]],Shifts[],2,FALSE),"")</f>
        <v/>
      </c>
      <c r="N24" s="1"/>
      <c r="O24" s="24" t="str">
        <f>IFERROR(VLOOKUP(Dec[[#This Row],[BIMS Score]],BIMS[],2,FALSE),"")</f>
        <v/>
      </c>
      <c r="P24" s="3"/>
      <c r="Q24" s="3"/>
      <c r="R24" s="2"/>
      <c r="S24" s="168"/>
      <c r="T24" s="5"/>
      <c r="U24" s="5"/>
      <c r="V24" s="3"/>
    </row>
    <row r="25" spans="1:22" ht="20.85" customHeight="1" x14ac:dyDescent="0.25">
      <c r="A25" s="21"/>
      <c r="B25" s="266"/>
      <c r="C25" s="5"/>
      <c r="D25" s="263"/>
      <c r="E25" s="263"/>
      <c r="F25" s="267"/>
      <c r="G25" s="267"/>
      <c r="H25" s="1"/>
      <c r="I25" s="1"/>
      <c r="J25" s="1"/>
      <c r="K25" s="24" t="str">
        <f>IF(Dec[[#This Row],[Date of Incident]]="","",TEXT(Dec[[#This Row],[Date of Incident]],"ddd"))</f>
        <v/>
      </c>
      <c r="L25" s="1"/>
      <c r="M25" s="24" t="str">
        <f>IFERROR(VLOOKUP(Dec[[#This Row],[Hour]],Shifts[],2,FALSE),"")</f>
        <v/>
      </c>
      <c r="N25" s="1"/>
      <c r="O25" s="24" t="str">
        <f>IFERROR(VLOOKUP(Dec[[#This Row],[BIMS Score]],BIMS[],2,FALSE),"")</f>
        <v/>
      </c>
      <c r="P25" s="3"/>
      <c r="Q25" s="3"/>
      <c r="R25" s="2"/>
      <c r="S25" s="168"/>
      <c r="T25" s="5"/>
      <c r="U25" s="5"/>
      <c r="V25" s="3"/>
    </row>
    <row r="26" spans="1:22" ht="20.85" customHeight="1" x14ac:dyDescent="0.25">
      <c r="A26" s="21"/>
      <c r="B26" s="266"/>
      <c r="C26" s="5"/>
      <c r="D26" s="263"/>
      <c r="E26" s="263"/>
      <c r="F26" s="267"/>
      <c r="G26" s="267"/>
      <c r="H26" s="1"/>
      <c r="I26" s="1"/>
      <c r="J26" s="1"/>
      <c r="K26" s="24" t="str">
        <f>IF(Dec[[#This Row],[Date of Incident]]="","",TEXT(Dec[[#This Row],[Date of Incident]],"ddd"))</f>
        <v/>
      </c>
      <c r="L26" s="1"/>
      <c r="M26" s="24" t="str">
        <f>IFERROR(VLOOKUP(Dec[[#This Row],[Hour]],Shifts[],2,FALSE),"")</f>
        <v/>
      </c>
      <c r="N26" s="1"/>
      <c r="O26" s="24" t="str">
        <f>IFERROR(VLOOKUP(Dec[[#This Row],[BIMS Score]],BIMS[],2,FALSE),"")</f>
        <v/>
      </c>
      <c r="P26" s="3"/>
      <c r="Q26" s="3"/>
      <c r="R26" s="2"/>
      <c r="S26" s="168"/>
      <c r="T26" s="5"/>
      <c r="U26" s="5"/>
      <c r="V26" s="3"/>
    </row>
    <row r="27" spans="1:22" ht="20.85" customHeight="1" x14ac:dyDescent="0.25">
      <c r="A27" s="21"/>
      <c r="B27" s="266"/>
      <c r="C27" s="5"/>
      <c r="D27" s="263"/>
      <c r="E27" s="263"/>
      <c r="F27" s="267"/>
      <c r="G27" s="267"/>
      <c r="H27" s="1"/>
      <c r="I27" s="1"/>
      <c r="J27" s="1"/>
      <c r="K27" s="24" t="str">
        <f>IF(Dec[[#This Row],[Date of Incident]]="","",TEXT(Dec[[#This Row],[Date of Incident]],"ddd"))</f>
        <v/>
      </c>
      <c r="L27" s="1"/>
      <c r="M27" s="24" t="str">
        <f>IFERROR(VLOOKUP(Dec[[#This Row],[Hour]],Shifts[],2,FALSE),"")</f>
        <v/>
      </c>
      <c r="N27" s="1"/>
      <c r="O27" s="24" t="str">
        <f>IFERROR(VLOOKUP(Dec[[#This Row],[BIMS Score]],BIMS[],2,FALSE),"")</f>
        <v/>
      </c>
      <c r="P27" s="3"/>
      <c r="Q27" s="3"/>
      <c r="R27" s="2"/>
      <c r="S27" s="168"/>
      <c r="T27" s="5"/>
      <c r="U27" s="5"/>
      <c r="V27" s="3"/>
    </row>
    <row r="28" spans="1:22" ht="20.85" customHeight="1" x14ac:dyDescent="0.25">
      <c r="A28" s="21"/>
      <c r="B28" s="266"/>
      <c r="C28" s="5"/>
      <c r="D28" s="263"/>
      <c r="E28" s="263"/>
      <c r="F28" s="267"/>
      <c r="G28" s="267"/>
      <c r="H28" s="1"/>
      <c r="I28" s="1"/>
      <c r="J28" s="1"/>
      <c r="K28" s="24" t="str">
        <f>IF(Dec[[#This Row],[Date of Incident]]="","",TEXT(Dec[[#This Row],[Date of Incident]],"ddd"))</f>
        <v/>
      </c>
      <c r="L28" s="1"/>
      <c r="M28" s="24" t="str">
        <f>IFERROR(VLOOKUP(Dec[[#This Row],[Hour]],Shifts[],2,FALSE),"")</f>
        <v/>
      </c>
      <c r="N28" s="1"/>
      <c r="O28" s="24" t="str">
        <f>IFERROR(VLOOKUP(Dec[[#This Row],[BIMS Score]],BIMS[],2,FALSE),"")</f>
        <v/>
      </c>
      <c r="P28" s="3"/>
      <c r="Q28" s="3"/>
      <c r="R28" s="2"/>
      <c r="S28" s="168"/>
      <c r="T28" s="5"/>
      <c r="U28" s="5"/>
      <c r="V28" s="3"/>
    </row>
    <row r="29" spans="1:22" ht="20.85" customHeight="1" x14ac:dyDescent="0.25">
      <c r="B29" s="266"/>
      <c r="C29" s="5"/>
      <c r="D29" s="263"/>
      <c r="E29" s="263"/>
      <c r="F29" s="267"/>
      <c r="G29" s="267"/>
      <c r="H29" s="1"/>
      <c r="I29" s="1"/>
      <c r="J29" s="1"/>
      <c r="K29" s="27" t="str">
        <f>IF(Dec[[#This Row],[Date of Incident]]="","",TEXT(Dec[[#This Row],[Date of Incident]],"ddd"))</f>
        <v/>
      </c>
      <c r="L29" s="1"/>
      <c r="M29" s="27" t="str">
        <f>IFERROR(VLOOKUP(Dec[[#This Row],[Hour]],Shifts[],2,FALSE),"")</f>
        <v/>
      </c>
      <c r="N29" s="2"/>
      <c r="O29" s="24" t="str">
        <f>IFERROR(VLOOKUP(Dec[[#This Row],[BIMS Score]],BIMS[],2,FALSE),"")</f>
        <v/>
      </c>
      <c r="P29" s="3"/>
      <c r="Q29" s="3"/>
      <c r="R29" s="2"/>
      <c r="S29" s="168"/>
      <c r="T29" s="5"/>
      <c r="U29" s="5"/>
      <c r="V29" s="5"/>
    </row>
    <row r="30" spans="1:22" ht="20.85" customHeight="1" x14ac:dyDescent="0.25">
      <c r="B30" s="266"/>
      <c r="C30" s="5"/>
      <c r="D30" s="263"/>
      <c r="E30" s="263"/>
      <c r="F30" s="267"/>
      <c r="G30" s="267"/>
      <c r="H30" s="1"/>
      <c r="I30" s="1"/>
      <c r="J30" s="1"/>
      <c r="K30" s="27" t="str">
        <f>IF(Dec[[#This Row],[Date of Incident]]="","",TEXT(Dec[[#This Row],[Date of Incident]],"ddd"))</f>
        <v/>
      </c>
      <c r="L30" s="1"/>
      <c r="M30" s="27" t="str">
        <f>IFERROR(VLOOKUP(Dec[[#This Row],[Hour]],Shifts[],2,FALSE),"")</f>
        <v/>
      </c>
      <c r="N30" s="2"/>
      <c r="O30" s="24" t="str">
        <f>IFERROR(VLOOKUP(Dec[[#This Row],[BIMS Score]],BIMS[],2,FALSE),"")</f>
        <v/>
      </c>
      <c r="P30" s="3"/>
      <c r="Q30" s="3"/>
      <c r="R30" s="2"/>
      <c r="S30" s="168"/>
      <c r="T30" s="5"/>
      <c r="U30" s="5"/>
      <c r="V30" s="5"/>
    </row>
    <row r="31" spans="1:22" ht="20.85" customHeight="1" x14ac:dyDescent="0.25">
      <c r="B31" s="266"/>
      <c r="C31" s="5"/>
      <c r="D31" s="263"/>
      <c r="E31" s="263"/>
      <c r="F31" s="267"/>
      <c r="G31" s="267"/>
      <c r="H31" s="1"/>
      <c r="I31" s="1"/>
      <c r="J31" s="1"/>
      <c r="K31" s="27" t="str">
        <f>IF(Dec[[#This Row],[Date of Incident]]="","",TEXT(Dec[[#This Row],[Date of Incident]],"ddd"))</f>
        <v/>
      </c>
      <c r="L31" s="1"/>
      <c r="M31" s="27" t="str">
        <f>IFERROR(VLOOKUP(Dec[[#This Row],[Hour]],Shifts[],2,FALSE),"")</f>
        <v/>
      </c>
      <c r="N31" s="2"/>
      <c r="O31" s="24" t="str">
        <f>IFERROR(VLOOKUP(Dec[[#This Row],[BIMS Score]],BIMS[],2,FALSE),"")</f>
        <v/>
      </c>
      <c r="P31" s="3"/>
      <c r="Q31" s="3"/>
      <c r="R31" s="2"/>
      <c r="S31" s="168"/>
      <c r="T31" s="5"/>
      <c r="U31" s="5"/>
      <c r="V31" s="5"/>
    </row>
    <row r="32" spans="1:22" ht="20.85" customHeight="1" x14ac:dyDescent="0.25">
      <c r="B32" s="266"/>
      <c r="C32" s="5"/>
      <c r="D32" s="263"/>
      <c r="E32" s="263"/>
      <c r="F32" s="267"/>
      <c r="G32" s="267"/>
      <c r="H32" s="1"/>
      <c r="I32" s="1"/>
      <c r="J32" s="1"/>
      <c r="K32" s="27" t="str">
        <f>IF(Dec[[#This Row],[Date of Incident]]="","",TEXT(Dec[[#This Row],[Date of Incident]],"ddd"))</f>
        <v/>
      </c>
      <c r="L32" s="1"/>
      <c r="M32" s="27" t="str">
        <f>IFERROR(VLOOKUP(Dec[[#This Row],[Hour]],Shifts[],2,FALSE),"")</f>
        <v/>
      </c>
      <c r="N32" s="2"/>
      <c r="O32" s="24" t="str">
        <f>IFERROR(VLOOKUP(Dec[[#This Row],[BIMS Score]],BIMS[],2,FALSE),"")</f>
        <v/>
      </c>
      <c r="P32" s="3"/>
      <c r="Q32" s="3"/>
      <c r="R32" s="2"/>
      <c r="S32" s="168"/>
      <c r="T32" s="5"/>
      <c r="U32" s="5"/>
      <c r="V32" s="5"/>
    </row>
    <row r="33" spans="2:22" ht="20.85" customHeight="1" x14ac:dyDescent="0.25">
      <c r="B33" s="266"/>
      <c r="C33" s="5"/>
      <c r="D33" s="263"/>
      <c r="E33" s="263"/>
      <c r="F33" s="267"/>
      <c r="G33" s="267"/>
      <c r="H33" s="1"/>
      <c r="I33" s="1"/>
      <c r="J33" s="1"/>
      <c r="K33" s="27" t="str">
        <f>IF(Dec[[#This Row],[Date of Incident]]="","",TEXT(Dec[[#This Row],[Date of Incident]],"ddd"))</f>
        <v/>
      </c>
      <c r="L33" s="1"/>
      <c r="M33" s="27" t="str">
        <f>IFERROR(VLOOKUP(Dec[[#This Row],[Hour]],Shifts[],2,FALSE),"")</f>
        <v/>
      </c>
      <c r="N33" s="2"/>
      <c r="O33" s="24" t="str">
        <f>IFERROR(VLOOKUP(Dec[[#This Row],[BIMS Score]],BIMS[],2,FALSE),"")</f>
        <v/>
      </c>
      <c r="P33" s="3"/>
      <c r="Q33" s="3"/>
      <c r="R33" s="2"/>
      <c r="S33" s="168"/>
      <c r="T33" s="5"/>
      <c r="U33" s="5"/>
      <c r="V33" s="5"/>
    </row>
    <row r="34" spans="2:22" ht="20.85" customHeight="1" x14ac:dyDescent="0.25">
      <c r="B34" s="266"/>
      <c r="C34" s="5"/>
      <c r="D34" s="263"/>
      <c r="E34" s="263"/>
      <c r="F34" s="267"/>
      <c r="G34" s="267"/>
      <c r="H34" s="1"/>
      <c r="I34" s="1"/>
      <c r="J34" s="1"/>
      <c r="K34" s="27" t="str">
        <f>IF(Dec[[#This Row],[Date of Incident]]="","",TEXT(Dec[[#This Row],[Date of Incident]],"ddd"))</f>
        <v/>
      </c>
      <c r="L34" s="1"/>
      <c r="M34" s="27" t="str">
        <f>IFERROR(VLOOKUP(Dec[[#This Row],[Hour]],Shifts[],2,FALSE),"")</f>
        <v/>
      </c>
      <c r="N34" s="2"/>
      <c r="O34" s="24" t="str">
        <f>IFERROR(VLOOKUP(Dec[[#This Row],[BIMS Score]],BIMS[],2,FALSE),"")</f>
        <v/>
      </c>
      <c r="P34" s="3"/>
      <c r="Q34" s="3"/>
      <c r="R34" s="2"/>
      <c r="S34" s="168"/>
      <c r="T34" s="5"/>
      <c r="U34" s="5"/>
      <c r="V34" s="5"/>
    </row>
    <row r="35" spans="2:22" ht="20.85" customHeight="1" x14ac:dyDescent="0.25">
      <c r="B35" s="266"/>
      <c r="C35" s="5"/>
      <c r="D35" s="263"/>
      <c r="E35" s="263"/>
      <c r="F35" s="267"/>
      <c r="G35" s="267"/>
      <c r="H35" s="1"/>
      <c r="I35" s="1"/>
      <c r="J35" s="1"/>
      <c r="K35" s="27" t="str">
        <f>IF(Dec[[#This Row],[Date of Incident]]="","",TEXT(Dec[[#This Row],[Date of Incident]],"ddd"))</f>
        <v/>
      </c>
      <c r="L35" s="1"/>
      <c r="M35" s="27" t="str">
        <f>IFERROR(VLOOKUP(Dec[[#This Row],[Hour]],Shifts[],2,FALSE),"")</f>
        <v/>
      </c>
      <c r="N35" s="2"/>
      <c r="O35" s="24" t="str">
        <f>IFERROR(VLOOKUP(Dec[[#This Row],[BIMS Score]],BIMS[],2,FALSE),"")</f>
        <v/>
      </c>
      <c r="P35" s="3"/>
      <c r="Q35" s="3"/>
      <c r="R35" s="2"/>
      <c r="S35" s="168"/>
      <c r="T35" s="5"/>
      <c r="U35" s="5"/>
      <c r="V35" s="5"/>
    </row>
    <row r="36" spans="2:22" ht="20.85" customHeight="1" x14ac:dyDescent="0.25">
      <c r="B36" s="266"/>
      <c r="C36" s="5"/>
      <c r="D36" s="263"/>
      <c r="E36" s="263"/>
      <c r="F36" s="267"/>
      <c r="G36" s="267"/>
      <c r="H36" s="1"/>
      <c r="I36" s="1"/>
      <c r="J36" s="1"/>
      <c r="K36" s="27" t="str">
        <f>IF(Dec[[#This Row],[Date of Incident]]="","",TEXT(Dec[[#This Row],[Date of Incident]],"ddd"))</f>
        <v/>
      </c>
      <c r="L36" s="1"/>
      <c r="M36" s="27" t="str">
        <f>IFERROR(VLOOKUP(Dec[[#This Row],[Hour]],Shifts[],2,FALSE),"")</f>
        <v/>
      </c>
      <c r="N36" s="2"/>
      <c r="O36" s="24" t="str">
        <f>IFERROR(VLOOKUP(Dec[[#This Row],[BIMS Score]],BIMS[],2,FALSE),"")</f>
        <v/>
      </c>
      <c r="P36" s="3"/>
      <c r="Q36" s="3"/>
      <c r="R36" s="2"/>
      <c r="S36" s="168"/>
      <c r="T36" s="5"/>
      <c r="U36" s="5"/>
      <c r="V36" s="5"/>
    </row>
    <row r="37" spans="2:22" ht="20.85" customHeight="1" x14ac:dyDescent="0.25">
      <c r="B37" s="266"/>
      <c r="C37" s="5"/>
      <c r="D37" s="263"/>
      <c r="E37" s="263"/>
      <c r="F37" s="267"/>
      <c r="G37" s="267"/>
      <c r="H37" s="1"/>
      <c r="I37" s="1"/>
      <c r="J37" s="1"/>
      <c r="K37" s="27" t="str">
        <f>IF(Dec[[#This Row],[Date of Incident]]="","",TEXT(Dec[[#This Row],[Date of Incident]],"ddd"))</f>
        <v/>
      </c>
      <c r="L37" s="1"/>
      <c r="M37" s="27" t="str">
        <f>IFERROR(VLOOKUP(Dec[[#This Row],[Hour]],Shifts[],2,FALSE),"")</f>
        <v/>
      </c>
      <c r="N37" s="2"/>
      <c r="O37" s="24" t="str">
        <f>IFERROR(VLOOKUP(Dec[[#This Row],[BIMS Score]],BIMS[],2,FALSE),"")</f>
        <v/>
      </c>
      <c r="P37" s="3"/>
      <c r="Q37" s="3"/>
      <c r="R37" s="2"/>
      <c r="S37" s="168"/>
      <c r="T37" s="5"/>
      <c r="U37" s="5"/>
      <c r="V37" s="5"/>
    </row>
    <row r="38" spans="2:22" ht="20.85" customHeight="1" x14ac:dyDescent="0.25">
      <c r="B38" s="266"/>
      <c r="C38" s="5"/>
      <c r="D38" s="263"/>
      <c r="E38" s="263"/>
      <c r="F38" s="267"/>
      <c r="G38" s="267"/>
      <c r="H38" s="1"/>
      <c r="I38" s="1"/>
      <c r="J38" s="1"/>
      <c r="K38" s="27" t="str">
        <f>IF(Dec[[#This Row],[Date of Incident]]="","",TEXT(Dec[[#This Row],[Date of Incident]],"ddd"))</f>
        <v/>
      </c>
      <c r="L38" s="1"/>
      <c r="M38" s="27" t="str">
        <f>IFERROR(VLOOKUP(Dec[[#This Row],[Hour]],Shifts[],2,FALSE),"")</f>
        <v/>
      </c>
      <c r="N38" s="2"/>
      <c r="O38" s="24" t="str">
        <f>IFERROR(VLOOKUP(Dec[[#This Row],[BIMS Score]],BIMS[],2,FALSE),"")</f>
        <v/>
      </c>
      <c r="P38" s="3"/>
      <c r="Q38" s="3"/>
      <c r="R38" s="2"/>
      <c r="S38" s="168"/>
      <c r="T38" s="5"/>
      <c r="U38" s="5"/>
      <c r="V38" s="5"/>
    </row>
    <row r="39" spans="2:22" ht="20.85" customHeight="1" x14ac:dyDescent="0.25">
      <c r="B39" s="266"/>
      <c r="C39" s="5"/>
      <c r="D39" s="263"/>
      <c r="E39" s="263"/>
      <c r="F39" s="267"/>
      <c r="G39" s="267"/>
      <c r="H39" s="1"/>
      <c r="I39" s="1"/>
      <c r="J39" s="1"/>
      <c r="K39" s="27" t="str">
        <f>IF(Dec[[#This Row],[Date of Incident]]="","",TEXT(Dec[[#This Row],[Date of Incident]],"ddd"))</f>
        <v/>
      </c>
      <c r="L39" s="1"/>
      <c r="M39" s="27" t="str">
        <f>IFERROR(VLOOKUP(Dec[[#This Row],[Hour]],Shifts[],2,FALSE),"")</f>
        <v/>
      </c>
      <c r="N39" s="2"/>
      <c r="O39" s="24" t="str">
        <f>IFERROR(VLOOKUP(Dec[[#This Row],[BIMS Score]],BIMS[],2,FALSE),"")</f>
        <v/>
      </c>
      <c r="P39" s="3"/>
      <c r="Q39" s="3"/>
      <c r="R39" s="2"/>
      <c r="S39" s="168"/>
      <c r="T39" s="5"/>
      <c r="U39" s="5"/>
      <c r="V39" s="5"/>
    </row>
    <row r="40" spans="2:22" ht="20.85" customHeight="1" x14ac:dyDescent="0.25">
      <c r="B40" s="266"/>
      <c r="C40" s="5"/>
      <c r="D40" s="263"/>
      <c r="E40" s="263"/>
      <c r="F40" s="267"/>
      <c r="G40" s="267"/>
      <c r="H40" s="1"/>
      <c r="I40" s="1"/>
      <c r="J40" s="1"/>
      <c r="K40" s="27" t="str">
        <f>IF(Dec[[#This Row],[Date of Incident]]="","",TEXT(Dec[[#This Row],[Date of Incident]],"ddd"))</f>
        <v/>
      </c>
      <c r="L40" s="1"/>
      <c r="M40" s="27" t="str">
        <f>IFERROR(VLOOKUP(Dec[[#This Row],[Hour]],Shifts[],2,FALSE),"")</f>
        <v/>
      </c>
      <c r="N40" s="2"/>
      <c r="O40" s="24" t="str">
        <f>IFERROR(VLOOKUP(Dec[[#This Row],[BIMS Score]],BIMS[],2,FALSE),"")</f>
        <v/>
      </c>
      <c r="P40" s="3"/>
      <c r="Q40" s="3"/>
      <c r="R40" s="2"/>
      <c r="S40" s="168"/>
      <c r="T40" s="5"/>
      <c r="U40" s="5"/>
      <c r="V40" s="5"/>
    </row>
    <row r="41" spans="2:22" x14ac:dyDescent="0.25">
      <c r="B41" s="26"/>
      <c r="C41" s="21"/>
      <c r="D41" s="22"/>
      <c r="E41" s="23"/>
      <c r="F41" s="26"/>
      <c r="G41" s="26"/>
      <c r="H41" s="26"/>
      <c r="I41" s="26"/>
      <c r="J41" s="26"/>
      <c r="K41" s="26"/>
      <c r="L41" s="26"/>
      <c r="M41" s="26"/>
      <c r="N41" s="20"/>
      <c r="O41" s="25"/>
      <c r="P41" s="21"/>
      <c r="Q41" s="21"/>
      <c r="R41" s="25"/>
    </row>
    <row r="42" spans="2:22" x14ac:dyDescent="0.25">
      <c r="B42" s="26"/>
      <c r="C42" s="21"/>
      <c r="D42" s="22"/>
      <c r="E42" s="23"/>
      <c r="F42" s="26"/>
      <c r="G42" s="26"/>
      <c r="H42" s="26"/>
      <c r="I42" s="26"/>
      <c r="J42" s="26"/>
      <c r="K42" s="26"/>
      <c r="L42" s="26"/>
      <c r="M42" s="26"/>
      <c r="N42" s="20"/>
      <c r="O42" s="25"/>
      <c r="P42" s="21"/>
      <c r="Q42" s="21"/>
      <c r="R42" s="25"/>
    </row>
    <row r="43" spans="2:22" x14ac:dyDescent="0.25">
      <c r="B43" s="26"/>
      <c r="C43" s="21"/>
      <c r="D43" s="22"/>
      <c r="E43" s="23"/>
      <c r="F43" s="26"/>
      <c r="G43" s="26"/>
      <c r="H43" s="26"/>
      <c r="I43" s="26"/>
      <c r="J43" s="26"/>
      <c r="K43" s="26"/>
      <c r="L43" s="26"/>
      <c r="M43" s="26"/>
      <c r="N43" s="20"/>
      <c r="O43" s="25"/>
      <c r="P43" s="21"/>
      <c r="Q43" s="21"/>
      <c r="R43" s="25"/>
    </row>
    <row r="44" spans="2:22" x14ac:dyDescent="0.25">
      <c r="B44" s="26"/>
      <c r="C44" s="21"/>
      <c r="D44" s="22"/>
      <c r="E44" s="23"/>
      <c r="F44" s="26"/>
      <c r="G44" s="26"/>
      <c r="H44" s="26"/>
      <c r="I44" s="26"/>
      <c r="J44" s="26"/>
      <c r="K44" s="26"/>
      <c r="L44" s="26"/>
      <c r="M44" s="26"/>
      <c r="N44" s="20"/>
      <c r="O44" s="25"/>
      <c r="P44" s="21"/>
      <c r="Q44" s="21"/>
      <c r="R44" s="25"/>
    </row>
    <row r="45" spans="2:22" x14ac:dyDescent="0.25">
      <c r="B45" s="26"/>
      <c r="C45" s="21"/>
      <c r="D45" s="22"/>
      <c r="E45" s="23"/>
      <c r="F45" s="26"/>
      <c r="G45" s="26"/>
      <c r="H45" s="26"/>
      <c r="I45" s="26"/>
      <c r="J45" s="26"/>
      <c r="K45" s="26"/>
      <c r="L45" s="26"/>
      <c r="M45" s="26"/>
      <c r="N45" s="20"/>
      <c r="O45" s="25"/>
      <c r="P45" s="21"/>
      <c r="Q45" s="21"/>
      <c r="R45" s="25"/>
    </row>
    <row r="46" spans="2:22" x14ac:dyDescent="0.25">
      <c r="B46" s="26"/>
      <c r="C46" s="21"/>
      <c r="D46" s="22"/>
      <c r="E46" s="23"/>
      <c r="F46" s="26"/>
      <c r="G46" s="26"/>
      <c r="H46" s="26"/>
      <c r="I46" s="26"/>
      <c r="J46" s="26"/>
      <c r="K46" s="26"/>
      <c r="L46" s="26"/>
      <c r="M46" s="26"/>
      <c r="N46" s="20"/>
      <c r="O46" s="25"/>
      <c r="P46" s="21"/>
      <c r="Q46" s="21"/>
      <c r="R46" s="25"/>
    </row>
    <row r="47" spans="2:22" x14ac:dyDescent="0.25">
      <c r="B47" s="26"/>
      <c r="C47" s="21"/>
      <c r="D47" s="22"/>
      <c r="E47" s="23"/>
      <c r="F47" s="26"/>
      <c r="G47" s="26"/>
      <c r="H47" s="26"/>
      <c r="I47" s="26"/>
      <c r="J47" s="26"/>
      <c r="K47" s="26"/>
      <c r="L47" s="26"/>
      <c r="M47" s="26"/>
      <c r="N47" s="20"/>
      <c r="O47" s="25"/>
      <c r="P47" s="21"/>
      <c r="Q47" s="21"/>
      <c r="R47" s="25"/>
    </row>
    <row r="48" spans="2:22" x14ac:dyDescent="0.25">
      <c r="B48" s="26"/>
      <c r="C48" s="21"/>
      <c r="D48" s="22"/>
      <c r="E48" s="23"/>
      <c r="F48" s="26"/>
      <c r="G48" s="26"/>
      <c r="H48" s="26"/>
      <c r="I48" s="26"/>
      <c r="J48" s="26"/>
      <c r="K48" s="26"/>
      <c r="L48" s="26"/>
      <c r="M48" s="26"/>
      <c r="N48" s="20"/>
      <c r="O48" s="25"/>
      <c r="P48" s="21"/>
      <c r="Q48" s="21"/>
      <c r="R48" s="25"/>
    </row>
    <row r="49" spans="1:18" x14ac:dyDescent="0.25">
      <c r="B49" s="26"/>
      <c r="C49" s="21"/>
      <c r="D49" s="22"/>
      <c r="E49" s="23"/>
      <c r="F49" s="26"/>
      <c r="G49" s="26"/>
      <c r="H49" s="26"/>
      <c r="I49" s="26"/>
      <c r="J49" s="26"/>
      <c r="K49" s="26"/>
      <c r="L49" s="26"/>
      <c r="M49" s="26"/>
      <c r="N49" s="20"/>
      <c r="O49" s="25"/>
      <c r="P49" s="21"/>
      <c r="Q49" s="21"/>
      <c r="R49" s="25"/>
    </row>
    <row r="50" spans="1:18" ht="15.75" thickBot="1" x14ac:dyDescent="0.3">
      <c r="B50" s="26"/>
      <c r="C50" s="21"/>
      <c r="D50" s="22"/>
      <c r="E50" s="23"/>
      <c r="F50" s="26"/>
      <c r="G50" s="26"/>
      <c r="H50" s="26"/>
      <c r="I50" s="26"/>
      <c r="Q50" s="21"/>
    </row>
    <row r="51" spans="1:18" ht="22.35" customHeight="1" thickBot="1" x14ac:dyDescent="0.3">
      <c r="B51" s="280" t="s">
        <v>85</v>
      </c>
      <c r="C51" s="281"/>
      <c r="D51" s="282"/>
      <c r="F51" s="280" t="s">
        <v>100</v>
      </c>
      <c r="G51" s="281"/>
      <c r="H51" s="282"/>
    </row>
    <row r="52" spans="1:18" ht="15.6" customHeight="1" x14ac:dyDescent="0.25">
      <c r="B52" s="283" t="s">
        <v>83</v>
      </c>
      <c r="C52" s="284"/>
      <c r="D52" s="28" t="s">
        <v>35</v>
      </c>
      <c r="F52" s="283" t="s">
        <v>83</v>
      </c>
      <c r="G52" s="284"/>
      <c r="H52" s="28" t="s">
        <v>35</v>
      </c>
    </row>
    <row r="53" spans="1:18" x14ac:dyDescent="0.25">
      <c r="B53" s="29" t="s">
        <v>41</v>
      </c>
      <c r="C53" s="30"/>
      <c r="D53" s="31">
        <f>COUNTIFS(Dec[Witnessed
Fall?],$B53)</f>
        <v>0</v>
      </c>
      <c r="F53" s="29" t="s">
        <v>79</v>
      </c>
      <c r="G53" s="30"/>
      <c r="H53" s="31">
        <f>COUNTIFS(Dec[Fall Circumstances],$F53)</f>
        <v>0</v>
      </c>
    </row>
    <row r="54" spans="1:18" ht="15.75" thickBot="1" x14ac:dyDescent="0.3">
      <c r="B54" s="32" t="s">
        <v>42</v>
      </c>
      <c r="C54" s="33"/>
      <c r="D54" s="34">
        <f>COUNTIFS(Dec[Witnessed
Fall?],$B54)</f>
        <v>0</v>
      </c>
      <c r="F54" s="29" t="s">
        <v>101</v>
      </c>
      <c r="G54" s="30"/>
      <c r="H54" s="31">
        <f>COUNTIFS(Dec[Fall Circumstances],$F54)</f>
        <v>0</v>
      </c>
    </row>
    <row r="55" spans="1:18" ht="15.6" customHeight="1" thickBot="1" x14ac:dyDescent="0.3">
      <c r="B55" s="285" t="s">
        <v>16</v>
      </c>
      <c r="C55" s="286"/>
      <c r="D55" s="35">
        <f>SUM(D53:D54)</f>
        <v>0</v>
      </c>
      <c r="F55" s="32" t="s">
        <v>102</v>
      </c>
      <c r="G55" s="33"/>
      <c r="H55" s="36">
        <f>COUNTIFS(Dec[Fall Circumstances],$F55)</f>
        <v>0</v>
      </c>
    </row>
    <row r="56" spans="1:18" ht="15.6" customHeight="1" thickBot="1" x14ac:dyDescent="0.3">
      <c r="A56" s="26"/>
      <c r="B56" s="21"/>
      <c r="C56" s="22"/>
      <c r="D56" s="26"/>
      <c r="F56" s="285" t="s">
        <v>16</v>
      </c>
      <c r="G56" s="286"/>
      <c r="H56" s="37">
        <f>SUM(H53:H55)</f>
        <v>0</v>
      </c>
    </row>
    <row r="57" spans="1:18" ht="15.75" thickBot="1" x14ac:dyDescent="0.3">
      <c r="A57" s="26"/>
      <c r="B57" s="21"/>
      <c r="C57" s="22"/>
      <c r="D57" s="26"/>
      <c r="F57" s="26"/>
      <c r="G57" s="21"/>
      <c r="H57" s="22"/>
      <c r="L57" s="21"/>
      <c r="O57" s="22"/>
    </row>
    <row r="58" spans="1:18" ht="15.75" thickBot="1" x14ac:dyDescent="0.3">
      <c r="A58" s="26"/>
      <c r="B58" s="21"/>
      <c r="C58" s="22"/>
      <c r="D58" s="26"/>
      <c r="F58" s="280" t="s">
        <v>103</v>
      </c>
      <c r="G58" s="281"/>
      <c r="H58" s="282"/>
      <c r="L58" s="21"/>
      <c r="O58" s="22"/>
    </row>
    <row r="59" spans="1:18" x14ac:dyDescent="0.25">
      <c r="A59" s="26"/>
      <c r="B59" s="21"/>
      <c r="C59" s="22"/>
      <c r="D59" s="26"/>
      <c r="F59" s="283" t="s">
        <v>26</v>
      </c>
      <c r="G59" s="284"/>
      <c r="H59" s="28" t="s">
        <v>35</v>
      </c>
      <c r="L59" s="21"/>
      <c r="O59" s="22"/>
    </row>
    <row r="60" spans="1:18" ht="15.6" customHeight="1" x14ac:dyDescent="0.25">
      <c r="F60" s="29" t="s">
        <v>142</v>
      </c>
      <c r="G60" s="30"/>
      <c r="H60" s="31">
        <f>COUNTIFS(Dec[Cognitive Impairment],$F60)</f>
        <v>0</v>
      </c>
    </row>
    <row r="61" spans="1:18" x14ac:dyDescent="0.25">
      <c r="F61" s="29" t="s">
        <v>143</v>
      </c>
      <c r="G61" s="30"/>
      <c r="H61" s="31">
        <f>COUNTIFS(Dec[Cognitive Impairment],$F61)</f>
        <v>0</v>
      </c>
    </row>
    <row r="62" spans="1:18" ht="15.75" thickBot="1" x14ac:dyDescent="0.3">
      <c r="F62" s="32" t="s">
        <v>144</v>
      </c>
      <c r="G62" s="33"/>
      <c r="H62" s="31">
        <f>COUNTIFS(Dec[Cognitive Impairment],$F62)</f>
        <v>0</v>
      </c>
    </row>
    <row r="63" spans="1:18" ht="15.75" thickBot="1" x14ac:dyDescent="0.3">
      <c r="F63" s="285" t="s">
        <v>16</v>
      </c>
      <c r="G63" s="286"/>
      <c r="H63" s="37">
        <f>SUM(H60:H62)</f>
        <v>0</v>
      </c>
    </row>
    <row r="64" spans="1:18" ht="15.75" thickBot="1" x14ac:dyDescent="0.3"/>
    <row r="65" spans="1:8" ht="21.4" customHeight="1" thickBot="1" x14ac:dyDescent="0.3">
      <c r="B65" s="280" t="s">
        <v>78</v>
      </c>
      <c r="C65" s="281"/>
      <c r="D65" s="281"/>
      <c r="E65" s="281"/>
      <c r="F65" s="281"/>
      <c r="G65" s="282"/>
    </row>
    <row r="66" spans="1:8" ht="15.6" customHeight="1" x14ac:dyDescent="0.25">
      <c r="A66" s="38"/>
      <c r="B66" s="288" t="s">
        <v>86</v>
      </c>
      <c r="C66" s="289"/>
      <c r="D66" s="289"/>
      <c r="E66" s="289"/>
      <c r="F66" s="290"/>
      <c r="G66" s="28" t="s">
        <v>35</v>
      </c>
    </row>
    <row r="67" spans="1:8" x14ac:dyDescent="0.25">
      <c r="A67" s="38"/>
      <c r="B67" s="39" t="str" cm="1">
        <f t="array" ref="B67:B90">IF(_xlfn._xlws.SORT(PriortoFall[What was the resident doing prior to fall?],1,1,TRUE)=0,"",(_xlfn._xlws.SORT(PriortoFall[What was the resident doing prior to fall?],1,1,TRUE)))</f>
        <v>Ambulating with assistive device (walker, cane, wheelchair)</v>
      </c>
      <c r="C67" s="40"/>
      <c r="D67" s="40"/>
      <c r="E67" s="40"/>
      <c r="F67" s="41"/>
      <c r="G67" s="42">
        <f>IF($B67="",NA(),COUNTIFS(Dec[What was resident doing prior to fall?],$B67))</f>
        <v>0</v>
      </c>
      <c r="H67" s="43"/>
    </row>
    <row r="68" spans="1:8" x14ac:dyDescent="0.25">
      <c r="A68" s="38"/>
      <c r="B68" s="44" t="str">
        <v>Ambulating with staff assistance</v>
      </c>
      <c r="C68" s="45"/>
      <c r="D68" s="45"/>
      <c r="E68" s="45"/>
      <c r="F68" s="46"/>
      <c r="G68" s="42">
        <f>IF($B68="",NA(),COUNTIFS(Dec[What was resident doing prior to fall?],$B68))</f>
        <v>0</v>
      </c>
    </row>
    <row r="69" spans="1:8" x14ac:dyDescent="0.25">
      <c r="A69" s="38"/>
      <c r="B69" s="39" t="str">
        <v>Ambulating without assistance or assistive device</v>
      </c>
      <c r="C69" s="40"/>
      <c r="D69" s="40"/>
      <c r="E69" s="40"/>
      <c r="F69" s="41"/>
      <c r="G69" s="42">
        <f>IF($B69="",NA(),COUNTIFS(Dec[What was resident doing prior to fall?],$B69))</f>
        <v>0</v>
      </c>
    </row>
    <row r="70" spans="1:8" x14ac:dyDescent="0.25">
      <c r="A70" s="38"/>
      <c r="B70" s="44" t="str">
        <v>Changing position (e.g., in bed, chair)</v>
      </c>
      <c r="C70" s="45"/>
      <c r="D70" s="45"/>
      <c r="E70" s="45"/>
      <c r="F70" s="46"/>
      <c r="G70" s="42">
        <f>IF($B70="",NA(),COUNTIFS(Dec[What was resident doing prior to fall?],$B70))</f>
        <v>0</v>
      </c>
    </row>
    <row r="71" spans="1:8" x14ac:dyDescent="0.25">
      <c r="A71" s="38"/>
      <c r="B71" s="44" t="str">
        <v>Dressing or undressing</v>
      </c>
      <c r="C71" s="45"/>
      <c r="D71" s="45"/>
      <c r="E71" s="45"/>
      <c r="F71" s="46"/>
      <c r="G71" s="42">
        <f>IF($B71="",NA(),COUNTIFS(Dec[What was resident doing prior to fall?],$B71))</f>
        <v>0</v>
      </c>
    </row>
    <row r="72" spans="1:8" x14ac:dyDescent="0.25">
      <c r="A72" s="38"/>
      <c r="B72" s="44" t="str">
        <v>Other activity</v>
      </c>
      <c r="C72" s="45"/>
      <c r="D72" s="45"/>
      <c r="E72" s="45"/>
      <c r="F72" s="46"/>
      <c r="G72" s="42">
        <f>IF($B72="",NA(),COUNTIFS(Dec[What was resident doing prior to fall?],$B72))</f>
        <v>0</v>
      </c>
    </row>
    <row r="73" spans="1:8" x14ac:dyDescent="0.25">
      <c r="A73" s="38"/>
      <c r="B73" s="44" t="str">
        <v>Reaching for an item</v>
      </c>
      <c r="C73" s="45"/>
      <c r="D73" s="45"/>
      <c r="E73" s="45"/>
      <c r="F73" s="46"/>
      <c r="G73" s="42">
        <f>IF($B73="",NA(),COUNTIFS(Dec[What was resident doing prior to fall?],$B73))</f>
        <v>0</v>
      </c>
    </row>
    <row r="74" spans="1:8" x14ac:dyDescent="0.25">
      <c r="A74" s="38"/>
      <c r="B74" s="44" t="str">
        <v>Showering or bathing</v>
      </c>
      <c r="C74" s="45"/>
      <c r="D74" s="45"/>
      <c r="E74" s="45"/>
      <c r="F74" s="46"/>
      <c r="G74" s="42">
        <f>IF($B74="",NA(),COUNTIFS(Dec[What was resident doing prior to fall?],$B74))</f>
        <v>0</v>
      </c>
    </row>
    <row r="75" spans="1:8" x14ac:dyDescent="0.25">
      <c r="A75" s="38"/>
      <c r="B75" s="44" t="str">
        <v>Toileting</v>
      </c>
      <c r="C75" s="45"/>
      <c r="D75" s="45"/>
      <c r="E75" s="45"/>
      <c r="F75" s="46"/>
      <c r="G75" s="42">
        <f>IF($B75="",NA(),COUNTIFS(Dec[What was resident doing prior to fall?],$B75))</f>
        <v>0</v>
      </c>
    </row>
    <row r="76" spans="1:8" x14ac:dyDescent="0.25">
      <c r="A76" s="38"/>
      <c r="B76" s="44" t="str">
        <v>Transferring to or from bed, chair, wheelchair, etc.</v>
      </c>
      <c r="C76" s="45"/>
      <c r="D76" s="45"/>
      <c r="E76" s="45"/>
      <c r="F76" s="46"/>
      <c r="G76" s="42">
        <f>IF($B76="",NA(),COUNTIFS(Dec[What was resident doing prior to fall?],$B76))</f>
        <v>0</v>
      </c>
    </row>
    <row r="77" spans="1:8" x14ac:dyDescent="0.25">
      <c r="A77" s="38"/>
      <c r="B77" s="39" t="str">
        <v>Unknown</v>
      </c>
      <c r="C77" s="40"/>
      <c r="D77" s="40"/>
      <c r="E77" s="40"/>
      <c r="F77" s="41"/>
      <c r="G77" s="42">
        <f>IF($B77="",NA(),COUNTIFS(Dec[What was resident doing prior to fall?],$B77))</f>
        <v>0</v>
      </c>
    </row>
    <row r="78" spans="1:8" x14ac:dyDescent="0.25">
      <c r="A78" s="38"/>
      <c r="B78" s="44" t="str">
        <v/>
      </c>
      <c r="C78" s="45"/>
      <c r="D78" s="45"/>
      <c r="E78" s="45"/>
      <c r="F78" s="46"/>
      <c r="G78" s="42" t="e">
        <f>IF($B78="",NA(),COUNTIFS(Dec[What was resident doing prior to fall?],$B78))</f>
        <v>#N/A</v>
      </c>
    </row>
    <row r="79" spans="1:8" x14ac:dyDescent="0.25">
      <c r="A79" s="38"/>
      <c r="B79" s="39" t="str">
        <v/>
      </c>
      <c r="C79" s="40"/>
      <c r="D79" s="40"/>
      <c r="E79" s="40"/>
      <c r="F79" s="41"/>
      <c r="G79" s="42" t="e">
        <f>IF($B79="",NA(),COUNTIFS(Dec[What was resident doing prior to fall?],$B79))</f>
        <v>#N/A</v>
      </c>
    </row>
    <row r="80" spans="1:8" x14ac:dyDescent="0.25">
      <c r="A80" s="38"/>
      <c r="B80" s="44" t="str">
        <v/>
      </c>
      <c r="C80" s="45"/>
      <c r="D80" s="45"/>
      <c r="E80" s="45"/>
      <c r="F80" s="46"/>
      <c r="G80" s="42" t="e">
        <f>IF($B80="",NA(),COUNTIFS(Dec[What was resident doing prior to fall?],$B80))</f>
        <v>#N/A</v>
      </c>
    </row>
    <row r="81" spans="1:7" x14ac:dyDescent="0.25">
      <c r="A81" s="38"/>
      <c r="B81" s="39" t="str">
        <v/>
      </c>
      <c r="C81" s="40"/>
      <c r="D81" s="40"/>
      <c r="E81" s="40"/>
      <c r="F81" s="41"/>
      <c r="G81" s="42" t="e">
        <f>IF($B81="",NA(),COUNTIFS(Dec[What was resident doing prior to fall?],$B81))</f>
        <v>#N/A</v>
      </c>
    </row>
    <row r="82" spans="1:7" x14ac:dyDescent="0.25">
      <c r="A82" s="38"/>
      <c r="B82" s="44" t="str">
        <v/>
      </c>
      <c r="C82" s="45"/>
      <c r="D82" s="45"/>
      <c r="E82" s="45"/>
      <c r="F82" s="46"/>
      <c r="G82" s="42" t="e">
        <f>IF($B82="",NA(),COUNTIFS(Dec[What was resident doing prior to fall?],$B82))</f>
        <v>#N/A</v>
      </c>
    </row>
    <row r="83" spans="1:7" x14ac:dyDescent="0.25">
      <c r="A83" s="38"/>
      <c r="B83" s="39" t="str">
        <v/>
      </c>
      <c r="C83" s="40"/>
      <c r="D83" s="40"/>
      <c r="E83" s="40"/>
      <c r="F83" s="41"/>
      <c r="G83" s="42" t="e">
        <f>IF($B83="",NA(),COUNTIFS(Dec[What was resident doing prior to fall?],$B83))</f>
        <v>#N/A</v>
      </c>
    </row>
    <row r="84" spans="1:7" x14ac:dyDescent="0.25">
      <c r="A84" s="38"/>
      <c r="B84" s="44" t="str">
        <v/>
      </c>
      <c r="C84" s="45"/>
      <c r="D84" s="45"/>
      <c r="E84" s="45"/>
      <c r="F84" s="46"/>
      <c r="G84" s="42" t="e">
        <f>IF($B84="",NA(),COUNTIFS(Dec[What was resident doing prior to fall?],$B84))</f>
        <v>#N/A</v>
      </c>
    </row>
    <row r="85" spans="1:7" x14ac:dyDescent="0.25">
      <c r="A85" s="38"/>
      <c r="B85" s="44" t="str">
        <v/>
      </c>
      <c r="C85" s="45"/>
      <c r="D85" s="45"/>
      <c r="E85" s="45"/>
      <c r="F85" s="46"/>
      <c r="G85" s="42" t="e">
        <f>IF($B85="",NA(),COUNTIFS(Dec[What was resident doing prior to fall?],$B85))</f>
        <v>#N/A</v>
      </c>
    </row>
    <row r="86" spans="1:7" x14ac:dyDescent="0.25">
      <c r="A86" s="38"/>
      <c r="B86" s="39" t="str">
        <v/>
      </c>
      <c r="C86" s="40"/>
      <c r="D86" s="40"/>
      <c r="E86" s="40"/>
      <c r="F86" s="41"/>
      <c r="G86" s="42" t="e">
        <f>IF($B86="",NA(),COUNTIFS(Dec[What was resident doing prior to fall?],$B86))</f>
        <v>#N/A</v>
      </c>
    </row>
    <row r="87" spans="1:7" x14ac:dyDescent="0.25">
      <c r="A87" s="38"/>
      <c r="B87" s="44" t="str">
        <v/>
      </c>
      <c r="C87" s="45"/>
      <c r="D87" s="45"/>
      <c r="E87" s="45"/>
      <c r="F87" s="46"/>
      <c r="G87" s="42" t="e">
        <f>IF($B87="",NA(),COUNTIFS(Dec[What was resident doing prior to fall?],$B87))</f>
        <v>#N/A</v>
      </c>
    </row>
    <row r="88" spans="1:7" x14ac:dyDescent="0.25">
      <c r="A88" s="38"/>
      <c r="B88" s="39" t="str">
        <v/>
      </c>
      <c r="C88" s="40"/>
      <c r="D88" s="40"/>
      <c r="E88" s="40"/>
      <c r="F88" s="41"/>
      <c r="G88" s="42" t="e">
        <f>IF($B88="",NA(),COUNTIFS(Dec[What was resident doing prior to fall?],$B88))</f>
        <v>#N/A</v>
      </c>
    </row>
    <row r="89" spans="1:7" x14ac:dyDescent="0.25">
      <c r="A89" s="38"/>
      <c r="B89" s="44" t="str">
        <v/>
      </c>
      <c r="C89" s="45"/>
      <c r="D89" s="45"/>
      <c r="E89" s="45"/>
      <c r="F89" s="46"/>
      <c r="G89" s="42" t="e">
        <f>IF($B89="",NA(),COUNTIFS(Dec[What was resident doing prior to fall?],$B89))</f>
        <v>#N/A</v>
      </c>
    </row>
    <row r="90" spans="1:7" ht="15.75" thickBot="1" x14ac:dyDescent="0.3">
      <c r="A90" s="38"/>
      <c r="B90" s="47" t="str">
        <v/>
      </c>
      <c r="C90" s="47"/>
      <c r="D90" s="47"/>
      <c r="E90" s="47"/>
      <c r="F90" s="48"/>
      <c r="G90" s="42" t="e">
        <f>IF($B90="",NA(),COUNTIFS(Dec[What was resident doing prior to fall?],$B90))</f>
        <v>#N/A</v>
      </c>
    </row>
    <row r="91" spans="1:7" ht="15.6" customHeight="1" thickBot="1" x14ac:dyDescent="0.3">
      <c r="B91" s="285" t="s">
        <v>35</v>
      </c>
      <c r="C91" s="286"/>
      <c r="D91" s="286"/>
      <c r="E91" s="286"/>
      <c r="F91" s="287"/>
      <c r="G91" s="37">
        <f>_xlfn.AGGREGATE(9,6,G67:G90)</f>
        <v>0</v>
      </c>
    </row>
    <row r="92" spans="1:7" ht="15.75" thickBot="1" x14ac:dyDescent="0.3"/>
    <row r="93" spans="1:7" ht="22.35" customHeight="1" thickBot="1" x14ac:dyDescent="0.3">
      <c r="B93" s="293" t="s">
        <v>173</v>
      </c>
      <c r="C93" s="294"/>
      <c r="D93" s="295"/>
    </row>
    <row r="94" spans="1:7" x14ac:dyDescent="0.25">
      <c r="A94" s="38"/>
      <c r="B94" s="298" t="s">
        <v>1</v>
      </c>
      <c r="C94" s="299"/>
      <c r="D94" s="49" t="s">
        <v>35</v>
      </c>
    </row>
    <row r="95" spans="1:7" x14ac:dyDescent="0.25">
      <c r="A95" s="38"/>
      <c r="B95" s="50" t="str" cm="1">
        <f t="array" ref="B95:B105">IF(_xlfn._xlws.SORT(Location[Location],1,1,TRUE)=0,"",(_xlfn._xlws.SORT(Location[Location],1,1,TRUE)))</f>
        <v>Activity Room</v>
      </c>
      <c r="C95" s="51"/>
      <c r="D95" s="52">
        <f>IF($B95="",NA(),COUNTIFS(Dec[Location],$B95))</f>
        <v>0</v>
      </c>
    </row>
    <row r="96" spans="1:7" x14ac:dyDescent="0.25">
      <c r="A96" s="38"/>
      <c r="B96" s="50" t="str">
        <v>Bedroom</v>
      </c>
      <c r="C96" s="51"/>
      <c r="D96" s="52">
        <f>IF($B96="",NA(),COUNTIFS(Dec[Location],$B96))</f>
        <v>0</v>
      </c>
    </row>
    <row r="97" spans="1:4" x14ac:dyDescent="0.25">
      <c r="A97" s="38"/>
      <c r="B97" s="50" t="str">
        <v>Bathroom</v>
      </c>
      <c r="C97" s="51"/>
      <c r="D97" s="52">
        <f>IF($B97="",NA(),COUNTIFS(Dec[Location],$B97))</f>
        <v>0</v>
      </c>
    </row>
    <row r="98" spans="1:4" x14ac:dyDescent="0.25">
      <c r="A98" s="38"/>
      <c r="B98" s="50" t="str">
        <v>Hallway</v>
      </c>
      <c r="C98" s="51"/>
      <c r="D98" s="52">
        <f>IF($B98="",NA(),COUNTIFS(Dec[Location],$B98))</f>
        <v>0</v>
      </c>
    </row>
    <row r="99" spans="1:4" x14ac:dyDescent="0.25">
      <c r="A99" s="38"/>
      <c r="B99" s="50" t="str">
        <v>Offsite</v>
      </c>
      <c r="C99" s="51"/>
      <c r="D99" s="52">
        <f>IF($B99="",NA(),COUNTIFS(Dec[Location],$B99))</f>
        <v>0</v>
      </c>
    </row>
    <row r="100" spans="1:4" x14ac:dyDescent="0.25">
      <c r="A100" s="38"/>
      <c r="B100" s="53" t="str">
        <v>Shower Room</v>
      </c>
      <c r="C100" s="54"/>
      <c r="D100" s="52">
        <f>IF($B100="",NA(),COUNTIFS(Dec[Location],$B100))</f>
        <v>0</v>
      </c>
    </row>
    <row r="101" spans="1:4" x14ac:dyDescent="0.25">
      <c r="A101" s="38"/>
      <c r="B101" s="55" t="str">
        <v>Dining Room</v>
      </c>
      <c r="C101" s="56"/>
      <c r="D101" s="52">
        <f>IF($B101="",NA(),COUNTIFS(Dec[Location],$B101))</f>
        <v>0</v>
      </c>
    </row>
    <row r="102" spans="1:4" x14ac:dyDescent="0.25">
      <c r="A102" s="38"/>
      <c r="B102" s="57" t="str">
        <v/>
      </c>
      <c r="C102" s="58"/>
      <c r="D102" s="52" t="e">
        <f>IF($B102="",NA(),COUNTIFS(Dec[Location],$B102))</f>
        <v>#N/A</v>
      </c>
    </row>
    <row r="103" spans="1:4" x14ac:dyDescent="0.25">
      <c r="A103" s="38"/>
      <c r="B103" s="59" t="str">
        <v/>
      </c>
      <c r="C103" s="51"/>
      <c r="D103" s="52" t="e">
        <f>IF($B103="",NA(),COUNTIFS(Dec[Location],$B103))</f>
        <v>#N/A</v>
      </c>
    </row>
    <row r="104" spans="1:4" x14ac:dyDescent="0.25">
      <c r="A104" s="38"/>
      <c r="B104" s="53" t="str">
        <v/>
      </c>
      <c r="C104" s="60"/>
      <c r="D104" s="52" t="e">
        <f>IF($B104="",NA(),COUNTIFS(Dec[Location],$B104))</f>
        <v>#N/A</v>
      </c>
    </row>
    <row r="105" spans="1:4" ht="15.75" thickBot="1" x14ac:dyDescent="0.3">
      <c r="A105" s="38"/>
      <c r="B105" s="59" t="str">
        <v/>
      </c>
      <c r="C105" s="61"/>
      <c r="D105" s="52" t="e">
        <f>IF($B105="",NA(),COUNTIFS(Dec[Location],$B105))</f>
        <v>#N/A</v>
      </c>
    </row>
    <row r="106" spans="1:4" ht="15.75" thickBot="1" x14ac:dyDescent="0.3">
      <c r="B106" s="296" t="s">
        <v>16</v>
      </c>
      <c r="C106" s="297"/>
      <c r="D106" s="37">
        <f>_xlfn.AGGREGATE(9,6,D95:D105)</f>
        <v>0</v>
      </c>
    </row>
    <row r="107" spans="1:4" ht="15.75" thickBot="1" x14ac:dyDescent="0.3"/>
    <row r="108" spans="1:4" ht="21.4" customHeight="1" thickBot="1" x14ac:dyDescent="0.3">
      <c r="B108" s="280" t="str">
        <f>"Falls by Nursing Station "</f>
        <v xml:space="preserve">Falls by Nursing Station </v>
      </c>
      <c r="C108" s="281"/>
      <c r="D108" s="282"/>
    </row>
    <row r="109" spans="1:4" ht="15.75" x14ac:dyDescent="0.25">
      <c r="B109" s="291" t="s">
        <v>2</v>
      </c>
      <c r="C109" s="291"/>
      <c r="D109" s="28" t="s">
        <v>35</v>
      </c>
    </row>
    <row r="110" spans="1:4" x14ac:dyDescent="0.25">
      <c r="B110" s="62" cm="1">
        <f t="array" ref="B110:B120">IF(_xlfn._xlws.SORT(NS[Nurses Stations],1,1,TRUE)=0,"",(_xlfn._xlws.SORT(NS[Nurses Stations],1,1,TRUE)))</f>
        <v>1</v>
      </c>
      <c r="C110" s="63"/>
      <c r="D110" s="31">
        <f>IF($B110="",NA(),COUNTIFS(Dec[Station],$B110))</f>
        <v>0</v>
      </c>
    </row>
    <row r="111" spans="1:4" x14ac:dyDescent="0.25">
      <c r="B111" s="62">
        <v>2</v>
      </c>
      <c r="C111" s="63"/>
      <c r="D111" s="31">
        <f>IF($B111="",NA(),COUNTIFS(Dec[Station],$B111))</f>
        <v>0</v>
      </c>
    </row>
    <row r="112" spans="1:4" x14ac:dyDescent="0.25">
      <c r="B112" s="62">
        <v>3</v>
      </c>
      <c r="C112" s="63"/>
      <c r="D112" s="31">
        <f>IF($B112="",NA(),COUNTIFS(Dec[Station],$B112))</f>
        <v>0</v>
      </c>
    </row>
    <row r="113" spans="2:4" x14ac:dyDescent="0.25">
      <c r="B113" s="62">
        <v>4</v>
      </c>
      <c r="C113" s="63"/>
      <c r="D113" s="31">
        <f>IF($B113="",NA(),COUNTIFS(Dec[Station],$B113))</f>
        <v>0</v>
      </c>
    </row>
    <row r="114" spans="2:4" x14ac:dyDescent="0.25">
      <c r="B114" s="62">
        <v>5</v>
      </c>
      <c r="C114" s="63"/>
      <c r="D114" s="31">
        <f>IF($B114="",NA(),COUNTIFS(Dec[Station],$B114))</f>
        <v>0</v>
      </c>
    </row>
    <row r="115" spans="2:4" x14ac:dyDescent="0.25">
      <c r="B115" s="62" t="str">
        <v/>
      </c>
      <c r="C115" s="63"/>
      <c r="D115" s="31" t="e">
        <f>IF($B115="",NA(),COUNTIFS(Dec[Station],$B115))</f>
        <v>#N/A</v>
      </c>
    </row>
    <row r="116" spans="2:4" x14ac:dyDescent="0.25">
      <c r="B116" s="62" t="str">
        <v/>
      </c>
      <c r="C116" s="63"/>
      <c r="D116" s="31" t="e">
        <f>IF($B116="",NA(),COUNTIFS(Dec[Station],$B116))</f>
        <v>#N/A</v>
      </c>
    </row>
    <row r="117" spans="2:4" x14ac:dyDescent="0.25">
      <c r="B117" s="62" t="str">
        <v/>
      </c>
      <c r="C117" s="63"/>
      <c r="D117" s="31" t="e">
        <f>IF($B117="",NA(),COUNTIFS(Dec[Station],$B117))</f>
        <v>#N/A</v>
      </c>
    </row>
    <row r="118" spans="2:4" x14ac:dyDescent="0.25">
      <c r="B118" s="62" t="str">
        <v/>
      </c>
      <c r="C118" s="63"/>
      <c r="D118" s="31" t="e">
        <f>IF($B118="",NA(),COUNTIFS(Dec[Station],$B118))</f>
        <v>#N/A</v>
      </c>
    </row>
    <row r="119" spans="2:4" x14ac:dyDescent="0.25">
      <c r="B119" s="62" t="str">
        <v/>
      </c>
      <c r="C119" s="63"/>
      <c r="D119" s="31" t="e">
        <f>IF($B119="",NA(),COUNTIFS(Dec[Station],$B119))</f>
        <v>#N/A</v>
      </c>
    </row>
    <row r="120" spans="2:4" ht="15.75" thickBot="1" x14ac:dyDescent="0.3">
      <c r="B120" s="64" t="str">
        <v/>
      </c>
      <c r="C120" s="63"/>
      <c r="D120" s="31" t="e">
        <f>IF($B120="",NA(),COUNTIFS(Dec[Station],$B120))</f>
        <v>#N/A</v>
      </c>
    </row>
    <row r="121" spans="2:4" ht="15.6" customHeight="1" thickBot="1" x14ac:dyDescent="0.3">
      <c r="B121" s="285" t="s">
        <v>16</v>
      </c>
      <c r="C121" s="286"/>
      <c r="D121" s="37">
        <f>_xlfn.AGGREGATE(9,6,D110:D120)</f>
        <v>0</v>
      </c>
    </row>
    <row r="122" spans="2:4" ht="15.6" customHeight="1" thickBot="1" x14ac:dyDescent="0.3">
      <c r="B122" s="65"/>
      <c r="C122" s="66"/>
      <c r="D122" s="67"/>
    </row>
    <row r="123" spans="2:4" ht="21.95" customHeight="1" thickBot="1" x14ac:dyDescent="0.3">
      <c r="B123" s="280" t="str">
        <f>"Falls by Day of the Week "</f>
        <v xml:space="preserve">Falls by Day of the Week </v>
      </c>
      <c r="C123" s="281"/>
      <c r="D123" s="282"/>
    </row>
    <row r="124" spans="2:4" ht="15.75" x14ac:dyDescent="0.25">
      <c r="B124" s="291" t="s">
        <v>3</v>
      </c>
      <c r="C124" s="291"/>
      <c r="D124" s="28" t="s">
        <v>35</v>
      </c>
    </row>
    <row r="125" spans="2:4" x14ac:dyDescent="0.25">
      <c r="B125" s="292" t="s">
        <v>46</v>
      </c>
      <c r="C125" s="292"/>
      <c r="D125" s="31">
        <f>COUNTIFS(Dec[Day],$B125)</f>
        <v>0</v>
      </c>
    </row>
    <row r="126" spans="2:4" x14ac:dyDescent="0.25">
      <c r="B126" s="292" t="s">
        <v>47</v>
      </c>
      <c r="C126" s="292"/>
      <c r="D126" s="31">
        <f>COUNTIFS(Dec[Day],$B126)</f>
        <v>0</v>
      </c>
    </row>
    <row r="127" spans="2:4" x14ac:dyDescent="0.25">
      <c r="B127" s="292" t="s">
        <v>52</v>
      </c>
      <c r="C127" s="292"/>
      <c r="D127" s="31">
        <f>COUNTIFS(Dec[Day],$B127)</f>
        <v>0</v>
      </c>
    </row>
    <row r="128" spans="2:4" x14ac:dyDescent="0.25">
      <c r="B128" s="292" t="s">
        <v>48</v>
      </c>
      <c r="C128" s="292"/>
      <c r="D128" s="31">
        <f>COUNTIFS(Dec[Day],$B128)</f>
        <v>0</v>
      </c>
    </row>
    <row r="129" spans="2:4" x14ac:dyDescent="0.25">
      <c r="B129" s="292" t="s">
        <v>51</v>
      </c>
      <c r="C129" s="292"/>
      <c r="D129" s="31">
        <f>COUNTIFS(Dec[Day],$B129)</f>
        <v>0</v>
      </c>
    </row>
    <row r="130" spans="2:4" x14ac:dyDescent="0.25">
      <c r="B130" s="292" t="s">
        <v>49</v>
      </c>
      <c r="C130" s="292"/>
      <c r="D130" s="31">
        <f>COUNTIFS(Dec[Day],$B130)</f>
        <v>0</v>
      </c>
    </row>
    <row r="131" spans="2:4" ht="15.75" thickBot="1" x14ac:dyDescent="0.3">
      <c r="B131" s="292" t="s">
        <v>50</v>
      </c>
      <c r="C131" s="292"/>
      <c r="D131" s="34">
        <f>COUNTIFS(Dec[Day],$B131)</f>
        <v>0</v>
      </c>
    </row>
    <row r="132" spans="2:4" ht="15.6" customHeight="1" thickBot="1" x14ac:dyDescent="0.3">
      <c r="B132" s="285" t="s">
        <v>16</v>
      </c>
      <c r="C132" s="286"/>
      <c r="D132" s="35">
        <f>SUM(D125:D131)</f>
        <v>0</v>
      </c>
    </row>
    <row r="133" spans="2:4" ht="15.75" thickBot="1" x14ac:dyDescent="0.3"/>
    <row r="134" spans="2:4" ht="21.4" customHeight="1" thickBot="1" x14ac:dyDescent="0.3">
      <c r="B134" s="280" t="str">
        <f>"Falls by Shift"</f>
        <v>Falls by Shift</v>
      </c>
      <c r="C134" s="281"/>
      <c r="D134" s="282"/>
    </row>
    <row r="135" spans="2:4" ht="15.75" x14ac:dyDescent="0.25">
      <c r="B135" s="291" t="s">
        <v>34</v>
      </c>
      <c r="C135" s="291"/>
      <c r="D135" s="28" t="s">
        <v>35</v>
      </c>
    </row>
    <row r="136" spans="2:4" x14ac:dyDescent="0.25">
      <c r="B136" s="29" t="str" cm="1">
        <f t="array" ref="B136:B140">IF(_xlfn._xlws.SORT('Data Validation'!P3:P7,1,1,TRUE)=0,"",(_xlfn._xlws.SORT('Data Validation'!P3:P7,1,1,TRUE)))</f>
        <v>11-7</v>
      </c>
      <c r="C136" s="58"/>
      <c r="D136" s="31">
        <f>IF($B136="",NA(),COUNTIFS(Dec[Shift],$B136))</f>
        <v>0</v>
      </c>
    </row>
    <row r="137" spans="2:4" x14ac:dyDescent="0.25">
      <c r="B137" s="29" t="str">
        <v>11–7</v>
      </c>
      <c r="C137" s="58"/>
      <c r="D137" s="31">
        <f>IF($B137="",NA(),COUNTIFS(Dec[Shift],$B137))</f>
        <v>0</v>
      </c>
    </row>
    <row r="138" spans="2:4" x14ac:dyDescent="0.25">
      <c r="B138" s="29" t="str">
        <v>7–3</v>
      </c>
      <c r="C138" s="58"/>
      <c r="D138" s="31">
        <f>IF($B138="",NA(),COUNTIFS(Dec[Shift],$B138))</f>
        <v>0</v>
      </c>
    </row>
    <row r="139" spans="2:4" x14ac:dyDescent="0.25">
      <c r="B139" s="29" t="str">
        <v>3–11</v>
      </c>
      <c r="C139" s="58"/>
      <c r="D139" s="31">
        <f>IF($B139="",NA(),COUNTIFS(Dec[Shift],$B139))</f>
        <v>0</v>
      </c>
    </row>
    <row r="140" spans="2:4" ht="15.75" thickBot="1" x14ac:dyDescent="0.3">
      <c r="B140" s="29" t="str">
        <v/>
      </c>
      <c r="C140" s="68"/>
      <c r="D140" s="34" t="e">
        <f>IF($B140="",NA(),COUNTIFS(Dec[Shift],$B140))</f>
        <v>#N/A</v>
      </c>
    </row>
    <row r="141" spans="2:4" ht="15.75" thickBot="1" x14ac:dyDescent="0.3">
      <c r="B141" s="285" t="s">
        <v>16</v>
      </c>
      <c r="C141" s="286"/>
      <c r="D141" s="35">
        <f>_xlfn.AGGREGATE(9,6,D136:D140)</f>
        <v>0</v>
      </c>
    </row>
    <row r="142" spans="2:4" ht="15.75" thickBot="1" x14ac:dyDescent="0.3"/>
    <row r="143" spans="2:4" ht="21.4" customHeight="1" thickBot="1" x14ac:dyDescent="0.3">
      <c r="B143" s="280" t="str">
        <f>"Falls by Hour "</f>
        <v xml:space="preserve">Falls by Hour </v>
      </c>
      <c r="C143" s="281"/>
      <c r="D143" s="282"/>
    </row>
    <row r="144" spans="2:4" ht="15.75" x14ac:dyDescent="0.25">
      <c r="B144" s="291" t="s">
        <v>33</v>
      </c>
      <c r="C144" s="291"/>
      <c r="D144" s="28" t="s">
        <v>35</v>
      </c>
    </row>
    <row r="145" spans="2:4" x14ac:dyDescent="0.25">
      <c r="B145" s="292" t="s">
        <v>115</v>
      </c>
      <c r="C145" s="292"/>
      <c r="D145" s="31">
        <f>COUNTIFS(Dec[Hour],$B145)</f>
        <v>0</v>
      </c>
    </row>
    <row r="146" spans="2:4" x14ac:dyDescent="0.25">
      <c r="B146" s="292" t="s">
        <v>116</v>
      </c>
      <c r="C146" s="292"/>
      <c r="D146" s="31">
        <f>COUNTIFS(Dec[Hour],$B146)</f>
        <v>0</v>
      </c>
    </row>
    <row r="147" spans="2:4" x14ac:dyDescent="0.25">
      <c r="B147" s="292" t="s">
        <v>117</v>
      </c>
      <c r="C147" s="292"/>
      <c r="D147" s="31">
        <f>COUNTIFS(Dec[Hour],$B147)</f>
        <v>0</v>
      </c>
    </row>
    <row r="148" spans="2:4" x14ac:dyDescent="0.25">
      <c r="B148" s="292" t="s">
        <v>118</v>
      </c>
      <c r="C148" s="292"/>
      <c r="D148" s="31">
        <f>COUNTIFS(Dec[Hour],$B148)</f>
        <v>0</v>
      </c>
    </row>
    <row r="149" spans="2:4" x14ac:dyDescent="0.25">
      <c r="B149" s="292" t="s">
        <v>119</v>
      </c>
      <c r="C149" s="292"/>
      <c r="D149" s="31">
        <f>COUNTIFS(Dec[Hour],$B149)</f>
        <v>0</v>
      </c>
    </row>
    <row r="150" spans="2:4" x14ac:dyDescent="0.25">
      <c r="B150" s="292" t="s">
        <v>120</v>
      </c>
      <c r="C150" s="292"/>
      <c r="D150" s="31">
        <f>COUNTIFS(Dec[Hour],$B150)</f>
        <v>0</v>
      </c>
    </row>
    <row r="151" spans="2:4" x14ac:dyDescent="0.25">
      <c r="B151" s="292" t="s">
        <v>121</v>
      </c>
      <c r="C151" s="292"/>
      <c r="D151" s="31">
        <f>COUNTIFS(Dec[Hour],$B151)</f>
        <v>0</v>
      </c>
    </row>
    <row r="152" spans="2:4" x14ac:dyDescent="0.25">
      <c r="B152" s="292" t="s">
        <v>122</v>
      </c>
      <c r="C152" s="292"/>
      <c r="D152" s="31">
        <f>COUNTIFS(Dec[Hour],$B152)</f>
        <v>0</v>
      </c>
    </row>
    <row r="153" spans="2:4" x14ac:dyDescent="0.25">
      <c r="B153" s="292" t="s">
        <v>123</v>
      </c>
      <c r="C153" s="292"/>
      <c r="D153" s="31">
        <f>COUNTIFS(Dec[Hour],$B153)</f>
        <v>0</v>
      </c>
    </row>
    <row r="154" spans="2:4" x14ac:dyDescent="0.25">
      <c r="B154" s="292" t="s">
        <v>124</v>
      </c>
      <c r="C154" s="292"/>
      <c r="D154" s="31">
        <f>COUNTIFS(Dec[Hour],$B154)</f>
        <v>0</v>
      </c>
    </row>
    <row r="155" spans="2:4" x14ac:dyDescent="0.25">
      <c r="B155" s="292" t="s">
        <v>125</v>
      </c>
      <c r="C155" s="292"/>
      <c r="D155" s="31">
        <f>COUNTIFS(Dec[Hour],$B155)</f>
        <v>0</v>
      </c>
    </row>
    <row r="156" spans="2:4" x14ac:dyDescent="0.25">
      <c r="B156" s="292" t="s">
        <v>126</v>
      </c>
      <c r="C156" s="292"/>
      <c r="D156" s="31">
        <f>COUNTIFS(Dec[Hour],$B156)</f>
        <v>0</v>
      </c>
    </row>
    <row r="157" spans="2:4" x14ac:dyDescent="0.25">
      <c r="B157" s="292" t="s">
        <v>127</v>
      </c>
      <c r="C157" s="292"/>
      <c r="D157" s="31">
        <f>COUNTIFS(Dec[Hour],$B157)</f>
        <v>0</v>
      </c>
    </row>
    <row r="158" spans="2:4" x14ac:dyDescent="0.25">
      <c r="B158" s="292" t="s">
        <v>128</v>
      </c>
      <c r="C158" s="292"/>
      <c r="D158" s="31">
        <f>COUNTIFS(Dec[Hour],$B158)</f>
        <v>0</v>
      </c>
    </row>
    <row r="159" spans="2:4" x14ac:dyDescent="0.25">
      <c r="B159" s="292" t="s">
        <v>129</v>
      </c>
      <c r="C159" s="292"/>
      <c r="D159" s="31">
        <f>COUNTIFS(Dec[Hour],$B159)</f>
        <v>0</v>
      </c>
    </row>
    <row r="160" spans="2:4" x14ac:dyDescent="0.25">
      <c r="B160" s="292" t="s">
        <v>130</v>
      </c>
      <c r="C160" s="292"/>
      <c r="D160" s="31">
        <f>COUNTIFS(Dec[Hour],$B160)</f>
        <v>0</v>
      </c>
    </row>
    <row r="161" spans="1:8" x14ac:dyDescent="0.25">
      <c r="B161" s="292" t="s">
        <v>131</v>
      </c>
      <c r="C161" s="292"/>
      <c r="D161" s="31">
        <f>COUNTIFS(Dec[Hour],$B161)</f>
        <v>0</v>
      </c>
    </row>
    <row r="162" spans="1:8" x14ac:dyDescent="0.25">
      <c r="B162" s="292" t="s">
        <v>132</v>
      </c>
      <c r="C162" s="292"/>
      <c r="D162" s="31">
        <f>COUNTIFS(Dec[Hour],$B162)</f>
        <v>0</v>
      </c>
    </row>
    <row r="163" spans="1:8" x14ac:dyDescent="0.25">
      <c r="B163" s="292" t="s">
        <v>133</v>
      </c>
      <c r="C163" s="292"/>
      <c r="D163" s="31">
        <f>COUNTIFS(Dec[Hour],$B163)</f>
        <v>0</v>
      </c>
    </row>
    <row r="164" spans="1:8" x14ac:dyDescent="0.25">
      <c r="B164" s="292" t="s">
        <v>134</v>
      </c>
      <c r="C164" s="292"/>
      <c r="D164" s="31">
        <f>COUNTIFS(Dec[Hour],$B164)</f>
        <v>0</v>
      </c>
    </row>
    <row r="165" spans="1:8" x14ac:dyDescent="0.25">
      <c r="B165" s="292" t="s">
        <v>135</v>
      </c>
      <c r="C165" s="292"/>
      <c r="D165" s="31">
        <f>COUNTIFS(Dec[Hour],$B165)</f>
        <v>0</v>
      </c>
    </row>
    <row r="166" spans="1:8" x14ac:dyDescent="0.25">
      <c r="B166" s="292" t="s">
        <v>136</v>
      </c>
      <c r="C166" s="292"/>
      <c r="D166" s="31">
        <f>COUNTIFS(Dec[Hour],$B166)</f>
        <v>0</v>
      </c>
    </row>
    <row r="167" spans="1:8" x14ac:dyDescent="0.25">
      <c r="B167" s="292" t="s">
        <v>137</v>
      </c>
      <c r="C167" s="292"/>
      <c r="D167" s="31">
        <f>COUNTIFS(Dec[Hour],$B167)</f>
        <v>0</v>
      </c>
    </row>
    <row r="168" spans="1:8" ht="15.75" thickBot="1" x14ac:dyDescent="0.3">
      <c r="B168" s="292" t="s">
        <v>138</v>
      </c>
      <c r="C168" s="292"/>
      <c r="D168" s="34">
        <f>COUNTIFS(Dec[Hour],$B168)</f>
        <v>0</v>
      </c>
    </row>
    <row r="169" spans="1:8" ht="15.75" thickBot="1" x14ac:dyDescent="0.3">
      <c r="B169" s="285" t="s">
        <v>35</v>
      </c>
      <c r="C169" s="286"/>
      <c r="D169" s="35">
        <f>SUM(D145:D168)</f>
        <v>0</v>
      </c>
    </row>
    <row r="170" spans="1:8" ht="15.75" thickBot="1" x14ac:dyDescent="0.3"/>
    <row r="171" spans="1:8" ht="21.4" customHeight="1" thickBot="1" x14ac:dyDescent="0.3">
      <c r="B171" s="280" t="str">
        <f>"Falls by Contributing Factors"</f>
        <v>Falls by Contributing Factors</v>
      </c>
      <c r="C171" s="281"/>
      <c r="D171" s="281"/>
      <c r="E171" s="281"/>
      <c r="F171" s="281"/>
      <c r="G171" s="282"/>
    </row>
    <row r="172" spans="1:8" ht="15.6" customHeight="1" x14ac:dyDescent="0.25">
      <c r="A172" s="38"/>
      <c r="B172" s="288" t="s">
        <v>92</v>
      </c>
      <c r="C172" s="289"/>
      <c r="D172" s="289"/>
      <c r="E172" s="289"/>
      <c r="F172" s="290"/>
      <c r="G172" s="28" t="s">
        <v>35</v>
      </c>
    </row>
    <row r="173" spans="1:8" x14ac:dyDescent="0.25">
      <c r="A173" s="38"/>
      <c r="B173" s="44" t="str" cm="1">
        <f t="array" ref="B173:B196">IF(_xlfn._xlws.SORT(CF[Contributing Factors],1,1,TRUE)=0,"",(_xlfn._xlws.SORT(CF[Contributing Factors],1,1,TRUE)))</f>
        <v>Assisted/caregiver transfer</v>
      </c>
      <c r="C173" s="45"/>
      <c r="D173" s="45"/>
      <c r="E173" s="45"/>
      <c r="F173" s="46"/>
      <c r="G173" s="42">
        <f>IF($B173="",NA(),COUNTIFS(Dec[Contributing Factors],$B173))</f>
        <v>0</v>
      </c>
      <c r="H173" s="43"/>
    </row>
    <row r="174" spans="1:8" x14ac:dyDescent="0.25">
      <c r="A174" s="38"/>
      <c r="B174" s="39" t="str">
        <v>Bowel and bladder (B&amp;B) needs</v>
      </c>
      <c r="C174" s="40"/>
      <c r="D174" s="40"/>
      <c r="E174" s="40"/>
      <c r="F174" s="41"/>
      <c r="G174" s="42">
        <f>IF($B174="",NA(),COUNTIFS(Dec[Contributing Factors],$B174))</f>
        <v>0</v>
      </c>
    </row>
    <row r="175" spans="1:8" x14ac:dyDescent="0.25">
      <c r="A175" s="38"/>
      <c r="B175" s="44" t="str">
        <v>Behavioral or situational</v>
      </c>
      <c r="C175" s="45"/>
      <c r="D175" s="45"/>
      <c r="E175" s="45"/>
      <c r="F175" s="46"/>
      <c r="G175" s="42">
        <f>IF($B175="",NA(),COUNTIFS(Dec[Contributing Factors],$B175))</f>
        <v>0</v>
      </c>
    </row>
    <row r="176" spans="1:8" x14ac:dyDescent="0.25">
      <c r="A176" s="38"/>
      <c r="B176" s="39" t="str">
        <v>Change of condition</v>
      </c>
      <c r="C176" s="40"/>
      <c r="D176" s="40"/>
      <c r="E176" s="40"/>
      <c r="F176" s="41"/>
      <c r="G176" s="42">
        <f>IF($B176="",NA(),COUNTIFS(Dec[Contributing Factors],$B176))</f>
        <v>0</v>
      </c>
    </row>
    <row r="177" spans="1:7" x14ac:dyDescent="0.25">
      <c r="A177" s="38"/>
      <c r="B177" s="44" t="str">
        <v>Environmental factors</v>
      </c>
      <c r="C177" s="45"/>
      <c r="D177" s="45"/>
      <c r="E177" s="45"/>
      <c r="F177" s="46"/>
      <c r="G177" s="42">
        <f>IF($B177="",NA(),COUNTIFS(Dec[Contributing Factors],$B177))</f>
        <v>0</v>
      </c>
    </row>
    <row r="178" spans="1:7" x14ac:dyDescent="0.25">
      <c r="A178" s="38"/>
      <c r="B178" s="39" t="str">
        <v>Equipment malfunction</v>
      </c>
      <c r="C178" s="40"/>
      <c r="D178" s="40"/>
      <c r="E178" s="40"/>
      <c r="F178" s="41"/>
      <c r="G178" s="42">
        <f>IF($B178="",NA(),COUNTIFS(Dec[Contributing Factors],$B178))</f>
        <v>0</v>
      </c>
    </row>
    <row r="179" spans="1:7" x14ac:dyDescent="0.25">
      <c r="A179" s="38"/>
      <c r="B179" s="44" t="str">
        <v>Equipment or assistive device</v>
      </c>
      <c r="C179" s="45"/>
      <c r="D179" s="45"/>
      <c r="E179" s="45"/>
      <c r="F179" s="46"/>
      <c r="G179" s="42">
        <f>IF($B179="",NA(),COUNTIFS(Dec[Contributing Factors],$B179))</f>
        <v>0</v>
      </c>
    </row>
    <row r="180" spans="1:7" x14ac:dyDescent="0.25">
      <c r="A180" s="38"/>
      <c r="B180" s="39" t="str">
        <v>Medication related</v>
      </c>
      <c r="C180" s="40"/>
      <c r="D180" s="40"/>
      <c r="E180" s="40"/>
      <c r="F180" s="41"/>
      <c r="G180" s="42">
        <f>IF($B180="",NA(),COUNTIFS(Dec[Contributing Factors],$B180))</f>
        <v>0</v>
      </c>
    </row>
    <row r="181" spans="1:7" x14ac:dyDescent="0.25">
      <c r="A181" s="38"/>
      <c r="B181" s="44" t="str">
        <v>Process(s) not followed</v>
      </c>
      <c r="C181" s="45"/>
      <c r="D181" s="45"/>
      <c r="E181" s="45"/>
      <c r="F181" s="46"/>
      <c r="G181" s="42">
        <f>IF($B181="",NA(),COUNTIFS(Dec[Contributing Factors],$B181))</f>
        <v>0</v>
      </c>
    </row>
    <row r="182" spans="1:7" x14ac:dyDescent="0.25">
      <c r="A182" s="38"/>
      <c r="B182" s="39" t="str">
        <v>Resident health conditions</v>
      </c>
      <c r="C182" s="40"/>
      <c r="D182" s="40"/>
      <c r="E182" s="40"/>
      <c r="F182" s="41"/>
      <c r="G182" s="42">
        <f>IF($B182="",NA(),COUNTIFS(Dec[Contributing Factors],$B182))</f>
        <v>0</v>
      </c>
    </row>
    <row r="183" spans="1:7" x14ac:dyDescent="0.25">
      <c r="A183" s="38"/>
      <c r="B183" s="44" t="str">
        <v>Staff</v>
      </c>
      <c r="C183" s="45"/>
      <c r="D183" s="45"/>
      <c r="E183" s="45"/>
      <c r="F183" s="46"/>
      <c r="G183" s="42">
        <f>IF($B183="",NA(),COUNTIFS(Dec[Contributing Factors],$B183))</f>
        <v>0</v>
      </c>
    </row>
    <row r="184" spans="1:7" x14ac:dyDescent="0.25">
      <c r="A184" s="38"/>
      <c r="B184" s="39" t="str">
        <v/>
      </c>
      <c r="C184" s="40"/>
      <c r="D184" s="40"/>
      <c r="E184" s="40"/>
      <c r="F184" s="41"/>
      <c r="G184" s="42" t="e">
        <f>IF($B184="",NA(),COUNTIFS(Dec[Contributing Factors],$B184))</f>
        <v>#N/A</v>
      </c>
    </row>
    <row r="185" spans="1:7" x14ac:dyDescent="0.25">
      <c r="A185" s="38"/>
      <c r="B185" s="44" t="str">
        <v/>
      </c>
      <c r="C185" s="45"/>
      <c r="D185" s="45"/>
      <c r="E185" s="45"/>
      <c r="F185" s="46"/>
      <c r="G185" s="42" t="e">
        <f>IF($B185="",NA(),COUNTIFS(Dec[Contributing Factors],$B185))</f>
        <v>#N/A</v>
      </c>
    </row>
    <row r="186" spans="1:7" x14ac:dyDescent="0.25">
      <c r="A186" s="38"/>
      <c r="B186" s="39" t="str">
        <v/>
      </c>
      <c r="C186" s="40"/>
      <c r="D186" s="40"/>
      <c r="E186" s="40"/>
      <c r="F186" s="41"/>
      <c r="G186" s="42" t="e">
        <f>IF($B186="",NA(),COUNTIFS(Dec[Contributing Factors],$B186))</f>
        <v>#N/A</v>
      </c>
    </row>
    <row r="187" spans="1:7" x14ac:dyDescent="0.25">
      <c r="A187" s="38"/>
      <c r="B187" s="44" t="str">
        <v/>
      </c>
      <c r="C187" s="45"/>
      <c r="D187" s="45"/>
      <c r="E187" s="45"/>
      <c r="F187" s="46"/>
      <c r="G187" s="42" t="e">
        <f>IF($B187="",NA(),COUNTIFS(Dec[Contributing Factors],$B187))</f>
        <v>#N/A</v>
      </c>
    </row>
    <row r="188" spans="1:7" x14ac:dyDescent="0.25">
      <c r="A188" s="38"/>
      <c r="B188" s="39" t="str">
        <v/>
      </c>
      <c r="C188" s="40"/>
      <c r="D188" s="40"/>
      <c r="E188" s="40"/>
      <c r="F188" s="41"/>
      <c r="G188" s="42" t="e">
        <f>IF($B188="",NA(),COUNTIFS(Dec[Contributing Factors],$B188))</f>
        <v>#N/A</v>
      </c>
    </row>
    <row r="189" spans="1:7" x14ac:dyDescent="0.25">
      <c r="A189" s="38"/>
      <c r="B189" s="44" t="str">
        <v/>
      </c>
      <c r="C189" s="45"/>
      <c r="D189" s="45"/>
      <c r="E189" s="45"/>
      <c r="F189" s="46"/>
      <c r="G189" s="42" t="e">
        <f>IF($B189="",NA(),COUNTIFS(Dec[Contributing Factors],$B189))</f>
        <v>#N/A</v>
      </c>
    </row>
    <row r="190" spans="1:7" x14ac:dyDescent="0.25">
      <c r="A190" s="38"/>
      <c r="B190" s="39" t="str">
        <v/>
      </c>
      <c r="C190" s="40"/>
      <c r="D190" s="40"/>
      <c r="E190" s="40"/>
      <c r="F190" s="41"/>
      <c r="G190" s="42" t="e">
        <f>IF($B190="",NA(),COUNTIFS(Dec[Contributing Factors],$B190))</f>
        <v>#N/A</v>
      </c>
    </row>
    <row r="191" spans="1:7" x14ac:dyDescent="0.25">
      <c r="A191" s="38"/>
      <c r="B191" s="44" t="str">
        <v/>
      </c>
      <c r="C191" s="45"/>
      <c r="D191" s="45"/>
      <c r="E191" s="45"/>
      <c r="F191" s="46"/>
      <c r="G191" s="42" t="e">
        <f>IF($B191="",NA(),COUNTIFS(Dec[Contributing Factors],$B191))</f>
        <v>#N/A</v>
      </c>
    </row>
    <row r="192" spans="1:7" x14ac:dyDescent="0.25">
      <c r="A192" s="38"/>
      <c r="B192" s="39" t="str">
        <v/>
      </c>
      <c r="C192" s="40"/>
      <c r="D192" s="40"/>
      <c r="E192" s="40"/>
      <c r="F192" s="41"/>
      <c r="G192" s="42" t="e">
        <f>IF($B192="",NA(),COUNTIFS(Dec[Contributing Factors],$B192))</f>
        <v>#N/A</v>
      </c>
    </row>
    <row r="193" spans="1:7" x14ac:dyDescent="0.25">
      <c r="A193" s="38"/>
      <c r="B193" s="44" t="str">
        <v/>
      </c>
      <c r="C193" s="45"/>
      <c r="D193" s="45"/>
      <c r="E193" s="45"/>
      <c r="F193" s="46"/>
      <c r="G193" s="42" t="e">
        <f>IF($B193="",NA(),COUNTIFS(Dec[Contributing Factors],$B193))</f>
        <v>#N/A</v>
      </c>
    </row>
    <row r="194" spans="1:7" x14ac:dyDescent="0.25">
      <c r="A194" s="38"/>
      <c r="B194" s="39" t="str">
        <v/>
      </c>
      <c r="C194" s="40"/>
      <c r="D194" s="40"/>
      <c r="E194" s="40"/>
      <c r="F194" s="41"/>
      <c r="G194" s="42" t="e">
        <f>IF($B194="",NA(),COUNTIFS(Dec[Contributing Factors],$B194))</f>
        <v>#N/A</v>
      </c>
    </row>
    <row r="195" spans="1:7" x14ac:dyDescent="0.25">
      <c r="A195" s="38"/>
      <c r="B195" s="44" t="str">
        <v/>
      </c>
      <c r="C195" s="45"/>
      <c r="D195" s="45"/>
      <c r="E195" s="45"/>
      <c r="F195" s="46"/>
      <c r="G195" s="42" t="e">
        <f>IF($B195="",NA(),COUNTIFS(Dec[Contributing Factors],$B195))</f>
        <v>#N/A</v>
      </c>
    </row>
    <row r="196" spans="1:7" ht="15.75" thickBot="1" x14ac:dyDescent="0.3">
      <c r="A196" s="38"/>
      <c r="B196" s="39" t="str">
        <v/>
      </c>
      <c r="C196" s="40"/>
      <c r="D196" s="40"/>
      <c r="E196" s="40"/>
      <c r="F196" s="41"/>
      <c r="G196" s="42" t="e">
        <f>IF($B196="",NA(),COUNTIFS(Dec[Contributing Factors],$B196))</f>
        <v>#N/A</v>
      </c>
    </row>
    <row r="197" spans="1:7" ht="15.6" customHeight="1" thickBot="1" x14ac:dyDescent="0.3">
      <c r="B197" s="285" t="s">
        <v>35</v>
      </c>
      <c r="C197" s="286"/>
      <c r="D197" s="286"/>
      <c r="E197" s="286"/>
      <c r="F197" s="287"/>
      <c r="G197" s="37">
        <f>_xlfn.AGGREGATE(9,6,G173:G196)</f>
        <v>0</v>
      </c>
    </row>
  </sheetData>
  <sheetProtection algorithmName="SHA-512" hashValue="UvDqo4SSLIPMHh8PjciQYqgAKocbnjb9O9XuAlSD8R9mpQNz94IlluYpaNZDIlWrbjt7MqkWDEYrB2ou0VtNfA==" saltValue="aCDoP3djuyZ/HGNULAQKRw==" spinCount="100000" sheet="1" formatCells="0" formatColumns="0" formatRows="0" sort="0" autoFilter="0"/>
  <mergeCells count="61">
    <mergeCell ref="F56:G56"/>
    <mergeCell ref="B51:D51"/>
    <mergeCell ref="F51:H51"/>
    <mergeCell ref="B52:C52"/>
    <mergeCell ref="F52:G52"/>
    <mergeCell ref="B55:C55"/>
    <mergeCell ref="B121:C121"/>
    <mergeCell ref="F58:H58"/>
    <mergeCell ref="F59:G59"/>
    <mergeCell ref="F63:G63"/>
    <mergeCell ref="B65:G65"/>
    <mergeCell ref="B66:F66"/>
    <mergeCell ref="B91:F91"/>
    <mergeCell ref="B93:D93"/>
    <mergeCell ref="B94:C94"/>
    <mergeCell ref="B106:C106"/>
    <mergeCell ref="B108:D108"/>
    <mergeCell ref="B109:C109"/>
    <mergeCell ref="B135:C135"/>
    <mergeCell ref="B123:D123"/>
    <mergeCell ref="B124:C124"/>
    <mergeCell ref="B125:C125"/>
    <mergeCell ref="B126:C126"/>
    <mergeCell ref="B127:C127"/>
    <mergeCell ref="B128:C128"/>
    <mergeCell ref="B129:C129"/>
    <mergeCell ref="B130:C130"/>
    <mergeCell ref="B131:C131"/>
    <mergeCell ref="B132:C132"/>
    <mergeCell ref="B134:D134"/>
    <mergeCell ref="B153:C153"/>
    <mergeCell ref="B141:C141"/>
    <mergeCell ref="B143:D143"/>
    <mergeCell ref="B144:C144"/>
    <mergeCell ref="B145:C145"/>
    <mergeCell ref="B146:C146"/>
    <mergeCell ref="B147:C147"/>
    <mergeCell ref="B148:C148"/>
    <mergeCell ref="B149:C149"/>
    <mergeCell ref="B150:C150"/>
    <mergeCell ref="B151:C151"/>
    <mergeCell ref="B152:C152"/>
    <mergeCell ref="B165:C165"/>
    <mergeCell ref="B154:C154"/>
    <mergeCell ref="B155:C155"/>
    <mergeCell ref="B156:C156"/>
    <mergeCell ref="B157:C157"/>
    <mergeCell ref="B158:C158"/>
    <mergeCell ref="B159:C159"/>
    <mergeCell ref="B160:C160"/>
    <mergeCell ref="B161:C161"/>
    <mergeCell ref="B162:C162"/>
    <mergeCell ref="B163:C163"/>
    <mergeCell ref="B164:C164"/>
    <mergeCell ref="B197:F197"/>
    <mergeCell ref="B166:C166"/>
    <mergeCell ref="B167:C167"/>
    <mergeCell ref="B168:C168"/>
    <mergeCell ref="B169:C169"/>
    <mergeCell ref="B171:G171"/>
    <mergeCell ref="B172:F172"/>
  </mergeCells>
  <conditionalFormatting sqref="C1">
    <cfRule type="expression" dxfId="49" priority="18">
      <formula>OR($C$1="",$C$1=0)</formula>
    </cfRule>
  </conditionalFormatting>
  <conditionalFormatting sqref="D1">
    <cfRule type="cellIs" dxfId="48" priority="19" operator="equal">
      <formula>"Enter year in Data Validation tab"</formula>
    </cfRule>
  </conditionalFormatting>
  <conditionalFormatting sqref="D4:D40">
    <cfRule type="expression" dxfId="47" priority="22">
      <formula>AND($C4&lt;&gt;"",$D4="")</formula>
    </cfRule>
  </conditionalFormatting>
  <conditionalFormatting sqref="D95:D105">
    <cfRule type="expression" dxfId="46" priority="9">
      <formula>ISERROR($D95)</formula>
    </cfRule>
  </conditionalFormatting>
  <conditionalFormatting sqref="D110:D120">
    <cfRule type="expression" dxfId="45" priority="10">
      <formula>ISERROR($D110)</formula>
    </cfRule>
  </conditionalFormatting>
  <conditionalFormatting sqref="D136:D140">
    <cfRule type="expression" dxfId="44" priority="1">
      <formula>ISERROR(D136)</formula>
    </cfRule>
  </conditionalFormatting>
  <conditionalFormatting sqref="E4:E40">
    <cfRule type="expression" dxfId="43" priority="21">
      <formula>AND($C4&lt;&gt;"",$E4="")</formula>
    </cfRule>
  </conditionalFormatting>
  <conditionalFormatting sqref="F4:F40">
    <cfRule type="expression" dxfId="42" priority="14">
      <formula>AND($C4&lt;&gt;"",$F4="")</formula>
    </cfRule>
  </conditionalFormatting>
  <conditionalFormatting sqref="G4:G40">
    <cfRule type="expression" dxfId="41" priority="13">
      <formula>AND($C4&lt;&gt;"",$G4="")</formula>
    </cfRule>
  </conditionalFormatting>
  <conditionalFormatting sqref="G67:G90">
    <cfRule type="expression" dxfId="40" priority="8">
      <formula>ISERROR($G67)</formula>
    </cfRule>
  </conditionalFormatting>
  <conditionalFormatting sqref="G173:G196">
    <cfRule type="expression" dxfId="39" priority="7">
      <formula>ISERROR($G173)</formula>
    </cfRule>
  </conditionalFormatting>
  <conditionalFormatting sqref="H4:H40">
    <cfRule type="expression" dxfId="38" priority="12">
      <formula>AND($C4&lt;&gt;"",$H4="")</formula>
    </cfRule>
  </conditionalFormatting>
  <conditionalFormatting sqref="I4:I40">
    <cfRule type="expression" dxfId="37" priority="11">
      <formula>AND($C4&lt;&gt;"",$I4="")</formula>
    </cfRule>
  </conditionalFormatting>
  <conditionalFormatting sqref="J4:J40">
    <cfRule type="expression" dxfId="36" priority="23">
      <formula>AND($C4&lt;&gt;"",$J4="")</formula>
    </cfRule>
  </conditionalFormatting>
  <conditionalFormatting sqref="L4:L40">
    <cfRule type="expression" dxfId="35" priority="20">
      <formula>AND($C4&lt;&gt;"",$L4="")</formula>
    </cfRule>
  </conditionalFormatting>
  <conditionalFormatting sqref="N4:N40">
    <cfRule type="expression" dxfId="34" priority="25">
      <formula>AND($C4&lt;&gt;"",$N4="")</formula>
    </cfRule>
  </conditionalFormatting>
  <conditionalFormatting sqref="O4:O40">
    <cfRule type="expression" dxfId="33" priority="4">
      <formula>AND($C4&lt;&gt;"",$O4="")</formula>
    </cfRule>
    <cfRule type="cellIs" dxfId="32" priority="15" operator="equal">
      <formula>"Intact (13-15)"</formula>
    </cfRule>
    <cfRule type="cellIs" dxfId="31" priority="16" operator="equal">
      <formula>"Moderate (8-12)"</formula>
    </cfRule>
    <cfRule type="cellIs" dxfId="30" priority="17" operator="equal">
      <formula>"Severe (1-7)"</formula>
    </cfRule>
  </conditionalFormatting>
  <conditionalFormatting sqref="P4:P40">
    <cfRule type="expression" dxfId="29" priority="5">
      <formula>AND($C4&lt;&gt;"",$P4="")</formula>
    </cfRule>
  </conditionalFormatting>
  <conditionalFormatting sqref="Q4:Q40">
    <cfRule type="expression" dxfId="28" priority="3">
      <formula>AND($C4&lt;&gt;"",$Q4="")</formula>
    </cfRule>
  </conditionalFormatting>
  <conditionalFormatting sqref="R4:R40">
    <cfRule type="expression" dxfId="27" priority="26">
      <formula>AND($C4&lt;&gt;"",$R4="")</formula>
    </cfRule>
  </conditionalFormatting>
  <conditionalFormatting sqref="S4:S40">
    <cfRule type="expression" dxfId="26" priority="6">
      <formula>AND($C4&lt;&gt;"",$S4="")</formula>
    </cfRule>
  </conditionalFormatting>
  <conditionalFormatting sqref="T4:T40">
    <cfRule type="expression" dxfId="25" priority="27">
      <formula>AND($C4&lt;&gt;"",$T4="")</formula>
    </cfRule>
  </conditionalFormatting>
  <conditionalFormatting sqref="U4:U40">
    <cfRule type="expression" dxfId="24" priority="24">
      <formula>AND($C4&lt;&gt;"",$U4="")</formula>
    </cfRule>
  </conditionalFormatting>
  <conditionalFormatting sqref="V4:V40">
    <cfRule type="expression" dxfId="23" priority="2">
      <formula>AND($C4&lt;&gt;"",$V4="")</formula>
    </cfRule>
  </conditionalFormatting>
  <dataValidations count="9">
    <dataValidation type="list" allowBlank="1" showInputMessage="1" showErrorMessage="1" sqref="R4:R40" xr:uid="{86692959-20FA-4493-9868-CE7FF168B2B4}">
      <formula1>DV_RCAComp</formula1>
    </dataValidation>
    <dataValidation type="list" allowBlank="1" showInputMessage="1" showErrorMessage="1" sqref="G4:G40" xr:uid="{98269610-904D-4EC2-9A81-84E945BB575A}">
      <formula1>DV_FallCircumstances</formula1>
    </dataValidation>
    <dataValidation type="list" allowBlank="1" showInputMessage="1" showErrorMessage="1" sqref="P4:P40" xr:uid="{60868D78-8113-40C1-8518-C01EEE293E1D}">
      <formula1>DV_PriortoFall</formula1>
    </dataValidation>
    <dataValidation type="list" allowBlank="1" showInputMessage="1" showErrorMessage="1" sqref="F4:F40" xr:uid="{A195CE1A-9E9E-4385-A3D1-7497FDE25CB9}">
      <formula1>DV_Witnessed</formula1>
    </dataValidation>
    <dataValidation type="list" allowBlank="1" showInputMessage="1" showErrorMessage="1" sqref="N4:N40" xr:uid="{465893AF-E88D-4C68-A3C4-A76F969B579E}">
      <formula1>DV_BIMSScore</formula1>
    </dataValidation>
    <dataValidation type="list" allowBlank="1" showInputMessage="1" showErrorMessage="1" sqref="L4:L40" xr:uid="{0EFC7868-C772-4535-88BA-946578C012EE}">
      <formula1>DV_Shifts</formula1>
    </dataValidation>
    <dataValidation type="list" allowBlank="1" showInputMessage="1" showErrorMessage="1" sqref="J4:J40" xr:uid="{35DAB945-BFF2-414F-8E07-7DBA4ECC0E1B}">
      <formula1>DV_Station</formula1>
    </dataValidation>
    <dataValidation type="list" allowBlank="1" showInputMessage="1" showErrorMessage="1" sqref="I4:I40" xr:uid="{D293451D-01DB-4198-BCC9-D9462453B4DE}">
      <formula1>DV_Location</formula1>
    </dataValidation>
    <dataValidation type="list" allowBlank="1" showInputMessage="1" showErrorMessage="1" sqref="H4:H40" xr:uid="{A4814286-41A6-45D5-8839-DC4FC000E5E5}">
      <formula1>DV_FallType</formula1>
    </dataValidation>
  </dataValidations>
  <printOptions horizontalCentered="1"/>
  <pageMargins left="0.15" right="0.15" top="0.5" bottom="0.25" header="0.3" footer="0.3"/>
  <pageSetup scale="59" fitToHeight="0" orientation="landscape" r:id="rId1"/>
  <rowBreaks count="3" manualBreakCount="3">
    <brk id="49" max="16383" man="1"/>
    <brk id="91" max="16383" man="1"/>
    <brk id="141" max="16383" man="1"/>
  </rowBreaks>
  <drawing r:id="rId2"/>
  <tableParts count="1">
    <tablePart r:id="rId3"/>
  </tableParts>
  <extLst>
    <ext xmlns:x14="http://schemas.microsoft.com/office/spreadsheetml/2009/9/main" uri="{CCE6A557-97BC-4b89-ADB6-D9C93CAAB3DF}">
      <x14:dataValidations xmlns:xm="http://schemas.microsoft.com/office/excel/2006/main" count="1">
        <x14:dataValidation type="list" allowBlank="1" showInputMessage="1" showErrorMessage="1" xr:uid="{6ECCAC93-9F2D-4D25-B2E5-DE5C8D078EDE}">
          <x14:formula1>
            <xm:f>'Data Validation'!$K$3:$K$26</xm:f>
          </x14:formula1>
          <xm:sqref>S4:S40</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69B4CE-0205-4A3D-A235-E4CF59DE739C}">
  <sheetPr>
    <pageSetUpPr autoPageBreaks="0" fitToPage="1"/>
  </sheetPr>
  <dimension ref="B2:O35"/>
  <sheetViews>
    <sheetView showGridLines="0" zoomScaleNormal="100" workbookViewId="0">
      <selection activeCell="Q30" sqref="Q30"/>
    </sheetView>
  </sheetViews>
  <sheetFormatPr defaultRowHeight="15" x14ac:dyDescent="0.25"/>
  <cols>
    <col min="1" max="1" width="2.28515625" customWidth="1"/>
    <col min="2" max="2" width="13.5703125" customWidth="1"/>
    <col min="3" max="10" width="10.140625" customWidth="1"/>
    <col min="11" max="11" width="11.28515625" customWidth="1"/>
    <col min="12" max="12" width="10.140625" customWidth="1"/>
    <col min="13" max="13" width="11.28515625" customWidth="1"/>
    <col min="14" max="14" width="11.140625" customWidth="1"/>
    <col min="15" max="15" width="8.140625" customWidth="1"/>
    <col min="16" max="16" width="5.7109375" customWidth="1"/>
    <col min="17" max="17" width="17.5703125" customWidth="1"/>
    <col min="18" max="18" width="6.28515625" customWidth="1"/>
    <col min="19" max="19" width="1.7109375" customWidth="1"/>
    <col min="20" max="20" width="16.5703125" customWidth="1"/>
    <col min="21" max="21" width="1.28515625" customWidth="1"/>
    <col min="24" max="24" width="10.7109375" bestFit="1" customWidth="1"/>
    <col min="26" max="26" width="10.42578125" bestFit="1" customWidth="1"/>
    <col min="27" max="27" width="10.28515625" bestFit="1" customWidth="1"/>
  </cols>
  <sheetData>
    <row r="2" spans="2:15" ht="15" customHeight="1" x14ac:dyDescent="0.3">
      <c r="B2" s="194" t="str">
        <f>"Number of Falls Per Month By Category "&amp;IF(Jan!$C$1=0,"",Jan!$C$1)</f>
        <v xml:space="preserve">Number of Falls Per Month By Category </v>
      </c>
      <c r="C2" s="69"/>
      <c r="D2" s="69"/>
      <c r="E2" s="69"/>
      <c r="F2" s="69"/>
      <c r="G2" s="69"/>
      <c r="H2" s="69"/>
      <c r="I2" s="69"/>
      <c r="J2" s="69"/>
      <c r="K2" s="69"/>
      <c r="L2" s="69"/>
      <c r="M2" s="69"/>
      <c r="N2" s="69"/>
      <c r="O2" s="70"/>
    </row>
    <row r="3" spans="2:15" x14ac:dyDescent="0.25">
      <c r="B3" s="195"/>
      <c r="C3" s="71" t="s">
        <v>4</v>
      </c>
      <c r="D3" s="71" t="s">
        <v>5</v>
      </c>
      <c r="E3" s="71" t="s">
        <v>6</v>
      </c>
      <c r="F3" s="71" t="s">
        <v>7</v>
      </c>
      <c r="G3" s="71" t="s">
        <v>8</v>
      </c>
      <c r="H3" s="71" t="s">
        <v>9</v>
      </c>
      <c r="I3" s="71" t="s">
        <v>10</v>
      </c>
      <c r="J3" s="71" t="s">
        <v>11</v>
      </c>
      <c r="K3" s="71" t="s">
        <v>12</v>
      </c>
      <c r="L3" s="71" t="s">
        <v>13</v>
      </c>
      <c r="M3" s="71" t="s">
        <v>14</v>
      </c>
      <c r="N3" s="71" t="s">
        <v>15</v>
      </c>
      <c r="O3" s="71" t="s">
        <v>16</v>
      </c>
    </row>
    <row r="4" spans="2:15" x14ac:dyDescent="0.25">
      <c r="B4" s="196" t="str" cm="1">
        <f t="array" ref="B4:B6">IF(_xlfn._xlws.SORT(FallType[Fall Type],1,1,TRUE)=0,"",(_xlfn._xlws.SORT(FallType[Fall Type],1,1,TRUE)))</f>
        <v>Major Injury</v>
      </c>
      <c r="C4" s="72" t="e">
        <f>IF(Jan!$S$1="No Data",NA(),COUNTIFS(Jan[Injury Type],$B4))</f>
        <v>#N/A</v>
      </c>
      <c r="D4" s="72" t="e">
        <f>IF(Feb!$S$1="No Data",NA(),COUNTIFS(Feb[Injury Type],$B4))</f>
        <v>#N/A</v>
      </c>
      <c r="E4" s="72" t="e">
        <f>IF(Mar!$S$1="No Data",NA(),COUNTIFS(Mar[Injury Type],$B4))</f>
        <v>#N/A</v>
      </c>
      <c r="F4" s="72" t="e">
        <f>IF(Apr!$S$1="No Data",NA(),COUNTIFS(Apr[Injury Type],$B4))</f>
        <v>#N/A</v>
      </c>
      <c r="G4" s="72" t="e">
        <f>IF(May!$S$1="No Data",NA(),COUNTIFS(May[Injury Type],$B4))</f>
        <v>#N/A</v>
      </c>
      <c r="H4" s="72" t="e">
        <f>IF(June!$S$1="No Data",NA(),COUNTIFS(June[Injury Type],$B4))</f>
        <v>#N/A</v>
      </c>
      <c r="I4" s="72" t="e">
        <f>IF(July!$S$1="No Data",NA(),COUNTIFS(July[Injury Type],$B4))</f>
        <v>#N/A</v>
      </c>
      <c r="J4" s="72" t="e">
        <f>IF(Aug!$S$1="No Data",NA(),COUNTIFS(Aug[Injury Type],$B4))</f>
        <v>#N/A</v>
      </c>
      <c r="K4" s="72" t="e">
        <f>IF(Sept!$S$1="No Data",NA(),COUNTIFS(Sept[Injury Type],$B4))</f>
        <v>#N/A</v>
      </c>
      <c r="L4" s="72" t="e">
        <f>IF(Oct!$S$1="No Data",NA(),COUNTIFS(Oct[Injury Type],$B4))</f>
        <v>#N/A</v>
      </c>
      <c r="M4" s="72" t="e">
        <f>IF(Nov!$S$1="No Data",NA(),COUNTIFS(Nov[Injury Type],$B4))</f>
        <v>#N/A</v>
      </c>
      <c r="N4" s="72" t="e">
        <f>IF(Dec!$S$1="No Data",NA(),COUNTIFS(Dec[Injury Type],$B4))</f>
        <v>#N/A</v>
      </c>
      <c r="O4" s="73">
        <f>_xlfn.AGGREGATE(9,6,C4:N4)</f>
        <v>0</v>
      </c>
    </row>
    <row r="5" spans="2:15" ht="30.75" customHeight="1" x14ac:dyDescent="0.25">
      <c r="B5" s="196" t="str">
        <v>Injury (Except Major)</v>
      </c>
      <c r="C5" s="72" t="e">
        <f>IF(Jan!$S$1="No Data",NA(),COUNTIFS(Jan[Injury Type],$B5))</f>
        <v>#N/A</v>
      </c>
      <c r="D5" s="72" t="e">
        <f>IF(Feb!$S$1="No Data",NA(),COUNTIFS(Feb[Injury Type],$B5))</f>
        <v>#N/A</v>
      </c>
      <c r="E5" s="72" t="e">
        <f>IF(Mar!$S$1="No Data",NA(),COUNTIFS(Mar[Injury Type],$B5))</f>
        <v>#N/A</v>
      </c>
      <c r="F5" s="72" t="e">
        <f>IF(Apr!$S$1="No Data",NA(),COUNTIFS(Apr[Injury Type],$B5))</f>
        <v>#N/A</v>
      </c>
      <c r="G5" s="72" t="e">
        <f>IF(May!$S$1="No Data",NA(),COUNTIFS(May[Injury Type],$B5))</f>
        <v>#N/A</v>
      </c>
      <c r="H5" s="72" t="e">
        <f>IF(June!$S$1="No Data",NA(),COUNTIFS(June[Injury Type],$B5))</f>
        <v>#N/A</v>
      </c>
      <c r="I5" s="72" t="e">
        <f>IF(July!$S$1="No Data",NA(),COUNTIFS(July[Injury Type],$B5))</f>
        <v>#N/A</v>
      </c>
      <c r="J5" s="72" t="e">
        <f>IF(Aug!$S$1="No Data",NA(),COUNTIFS(Aug[Injury Type],$B5))</f>
        <v>#N/A</v>
      </c>
      <c r="K5" s="72" t="e">
        <f>IF(Sept!$S$1="No Data",NA(),COUNTIFS(Sept[Injury Type],$B5))</f>
        <v>#N/A</v>
      </c>
      <c r="L5" s="72" t="e">
        <f>IF(Oct!$S$1="No Data",NA(),COUNTIFS(Oct[Injury Type],$B5))</f>
        <v>#N/A</v>
      </c>
      <c r="M5" s="72" t="e">
        <f>IF(Nov!$S$1="No Data",NA(),COUNTIFS(Nov[Injury Type],$B5))</f>
        <v>#N/A</v>
      </c>
      <c r="N5" s="72" t="e">
        <f>IF(Dec!$S$1="No Data",NA(),COUNTIFS(Dec[Injury Type],$B5))</f>
        <v>#N/A</v>
      </c>
      <c r="O5" s="73">
        <f>_xlfn.AGGREGATE(9,6,C5:N5)</f>
        <v>0</v>
      </c>
    </row>
    <row r="6" spans="2:15" x14ac:dyDescent="0.25">
      <c r="B6" s="74" t="str">
        <v>No Injury</v>
      </c>
      <c r="C6" s="72" t="e">
        <f>IF(Jan!$S$1="No Data",NA(),COUNTIFS(Jan[Injury Type],$B6))</f>
        <v>#N/A</v>
      </c>
      <c r="D6" s="72" t="e">
        <f>IF(Feb!$S$1="No Data",NA(),COUNTIFS(Feb[Injury Type],$B6))</f>
        <v>#N/A</v>
      </c>
      <c r="E6" s="72" t="e">
        <f>IF(Mar!$S$1="No Data",NA(),COUNTIFS(Mar[Injury Type],$B6))</f>
        <v>#N/A</v>
      </c>
      <c r="F6" s="72" t="e">
        <f>IF(Apr!$S$1="No Data",NA(),COUNTIFS(Apr[Injury Type],$B6))</f>
        <v>#N/A</v>
      </c>
      <c r="G6" s="72" t="e">
        <f>IF(May!$S$1="No Data",NA(),COUNTIFS(May[Injury Type],$B6))</f>
        <v>#N/A</v>
      </c>
      <c r="H6" s="72" t="e">
        <f>IF(June!$S$1="No Data",NA(),COUNTIFS(June[Injury Type],$B6))</f>
        <v>#N/A</v>
      </c>
      <c r="I6" s="72" t="e">
        <f>IF(July!$S$1="No Data",NA(),COUNTIFS(July[Injury Type],$B6))</f>
        <v>#N/A</v>
      </c>
      <c r="J6" s="72" t="e">
        <f>IF(Aug!$S$1="No Data",NA(),COUNTIFS(Aug[Injury Type],$B6))</f>
        <v>#N/A</v>
      </c>
      <c r="K6" s="72" t="e">
        <f>IF(Sept!$S$1="No Data",NA(),COUNTIFS(Sept[Injury Type],$B6))</f>
        <v>#N/A</v>
      </c>
      <c r="L6" s="72" t="e">
        <f>IF(Oct!$S$1="No Data",NA(),COUNTIFS(Oct[Injury Type],$B6))</f>
        <v>#N/A</v>
      </c>
      <c r="M6" s="72" t="e">
        <f>IF(Nov!$S$1="No Data",NA(),COUNTIFS(Nov[Injury Type],$B6))</f>
        <v>#N/A</v>
      </c>
      <c r="N6" s="72" t="e">
        <f>IF(Dec!$S$1="No Data",NA(),COUNTIFS(Dec[Injury Type],$B6))</f>
        <v>#N/A</v>
      </c>
      <c r="O6" s="73">
        <f>_xlfn.AGGREGATE(9,6,C6:N6)</f>
        <v>0</v>
      </c>
    </row>
    <row r="7" spans="2:15" x14ac:dyDescent="0.25">
      <c r="B7" s="74" t="s">
        <v>87</v>
      </c>
      <c r="C7" s="73" t="e">
        <f>IFERROR(SUM(C4:C6),NA())</f>
        <v>#N/A</v>
      </c>
      <c r="D7" s="73" t="e">
        <f t="shared" ref="D7:N7" si="0">IFERROR(SUM(D4:D6),NA())</f>
        <v>#N/A</v>
      </c>
      <c r="E7" s="73" t="e">
        <f t="shared" si="0"/>
        <v>#N/A</v>
      </c>
      <c r="F7" s="73" t="e">
        <f t="shared" si="0"/>
        <v>#N/A</v>
      </c>
      <c r="G7" s="73" t="e">
        <f t="shared" si="0"/>
        <v>#N/A</v>
      </c>
      <c r="H7" s="73" t="e">
        <f t="shared" si="0"/>
        <v>#N/A</v>
      </c>
      <c r="I7" s="73" t="e">
        <f t="shared" si="0"/>
        <v>#N/A</v>
      </c>
      <c r="J7" s="73" t="e">
        <f t="shared" si="0"/>
        <v>#N/A</v>
      </c>
      <c r="K7" s="73" t="e">
        <f t="shared" si="0"/>
        <v>#N/A</v>
      </c>
      <c r="L7" s="73" t="e">
        <f t="shared" si="0"/>
        <v>#N/A</v>
      </c>
      <c r="M7" s="73" t="e">
        <f t="shared" si="0"/>
        <v>#N/A</v>
      </c>
      <c r="N7" s="73" t="e">
        <f t="shared" si="0"/>
        <v>#N/A</v>
      </c>
      <c r="O7" s="73">
        <f>SUM(O4:O6)</f>
        <v>0</v>
      </c>
    </row>
    <row r="8" spans="2:15" x14ac:dyDescent="0.25">
      <c r="B8" s="197" t="s">
        <v>36</v>
      </c>
      <c r="C8" s="6">
        <v>10</v>
      </c>
      <c r="D8" s="6">
        <v>10</v>
      </c>
      <c r="E8" s="6">
        <v>10</v>
      </c>
      <c r="F8" s="6">
        <v>10</v>
      </c>
      <c r="G8" s="6">
        <v>10</v>
      </c>
      <c r="H8" s="6">
        <v>10</v>
      </c>
      <c r="I8" s="6">
        <v>10</v>
      </c>
      <c r="J8" s="6">
        <v>10</v>
      </c>
      <c r="K8" s="6">
        <v>10</v>
      </c>
      <c r="L8" s="6">
        <v>10</v>
      </c>
      <c r="M8" s="6">
        <v>10</v>
      </c>
      <c r="N8" s="6">
        <v>10</v>
      </c>
      <c r="O8" s="198">
        <f>SUM(C8:N8)</f>
        <v>120</v>
      </c>
    </row>
    <row r="32" spans="2:15" x14ac:dyDescent="0.25">
      <c r="B32" s="75" t="str">
        <f>"Fall Rate by Month "&amp;IF(Jan!$C$1=0,"",Jan!$C$1)</f>
        <v xml:space="preserve">Fall Rate by Month </v>
      </c>
      <c r="C32" s="75"/>
      <c r="D32" s="75"/>
      <c r="E32" s="75"/>
      <c r="F32" s="75"/>
      <c r="G32" s="75"/>
      <c r="H32" s="75"/>
      <c r="I32" s="75"/>
      <c r="J32" s="75"/>
      <c r="K32" s="75"/>
      <c r="L32" s="75"/>
      <c r="M32" s="75"/>
      <c r="N32" s="75"/>
      <c r="O32" s="75"/>
    </row>
    <row r="33" spans="2:15" x14ac:dyDescent="0.25">
      <c r="B33" s="199"/>
      <c r="C33" s="200" t="s">
        <v>4</v>
      </c>
      <c r="D33" s="200" t="s">
        <v>5</v>
      </c>
      <c r="E33" s="200" t="s">
        <v>6</v>
      </c>
      <c r="F33" s="200" t="s">
        <v>7</v>
      </c>
      <c r="G33" s="200" t="s">
        <v>8</v>
      </c>
      <c r="H33" s="200" t="s">
        <v>9</v>
      </c>
      <c r="I33" s="200" t="s">
        <v>10</v>
      </c>
      <c r="J33" s="200" t="s">
        <v>11</v>
      </c>
      <c r="K33" s="200" t="s">
        <v>12</v>
      </c>
      <c r="L33" s="200" t="s">
        <v>13</v>
      </c>
      <c r="M33" s="200" t="s">
        <v>14</v>
      </c>
      <c r="N33" s="200" t="s">
        <v>15</v>
      </c>
      <c r="O33" s="200" t="s">
        <v>61</v>
      </c>
    </row>
    <row r="34" spans="2:15" x14ac:dyDescent="0.25">
      <c r="B34" s="201" t="s">
        <v>60</v>
      </c>
      <c r="C34" s="76" t="e">
        <f>IF('Fall Rate and Census'!$B$36="No Data",NA(),'Fall Rate and Census'!$B$36)</f>
        <v>#N/A</v>
      </c>
      <c r="D34" s="76" t="e">
        <f>IF('Fall Rate and Census'!$E$33="No Data",NA(),'Fall Rate and Census'!$E$33)</f>
        <v>#N/A</v>
      </c>
      <c r="E34" s="76" t="e">
        <f>IF('Fall Rate and Census'!$H$36="No Data",NA(),'Fall Rate and Census'!$H$36)</f>
        <v>#N/A</v>
      </c>
      <c r="F34" s="76" t="e">
        <f>IF('Fall Rate and Census'!$K$35="No Data",NA(),'Fall Rate and Census'!$K$35)</f>
        <v>#N/A</v>
      </c>
      <c r="G34" s="76" t="e">
        <f>IF('Fall Rate and Census'!$N$36="No Data",NA(),'Fall Rate and Census'!$N$36)</f>
        <v>#N/A</v>
      </c>
      <c r="H34" s="76" t="e">
        <f>IF('Fall Rate and Census'!$Q$35="No Data",NA(),'Fall Rate and Census'!$Q$35)</f>
        <v>#N/A</v>
      </c>
      <c r="I34" s="76" t="e">
        <f>IF('Fall Rate and Census'!$T$36="No Data",NA(),'Fall Rate and Census'!$T$36)</f>
        <v>#N/A</v>
      </c>
      <c r="J34" s="76" t="e">
        <f>IF('Fall Rate and Census'!$W$36="No Data",NA(),'Fall Rate and Census'!$W$36)</f>
        <v>#N/A</v>
      </c>
      <c r="K34" s="76" t="e">
        <f>IF('Fall Rate and Census'!$Z$35="No Data",NA(),'Fall Rate and Census'!$Z$35)</f>
        <v>#N/A</v>
      </c>
      <c r="L34" s="76" t="e">
        <f>IF('Fall Rate and Census'!$AC$36="No Data",NA(),'Fall Rate and Census'!$AC$36)</f>
        <v>#N/A</v>
      </c>
      <c r="M34" s="76" t="e">
        <f>IF('Fall Rate and Census'!$AF$35="No Data",NA(),'Fall Rate and Census'!$AF$35)</f>
        <v>#N/A</v>
      </c>
      <c r="N34" s="76" t="e">
        <f>IF('Fall Rate and Census'!$AI$36="No Data",NA(),'Fall Rate and Census'!$AI$36)</f>
        <v>#N/A</v>
      </c>
      <c r="O34" s="202" t="str">
        <f>IFERROR(_xlfn.AGGREGATE(1,6,C34:N34),"")</f>
        <v/>
      </c>
    </row>
    <row r="35" spans="2:15" x14ac:dyDescent="0.25">
      <c r="B35" s="203" t="s">
        <v>36</v>
      </c>
      <c r="C35" s="7">
        <v>2.1</v>
      </c>
      <c r="D35" s="7">
        <v>2.1</v>
      </c>
      <c r="E35" s="7">
        <v>2.1</v>
      </c>
      <c r="F35" s="7">
        <v>2.1</v>
      </c>
      <c r="G35" s="7">
        <v>2.1</v>
      </c>
      <c r="H35" s="7">
        <v>2.1</v>
      </c>
      <c r="I35" s="7">
        <v>2.1</v>
      </c>
      <c r="J35" s="7">
        <v>2.1</v>
      </c>
      <c r="K35" s="7">
        <v>2.1</v>
      </c>
      <c r="L35" s="7">
        <v>2.1</v>
      </c>
      <c r="M35" s="7">
        <v>2.1</v>
      </c>
      <c r="N35" s="7">
        <v>2.1</v>
      </c>
      <c r="O35" s="204">
        <f>AVERAGE(C35:N35)</f>
        <v>2.1000000000000005</v>
      </c>
    </row>
  </sheetData>
  <sheetProtection algorithmName="SHA-512" hashValue="JjCxJzH8N08S7cVyNEBa4zSGs7S+nphTWnBV90jHznXFeAXnUTQFkf1EfpuFLen52f8YRVPLcVPzLaKzqazqVQ==" saltValue="W5+oFrPO1Rl6zFtkIhkcpA==" spinCount="100000" sheet="1" formatCells="0" formatColumns="0" formatRows="0"/>
  <conditionalFormatting sqref="C4:N6">
    <cfRule type="expression" dxfId="22" priority="2">
      <formula>ISERROR(C4)</formula>
    </cfRule>
    <cfRule type="expression" dxfId="21" priority="3">
      <formula>ISERROR(C$5)</formula>
    </cfRule>
  </conditionalFormatting>
  <conditionalFormatting sqref="C7:N7">
    <cfRule type="expression" dxfId="20" priority="1">
      <formula>ISERROR(C7)</formula>
    </cfRule>
  </conditionalFormatting>
  <conditionalFormatting sqref="C34:N34">
    <cfRule type="expression" dxfId="19" priority="17">
      <formula>ISERROR(C$34)</formula>
    </cfRule>
  </conditionalFormatting>
  <printOptions horizontalCentered="1"/>
  <pageMargins left="0.25" right="0.25" top="0.25" bottom="0.25" header="0.3" footer="0.3"/>
  <pageSetup scale="88" fitToHeight="0" orientation="landscape" r:id="rId1"/>
  <colBreaks count="1" manualBreakCount="1">
    <brk id="16" max="1048575" man="1"/>
  </colBreaks>
  <ignoredErrors>
    <ignoredError sqref="D34" formula="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55A5CD-4F7A-4844-818B-58235E1E4126}">
  <sheetPr>
    <pageSetUpPr autoPageBreaks="0" fitToPage="1"/>
  </sheetPr>
  <dimension ref="A2:T153"/>
  <sheetViews>
    <sheetView showGridLines="0" zoomScaleNormal="100" workbookViewId="0"/>
  </sheetViews>
  <sheetFormatPr defaultRowHeight="15" x14ac:dyDescent="0.25"/>
  <cols>
    <col min="1" max="1" width="4" customWidth="1"/>
    <col min="2" max="2" width="13.28515625" customWidth="1"/>
    <col min="3" max="3" width="11.42578125" customWidth="1"/>
    <col min="4" max="5" width="9" customWidth="1"/>
    <col min="6" max="6" width="11.140625" customWidth="1"/>
    <col min="7" max="10" width="9.7109375" customWidth="1"/>
    <col min="11" max="11" width="10.28515625" customWidth="1"/>
    <col min="12" max="12" width="11.42578125" customWidth="1"/>
    <col min="13" max="13" width="11.140625" customWidth="1"/>
    <col min="14" max="14" width="11.28515625" customWidth="1"/>
    <col min="15" max="15" width="11.5703125" customWidth="1"/>
    <col min="16" max="16" width="9.7109375" customWidth="1"/>
    <col min="17" max="17" width="10.140625" customWidth="1"/>
    <col min="18" max="18" width="10.42578125" customWidth="1"/>
    <col min="19" max="19" width="10" customWidth="1"/>
    <col min="20" max="20" width="7.85546875" customWidth="1"/>
    <col min="21" max="21" width="1.28515625" customWidth="1"/>
    <col min="24" max="24" width="10.7109375" bestFit="1" customWidth="1"/>
    <col min="26" max="26" width="10.42578125" bestFit="1" customWidth="1"/>
    <col min="27" max="27" width="10.28515625" bestFit="1" customWidth="1"/>
  </cols>
  <sheetData>
    <row r="2" spans="2:16" x14ac:dyDescent="0.25">
      <c r="B2" s="77" t="str">
        <f>"BIMS Scores of Residents with Falls "&amp;IF(Jan!$C$1=0,"",Jan!$C$1)</f>
        <v xml:space="preserve">BIMS Scores of Residents with Falls </v>
      </c>
      <c r="C2" s="78"/>
      <c r="D2" s="78"/>
      <c r="E2" s="78"/>
      <c r="F2" s="78"/>
      <c r="G2" s="78"/>
      <c r="H2" s="78"/>
      <c r="I2" s="79"/>
      <c r="J2" s="79"/>
      <c r="K2" s="79"/>
      <c r="L2" s="79"/>
      <c r="M2" s="79"/>
      <c r="N2" s="79"/>
      <c r="O2" s="79"/>
      <c r="P2" s="79"/>
    </row>
    <row r="3" spans="2:16" x14ac:dyDescent="0.25">
      <c r="B3" s="80" t="s">
        <v>26</v>
      </c>
      <c r="C3" s="81"/>
      <c r="D3" s="82" t="s">
        <v>4</v>
      </c>
      <c r="E3" s="82" t="s">
        <v>5</v>
      </c>
      <c r="F3" s="82" t="s">
        <v>6</v>
      </c>
      <c r="G3" s="82" t="s">
        <v>7</v>
      </c>
      <c r="H3" s="82" t="s">
        <v>8</v>
      </c>
      <c r="I3" s="82" t="s">
        <v>9</v>
      </c>
      <c r="J3" s="82" t="s">
        <v>10</v>
      </c>
      <c r="K3" s="82" t="s">
        <v>11</v>
      </c>
      <c r="L3" s="82" t="s">
        <v>12</v>
      </c>
      <c r="M3" s="82" t="s">
        <v>13</v>
      </c>
      <c r="N3" s="82" t="s">
        <v>14</v>
      </c>
      <c r="O3" s="82" t="s">
        <v>15</v>
      </c>
      <c r="P3" s="82" t="s">
        <v>16</v>
      </c>
    </row>
    <row r="4" spans="2:16" x14ac:dyDescent="0.25">
      <c r="B4" s="83" t="s">
        <v>142</v>
      </c>
      <c r="C4" s="84"/>
      <c r="D4" s="76">
        <f>COUNTIFS(Jan[Cognitive Impairment],$B4)</f>
        <v>0</v>
      </c>
      <c r="E4" s="76">
        <f>COUNTIFS(Feb[Cognitive Impairment],$B4)</f>
        <v>0</v>
      </c>
      <c r="F4" s="76">
        <f>COUNTIFS(Mar[Cognitive Impairment],$B4)</f>
        <v>0</v>
      </c>
      <c r="G4" s="76">
        <f>COUNTIFS(Apr[Cognitive Impairment],$B4)</f>
        <v>0</v>
      </c>
      <c r="H4" s="76">
        <f>COUNTIFS(May[Cognitive Impairment],$B4)</f>
        <v>0</v>
      </c>
      <c r="I4" s="76">
        <f>COUNTIFS(June[Cognitive Impairment],$B4)</f>
        <v>0</v>
      </c>
      <c r="J4" s="76">
        <f>COUNTIFS(July[Cognitive Impairment],$B4)</f>
        <v>0</v>
      </c>
      <c r="K4" s="76">
        <f>COUNTIFS(Aug[Cognitive Impairment],$B4)</f>
        <v>0</v>
      </c>
      <c r="L4" s="76">
        <f>COUNTIFS(Sept[Cognitive Impairment],$B4)</f>
        <v>0</v>
      </c>
      <c r="M4" s="76">
        <f>COUNTIFS(Oct[Cognitive Impairment],$B4)</f>
        <v>0</v>
      </c>
      <c r="N4" s="76">
        <f>COUNTIFS(Nov[Cognitive Impairment],$B4)</f>
        <v>0</v>
      </c>
      <c r="O4" s="76">
        <f>COUNTIFS(Dec[Cognitive Impairment],$B4)</f>
        <v>0</v>
      </c>
      <c r="P4" s="85">
        <f>IF($B4="","",_xlfn.AGGREGATE(9,6,D4:O4))</f>
        <v>0</v>
      </c>
    </row>
    <row r="5" spans="2:16" x14ac:dyDescent="0.25">
      <c r="B5" s="83" t="s">
        <v>143</v>
      </c>
      <c r="C5" s="84"/>
      <c r="D5" s="76">
        <f>COUNTIFS(Jan[Cognitive Impairment],$B5)</f>
        <v>0</v>
      </c>
      <c r="E5" s="76">
        <f>COUNTIFS(Feb[Cognitive Impairment],$B5)</f>
        <v>0</v>
      </c>
      <c r="F5" s="76">
        <f>COUNTIFS(Mar[Cognitive Impairment],$B5)</f>
        <v>0</v>
      </c>
      <c r="G5" s="76">
        <f>COUNTIFS(Apr[Cognitive Impairment],$B5)</f>
        <v>0</v>
      </c>
      <c r="H5" s="76">
        <f>COUNTIFS(May[Cognitive Impairment],$B5)</f>
        <v>0</v>
      </c>
      <c r="I5" s="76">
        <f>COUNTIFS(June[Cognitive Impairment],$B5)</f>
        <v>0</v>
      </c>
      <c r="J5" s="76">
        <f>COUNTIFS(July[Cognitive Impairment],$B5)</f>
        <v>0</v>
      </c>
      <c r="K5" s="76">
        <f>COUNTIFS(Aug[Cognitive Impairment],$B5)</f>
        <v>0</v>
      </c>
      <c r="L5" s="76">
        <f>COUNTIFS(Sept[Cognitive Impairment],$B5)</f>
        <v>0</v>
      </c>
      <c r="M5" s="76">
        <f>COUNTIFS(Oct[Cognitive Impairment],$B5)</f>
        <v>0</v>
      </c>
      <c r="N5" s="76">
        <f>COUNTIFS(Nov[Cognitive Impairment],$B5)</f>
        <v>0</v>
      </c>
      <c r="O5" s="76">
        <f>COUNTIFS(Dec[Cognitive Impairment],$B5)</f>
        <v>0</v>
      </c>
      <c r="P5" s="85">
        <f t="shared" ref="P5:P6" si="0">IF($B5="","",_xlfn.AGGREGATE(9,6,D5:O5))</f>
        <v>0</v>
      </c>
    </row>
    <row r="6" spans="2:16" ht="15.75" thickBot="1" x14ac:dyDescent="0.3">
      <c r="B6" s="86" t="s">
        <v>144</v>
      </c>
      <c r="C6" s="87"/>
      <c r="D6" s="76">
        <f>COUNTIFS(Jan[Cognitive Impairment],$B6)</f>
        <v>0</v>
      </c>
      <c r="E6" s="76">
        <f>COUNTIFS(Feb[Cognitive Impairment],$B6)</f>
        <v>0</v>
      </c>
      <c r="F6" s="76">
        <f>COUNTIFS(Mar[Cognitive Impairment],$B6)</f>
        <v>0</v>
      </c>
      <c r="G6" s="76">
        <f>COUNTIFS(Apr[Cognitive Impairment],$B6)</f>
        <v>0</v>
      </c>
      <c r="H6" s="76">
        <f>COUNTIFS(May[Cognitive Impairment],$B6)</f>
        <v>0</v>
      </c>
      <c r="I6" s="76">
        <f>COUNTIFS(June[Cognitive Impairment],$B6)</f>
        <v>0</v>
      </c>
      <c r="J6" s="76">
        <f>COUNTIFS(July[Cognitive Impairment],$B6)</f>
        <v>0</v>
      </c>
      <c r="K6" s="76">
        <f>COUNTIFS(Aug[Cognitive Impairment],$B6)</f>
        <v>0</v>
      </c>
      <c r="L6" s="76">
        <f>COUNTIFS(Sept[Cognitive Impairment],$B6)</f>
        <v>0</v>
      </c>
      <c r="M6" s="76">
        <f>COUNTIFS(Oct[Cognitive Impairment],$B6)</f>
        <v>0</v>
      </c>
      <c r="N6" s="76">
        <f>COUNTIFS(Nov[Cognitive Impairment],$B6)</f>
        <v>0</v>
      </c>
      <c r="O6" s="76">
        <f>COUNTIFS(Dec[Cognitive Impairment],$B6)</f>
        <v>0</v>
      </c>
      <c r="P6" s="85">
        <f t="shared" si="0"/>
        <v>0</v>
      </c>
    </row>
    <row r="7" spans="2:16" x14ac:dyDescent="0.25">
      <c r="B7" s="88" t="s">
        <v>35</v>
      </c>
      <c r="C7" s="69"/>
      <c r="D7" s="85">
        <f>SUM(D4:D6)</f>
        <v>0</v>
      </c>
      <c r="E7" s="85">
        <f t="shared" ref="E7:O7" si="1">SUM(E4:E6)</f>
        <v>0</v>
      </c>
      <c r="F7" s="85">
        <f t="shared" si="1"/>
        <v>0</v>
      </c>
      <c r="G7" s="85">
        <f t="shared" si="1"/>
        <v>0</v>
      </c>
      <c r="H7" s="85">
        <f t="shared" si="1"/>
        <v>0</v>
      </c>
      <c r="I7" s="85">
        <f t="shared" si="1"/>
        <v>0</v>
      </c>
      <c r="J7" s="85">
        <f t="shared" si="1"/>
        <v>0</v>
      </c>
      <c r="K7" s="85">
        <f t="shared" si="1"/>
        <v>0</v>
      </c>
      <c r="L7" s="85">
        <f t="shared" si="1"/>
        <v>0</v>
      </c>
      <c r="M7" s="85">
        <f t="shared" si="1"/>
        <v>0</v>
      </c>
      <c r="N7" s="85">
        <f t="shared" si="1"/>
        <v>0</v>
      </c>
      <c r="O7" s="85">
        <f t="shared" si="1"/>
        <v>0</v>
      </c>
      <c r="P7" s="85">
        <f>SUM(P4:P6)</f>
        <v>0</v>
      </c>
    </row>
    <row r="8" spans="2:16" x14ac:dyDescent="0.25">
      <c r="B8" s="89"/>
      <c r="C8" s="89"/>
    </row>
    <row r="9" spans="2:16" x14ac:dyDescent="0.25">
      <c r="B9" s="75" t="s">
        <v>44</v>
      </c>
      <c r="C9" s="75"/>
      <c r="D9" s="90"/>
    </row>
    <row r="10" spans="2:16" x14ac:dyDescent="0.25">
      <c r="B10" s="80" t="s">
        <v>45</v>
      </c>
      <c r="C10" s="81"/>
      <c r="D10" s="82" t="s">
        <v>35</v>
      </c>
    </row>
    <row r="11" spans="2:16" x14ac:dyDescent="0.25">
      <c r="B11" s="83" t="s">
        <v>29</v>
      </c>
      <c r="C11" s="84"/>
      <c r="D11" s="76">
        <f>$P$4</f>
        <v>0</v>
      </c>
    </row>
    <row r="12" spans="2:16" x14ac:dyDescent="0.25">
      <c r="B12" s="83" t="s">
        <v>31</v>
      </c>
      <c r="C12" s="84"/>
      <c r="D12" s="76">
        <f>$P$5</f>
        <v>0</v>
      </c>
    </row>
    <row r="13" spans="2:16" ht="15.75" thickBot="1" x14ac:dyDescent="0.3">
      <c r="B13" s="86" t="s">
        <v>32</v>
      </c>
      <c r="C13" s="87"/>
      <c r="D13" s="76">
        <f>$P$6</f>
        <v>0</v>
      </c>
    </row>
    <row r="14" spans="2:16" x14ac:dyDescent="0.25">
      <c r="B14" s="91" t="s">
        <v>35</v>
      </c>
      <c r="C14" s="92"/>
      <c r="D14" s="93">
        <f>SUM(D11:D13)</f>
        <v>0</v>
      </c>
    </row>
    <row r="16" spans="2:16" x14ac:dyDescent="0.25">
      <c r="B16" s="77" t="str">
        <f>"Fall Circumstances "&amp;IF(Jan!$C$1=0,"",Jan!$C$1)</f>
        <v xml:space="preserve">Fall Circumstances </v>
      </c>
      <c r="C16" s="78"/>
      <c r="D16" s="78"/>
      <c r="E16" s="78"/>
      <c r="F16" s="78"/>
      <c r="G16" s="78"/>
      <c r="H16" s="78"/>
      <c r="I16" s="79"/>
      <c r="J16" s="79"/>
      <c r="K16" s="79"/>
      <c r="L16" s="79"/>
      <c r="M16" s="79"/>
      <c r="N16" s="79"/>
      <c r="O16" s="79"/>
      <c r="P16" s="79"/>
    </row>
    <row r="17" spans="1:20" x14ac:dyDescent="0.25">
      <c r="B17" s="80" t="s">
        <v>100</v>
      </c>
      <c r="C17" s="81"/>
      <c r="D17" s="82" t="s">
        <v>4</v>
      </c>
      <c r="E17" s="82" t="s">
        <v>5</v>
      </c>
      <c r="F17" s="82" t="s">
        <v>6</v>
      </c>
      <c r="G17" s="82" t="s">
        <v>7</v>
      </c>
      <c r="H17" s="82" t="s">
        <v>8</v>
      </c>
      <c r="I17" s="82" t="s">
        <v>9</v>
      </c>
      <c r="J17" s="82" t="s">
        <v>10</v>
      </c>
      <c r="K17" s="82" t="s">
        <v>11</v>
      </c>
      <c r="L17" s="82" t="s">
        <v>12</v>
      </c>
      <c r="M17" s="82" t="s">
        <v>13</v>
      </c>
      <c r="N17" s="82" t="s">
        <v>14</v>
      </c>
      <c r="O17" s="82" t="s">
        <v>15</v>
      </c>
      <c r="P17" s="82" t="s">
        <v>16</v>
      </c>
    </row>
    <row r="18" spans="1:20" x14ac:dyDescent="0.25">
      <c r="B18" s="83" t="s">
        <v>79</v>
      </c>
      <c r="C18" s="84"/>
      <c r="D18" s="76">
        <f>COUNTIFS(Jan[Fall Circumstances],$B18)</f>
        <v>0</v>
      </c>
      <c r="E18" s="76">
        <f>COUNTIFS(Feb[Fall Circumstances],$B18)</f>
        <v>0</v>
      </c>
      <c r="F18" s="76">
        <f>COUNTIFS(Mar[Fall Circumstances],$B18)</f>
        <v>0</v>
      </c>
      <c r="G18" s="76">
        <f>COUNTIFS(Apr[Fall Circumstances],$B18)</f>
        <v>0</v>
      </c>
      <c r="H18" s="76">
        <f>COUNTIFS(May[Fall Circumstances],$B18)</f>
        <v>0</v>
      </c>
      <c r="I18" s="76">
        <f>COUNTIFS(June[Fall Circumstances],$B18)</f>
        <v>0</v>
      </c>
      <c r="J18" s="76">
        <f>COUNTIFS(July[Fall Circumstances],$B18)</f>
        <v>0</v>
      </c>
      <c r="K18" s="76">
        <f>COUNTIFS(Aug[Fall Circumstances],$B18)</f>
        <v>0</v>
      </c>
      <c r="L18" s="76">
        <f>COUNTIFS(Sept[Fall Circumstances],$B18)</f>
        <v>0</v>
      </c>
      <c r="M18" s="76">
        <f>COUNTIFS(Oct[Fall Circumstances],$B18)</f>
        <v>0</v>
      </c>
      <c r="N18" s="76">
        <f>COUNTIFS(Nov[Fall Circumstances],$B18)</f>
        <v>0</v>
      </c>
      <c r="O18" s="76">
        <f>COUNTIFS(Dec[Fall Circumstances],$B18)</f>
        <v>0</v>
      </c>
      <c r="P18" s="85">
        <f>IF($B18="","",_xlfn.AGGREGATE(9,6,D18:O18))</f>
        <v>0</v>
      </c>
    </row>
    <row r="19" spans="1:20" x14ac:dyDescent="0.25">
      <c r="B19" s="83" t="s">
        <v>101</v>
      </c>
      <c r="C19" s="84"/>
      <c r="D19" s="76">
        <f>COUNTIFS(Jan[Fall Circumstances],$B19)</f>
        <v>0</v>
      </c>
      <c r="E19" s="76">
        <f>COUNTIFS(Feb[Fall Circumstances],$B19)</f>
        <v>0</v>
      </c>
      <c r="F19" s="76">
        <f>COUNTIFS(Mar[Fall Circumstances],$B19)</f>
        <v>0</v>
      </c>
      <c r="G19" s="76">
        <f>COUNTIFS(Apr[Fall Circumstances],$B19)</f>
        <v>0</v>
      </c>
      <c r="H19" s="76">
        <f>COUNTIFS(May[Fall Circumstances],$B19)</f>
        <v>0</v>
      </c>
      <c r="I19" s="76">
        <f>COUNTIFS(June[Fall Circumstances],$B19)</f>
        <v>0</v>
      </c>
      <c r="J19" s="76">
        <f>COUNTIFS(July[Fall Circumstances],$B19)</f>
        <v>0</v>
      </c>
      <c r="K19" s="76">
        <f>COUNTIFS(Aug[Fall Circumstances],$B19)</f>
        <v>0</v>
      </c>
      <c r="L19" s="76">
        <f>COUNTIFS(Sept[Fall Circumstances],$B19)</f>
        <v>0</v>
      </c>
      <c r="M19" s="76">
        <f>COUNTIFS(Oct[Fall Circumstances],$B19)</f>
        <v>0</v>
      </c>
      <c r="N19" s="76">
        <f>COUNTIFS(Nov[Fall Circumstances],$B19)</f>
        <v>0</v>
      </c>
      <c r="O19" s="76">
        <f>COUNTIFS(Dec[Fall Circumstances],$B19)</f>
        <v>0</v>
      </c>
      <c r="P19" s="85">
        <f t="shared" ref="P19:P20" si="2">IF($B19="","",_xlfn.AGGREGATE(9,6,D19:O19))</f>
        <v>0</v>
      </c>
    </row>
    <row r="20" spans="1:20" ht="15.75" thickBot="1" x14ac:dyDescent="0.3">
      <c r="B20" s="86" t="s">
        <v>102</v>
      </c>
      <c r="C20" s="87"/>
      <c r="D20" s="76">
        <f>COUNTIFS(Jan[Fall Circumstances],$B20)</f>
        <v>0</v>
      </c>
      <c r="E20" s="76">
        <f>COUNTIFS(Feb[Fall Circumstances],$B20)</f>
        <v>0</v>
      </c>
      <c r="F20" s="76">
        <f>COUNTIFS(Mar[Fall Circumstances],$B20)</f>
        <v>0</v>
      </c>
      <c r="G20" s="76">
        <f>COUNTIFS(Apr[Fall Circumstances],$B20)</f>
        <v>0</v>
      </c>
      <c r="H20" s="76">
        <f>COUNTIFS(May[Fall Circumstances],$B20)</f>
        <v>0</v>
      </c>
      <c r="I20" s="76">
        <f>COUNTIFS(June[Fall Circumstances],$B20)</f>
        <v>0</v>
      </c>
      <c r="J20" s="76">
        <f>COUNTIFS(July[Fall Circumstances],$B20)</f>
        <v>0</v>
      </c>
      <c r="K20" s="76">
        <f>COUNTIFS(Aug[Fall Circumstances],$B20)</f>
        <v>0</v>
      </c>
      <c r="L20" s="76">
        <f>COUNTIFS(Sept[Fall Circumstances],$B20)</f>
        <v>0</v>
      </c>
      <c r="M20" s="76">
        <f>COUNTIFS(Oct[Fall Circumstances],$B20)</f>
        <v>0</v>
      </c>
      <c r="N20" s="76">
        <f>COUNTIFS(Nov[Fall Circumstances],$B20)</f>
        <v>0</v>
      </c>
      <c r="O20" s="76">
        <f>COUNTIFS(Dec[Fall Circumstances],$B20)</f>
        <v>0</v>
      </c>
      <c r="P20" s="85">
        <f t="shared" si="2"/>
        <v>0</v>
      </c>
    </row>
    <row r="21" spans="1:20" x14ac:dyDescent="0.25">
      <c r="B21" s="94" t="s">
        <v>35</v>
      </c>
      <c r="C21" s="92"/>
      <c r="D21" s="85">
        <f>SUM(D18:D20)</f>
        <v>0</v>
      </c>
      <c r="E21" s="85">
        <f t="shared" ref="E21:O21" si="3">SUM(E18:E20)</f>
        <v>0</v>
      </c>
      <c r="F21" s="85">
        <f t="shared" si="3"/>
        <v>0</v>
      </c>
      <c r="G21" s="85">
        <f t="shared" si="3"/>
        <v>0</v>
      </c>
      <c r="H21" s="85">
        <f t="shared" si="3"/>
        <v>0</v>
      </c>
      <c r="I21" s="85">
        <f t="shared" si="3"/>
        <v>0</v>
      </c>
      <c r="J21" s="85">
        <f t="shared" si="3"/>
        <v>0</v>
      </c>
      <c r="K21" s="85">
        <f t="shared" si="3"/>
        <v>0</v>
      </c>
      <c r="L21" s="85">
        <f t="shared" si="3"/>
        <v>0</v>
      </c>
      <c r="M21" s="85">
        <f t="shared" si="3"/>
        <v>0</v>
      </c>
      <c r="N21" s="85">
        <f t="shared" si="3"/>
        <v>0</v>
      </c>
      <c r="O21" s="85">
        <f t="shared" si="3"/>
        <v>0</v>
      </c>
      <c r="P21" s="85">
        <f>SUM(P18:P20)</f>
        <v>0</v>
      </c>
    </row>
    <row r="22" spans="1:20" x14ac:dyDescent="0.25">
      <c r="B22" s="89"/>
      <c r="C22" s="89"/>
    </row>
    <row r="23" spans="1:20" x14ac:dyDescent="0.25">
      <c r="B23" s="75" t="s">
        <v>100</v>
      </c>
      <c r="C23" s="75"/>
      <c r="D23" s="75"/>
      <c r="Q23" s="21"/>
    </row>
    <row r="24" spans="1:20" x14ac:dyDescent="0.25">
      <c r="B24" s="80" t="s">
        <v>100</v>
      </c>
      <c r="C24" s="81"/>
      <c r="D24" s="95" t="s">
        <v>35</v>
      </c>
    </row>
    <row r="25" spans="1:20" x14ac:dyDescent="0.25">
      <c r="A25" s="96"/>
      <c r="B25" s="84" t="s">
        <v>79</v>
      </c>
      <c r="C25" s="84"/>
      <c r="D25" s="97">
        <f>$P$18</f>
        <v>0</v>
      </c>
    </row>
    <row r="26" spans="1:20" x14ac:dyDescent="0.25">
      <c r="A26" s="96"/>
      <c r="B26" s="84" t="s">
        <v>101</v>
      </c>
      <c r="C26" s="84"/>
      <c r="D26" s="97">
        <f>$P$19</f>
        <v>0</v>
      </c>
    </row>
    <row r="27" spans="1:20" ht="15.75" thickBot="1" x14ac:dyDescent="0.3">
      <c r="A27" s="96"/>
      <c r="B27" s="87" t="s">
        <v>102</v>
      </c>
      <c r="C27" s="87"/>
      <c r="D27" s="98">
        <f>$P$20</f>
        <v>0</v>
      </c>
    </row>
    <row r="28" spans="1:20" ht="15.6" customHeight="1" x14ac:dyDescent="0.25">
      <c r="A28" s="96"/>
      <c r="B28" s="94" t="s">
        <v>16</v>
      </c>
      <c r="C28" s="99"/>
      <c r="D28" s="100">
        <f>SUM(D25:D27)</f>
        <v>0</v>
      </c>
    </row>
    <row r="29" spans="1:20" x14ac:dyDescent="0.25">
      <c r="B29" s="26"/>
      <c r="C29" s="21"/>
      <c r="D29" s="22"/>
      <c r="Q29" s="21"/>
      <c r="T29" s="22"/>
    </row>
    <row r="30" spans="1:20" x14ac:dyDescent="0.25">
      <c r="B30" s="77" t="str">
        <f>"Witnessed Falls "&amp;IF(Jan!$C$1=0,"",Jan!$C$1)</f>
        <v xml:space="preserve">Witnessed Falls </v>
      </c>
      <c r="C30" s="78"/>
      <c r="D30" s="78"/>
      <c r="E30" s="78"/>
      <c r="F30" s="78"/>
      <c r="G30" s="78"/>
      <c r="H30" s="78"/>
      <c r="I30" s="79"/>
      <c r="J30" s="79"/>
      <c r="K30" s="79"/>
      <c r="L30" s="79"/>
      <c r="M30" s="79"/>
      <c r="N30" s="79"/>
      <c r="O30" s="79"/>
      <c r="P30" s="79"/>
    </row>
    <row r="31" spans="1:20" x14ac:dyDescent="0.25">
      <c r="B31" s="80" t="s">
        <v>40</v>
      </c>
      <c r="C31" s="81"/>
      <c r="D31" s="82" t="s">
        <v>4</v>
      </c>
      <c r="E31" s="82" t="s">
        <v>5</v>
      </c>
      <c r="F31" s="82" t="s">
        <v>6</v>
      </c>
      <c r="G31" s="82" t="s">
        <v>7</v>
      </c>
      <c r="H31" s="82" t="s">
        <v>8</v>
      </c>
      <c r="I31" s="82" t="s">
        <v>9</v>
      </c>
      <c r="J31" s="82" t="s">
        <v>10</v>
      </c>
      <c r="K31" s="82" t="s">
        <v>11</v>
      </c>
      <c r="L31" s="82" t="s">
        <v>12</v>
      </c>
      <c r="M31" s="82" t="s">
        <v>13</v>
      </c>
      <c r="N31" s="82" t="s">
        <v>14</v>
      </c>
      <c r="O31" s="82" t="s">
        <v>15</v>
      </c>
      <c r="P31" s="82" t="s">
        <v>16</v>
      </c>
    </row>
    <row r="32" spans="1:20" x14ac:dyDescent="0.25">
      <c r="B32" s="83" t="s">
        <v>41</v>
      </c>
      <c r="C32" s="84"/>
      <c r="D32" s="76">
        <f>COUNTIFS(Jan[Witnessed
Fall?],$B32)</f>
        <v>0</v>
      </c>
      <c r="E32" s="76">
        <f>COUNTIFS(Feb[Witnessed
Fall?],$B32)</f>
        <v>0</v>
      </c>
      <c r="F32" s="76">
        <f>COUNTIFS(Mar[Witnessed
Fall?],$B32)</f>
        <v>0</v>
      </c>
      <c r="G32" s="76">
        <f>COUNTIFS(Apr[Witnessed
Fall?],$B32)</f>
        <v>0</v>
      </c>
      <c r="H32" s="76">
        <f>COUNTIFS(May[Witnessed
Fall?],$B32)</f>
        <v>0</v>
      </c>
      <c r="I32" s="76">
        <f>COUNTIFS(June[Witnessed
Fall?],$B32)</f>
        <v>0</v>
      </c>
      <c r="J32" s="76">
        <f>COUNTIFS(July[Witnessed
Fall?],$B32)</f>
        <v>0</v>
      </c>
      <c r="K32" s="76">
        <f>COUNTIFS(Aug[Witnessed
Fall?],$B32)</f>
        <v>0</v>
      </c>
      <c r="L32" s="76">
        <f>COUNTIFS(Sept[Witnessed
Fall?],$B32)</f>
        <v>0</v>
      </c>
      <c r="M32" s="76">
        <f>COUNTIFS(Oct[Witnessed
Fall?],$B32)</f>
        <v>0</v>
      </c>
      <c r="N32" s="76">
        <f>COUNTIFS(Nov[Witnessed
Fall?],$B32)</f>
        <v>0</v>
      </c>
      <c r="O32" s="76">
        <f>COUNTIFS(Dec[Witnessed
Fall?],$B32)</f>
        <v>0</v>
      </c>
      <c r="P32" s="85">
        <f>IF($B32="","",_xlfn.AGGREGATE(9,6,D32:O32))</f>
        <v>0</v>
      </c>
    </row>
    <row r="33" spans="2:20" ht="15.75" thickBot="1" x14ac:dyDescent="0.3">
      <c r="B33" s="83" t="s">
        <v>42</v>
      </c>
      <c r="C33" s="84"/>
      <c r="D33" s="76">
        <f>COUNTIFS(Jan[Witnessed
Fall?],$B33)</f>
        <v>0</v>
      </c>
      <c r="E33" s="76">
        <f>COUNTIFS(Feb[Witnessed
Fall?],$B33)</f>
        <v>0</v>
      </c>
      <c r="F33" s="76">
        <f>COUNTIFS(Mar[Witnessed
Fall?],$B33)</f>
        <v>0</v>
      </c>
      <c r="G33" s="76">
        <f>COUNTIFS(Apr[Witnessed
Fall?],$B33)</f>
        <v>0</v>
      </c>
      <c r="H33" s="76">
        <f>COUNTIFS(May[Witnessed
Fall?],$B33)</f>
        <v>0</v>
      </c>
      <c r="I33" s="76">
        <f>COUNTIFS(June[Witnessed
Fall?],$B33)</f>
        <v>0</v>
      </c>
      <c r="J33" s="76">
        <f>COUNTIFS(July[Witnessed
Fall?],$B33)</f>
        <v>0</v>
      </c>
      <c r="K33" s="76">
        <f>COUNTIFS(Aug[Witnessed
Fall?],$B33)</f>
        <v>0</v>
      </c>
      <c r="L33" s="76">
        <f>COUNTIFS(Sept[Witnessed
Fall?],$B33)</f>
        <v>0</v>
      </c>
      <c r="M33" s="76">
        <f>COUNTIFS(Oct[Witnessed
Fall?],$B33)</f>
        <v>0</v>
      </c>
      <c r="N33" s="76">
        <f>COUNTIFS(Nov[Witnessed
Fall?],$B33)</f>
        <v>0</v>
      </c>
      <c r="O33" s="76">
        <f>COUNTIFS(Dec[Witnessed
Fall?],$B33)</f>
        <v>0</v>
      </c>
      <c r="P33" s="85">
        <f>IF($B33="","",_xlfn.AGGREGATE(9,6,D33:O33))</f>
        <v>0</v>
      </c>
    </row>
    <row r="34" spans="2:20" x14ac:dyDescent="0.25">
      <c r="B34" s="94" t="s">
        <v>16</v>
      </c>
      <c r="C34" s="99"/>
      <c r="D34" s="85">
        <f t="shared" ref="D34:P34" si="4">SUM(D32:D33)</f>
        <v>0</v>
      </c>
      <c r="E34" s="85">
        <f t="shared" si="4"/>
        <v>0</v>
      </c>
      <c r="F34" s="85">
        <f t="shared" si="4"/>
        <v>0</v>
      </c>
      <c r="G34" s="85">
        <f t="shared" si="4"/>
        <v>0</v>
      </c>
      <c r="H34" s="85">
        <f t="shared" si="4"/>
        <v>0</v>
      </c>
      <c r="I34" s="85">
        <f t="shared" si="4"/>
        <v>0</v>
      </c>
      <c r="J34" s="85">
        <f t="shared" si="4"/>
        <v>0</v>
      </c>
      <c r="K34" s="85">
        <f t="shared" si="4"/>
        <v>0</v>
      </c>
      <c r="L34" s="85">
        <f t="shared" si="4"/>
        <v>0</v>
      </c>
      <c r="M34" s="85">
        <f t="shared" si="4"/>
        <v>0</v>
      </c>
      <c r="N34" s="85">
        <f t="shared" si="4"/>
        <v>0</v>
      </c>
      <c r="O34" s="85">
        <f t="shared" si="4"/>
        <v>0</v>
      </c>
      <c r="P34" s="85">
        <f t="shared" si="4"/>
        <v>0</v>
      </c>
    </row>
    <row r="35" spans="2:20" ht="15" customHeight="1" x14ac:dyDescent="0.25"/>
    <row r="36" spans="2:20" ht="18.75" customHeight="1" x14ac:dyDescent="0.25">
      <c r="B36" s="101" t="s">
        <v>85</v>
      </c>
      <c r="C36" s="102"/>
      <c r="F36" s="26"/>
      <c r="G36" s="21"/>
      <c r="H36" s="22"/>
      <c r="I36" s="26"/>
      <c r="Q36" s="21"/>
      <c r="T36" s="22"/>
    </row>
    <row r="37" spans="2:20" x14ac:dyDescent="0.25">
      <c r="B37" s="103" t="s">
        <v>83</v>
      </c>
      <c r="C37" s="104" t="s">
        <v>35</v>
      </c>
      <c r="F37" s="26"/>
      <c r="G37" s="21"/>
      <c r="H37" s="22"/>
      <c r="I37" s="26"/>
      <c r="Q37" s="21"/>
      <c r="T37" s="22"/>
    </row>
    <row r="38" spans="2:20" x14ac:dyDescent="0.25">
      <c r="B38" s="105" t="s">
        <v>41</v>
      </c>
      <c r="C38" s="106">
        <f>$P$32</f>
        <v>0</v>
      </c>
    </row>
    <row r="39" spans="2:20" ht="15.75" thickBot="1" x14ac:dyDescent="0.3">
      <c r="B39" s="107" t="s">
        <v>42</v>
      </c>
      <c r="C39" s="108">
        <f>$P$33</f>
        <v>0</v>
      </c>
    </row>
    <row r="40" spans="2:20" x14ac:dyDescent="0.25">
      <c r="B40" s="100" t="s">
        <v>16</v>
      </c>
      <c r="C40" s="109">
        <f>SUM(C38:C39)</f>
        <v>0</v>
      </c>
    </row>
    <row r="43" spans="2:20" x14ac:dyDescent="0.25">
      <c r="B43" s="110" t="str">
        <f>"Falls by Activity "&amp;IF(Jan!$C$1=0,"",Jan!$C$1)</f>
        <v xml:space="preserve">Falls by Activity </v>
      </c>
      <c r="C43" s="111"/>
      <c r="D43" s="111"/>
      <c r="E43" s="111"/>
      <c r="F43" s="111"/>
      <c r="G43" s="78"/>
      <c r="H43" s="78"/>
      <c r="I43" s="78"/>
      <c r="J43" s="78"/>
      <c r="K43" s="78"/>
      <c r="L43" s="79"/>
      <c r="M43" s="79"/>
      <c r="N43" s="79"/>
      <c r="O43" s="79"/>
      <c r="P43" s="79"/>
      <c r="Q43" s="79"/>
      <c r="R43" s="79"/>
      <c r="S43" s="79"/>
    </row>
    <row r="44" spans="2:20" x14ac:dyDescent="0.25">
      <c r="B44" s="112" t="s">
        <v>86</v>
      </c>
      <c r="C44" s="113"/>
      <c r="D44" s="113"/>
      <c r="E44" s="113"/>
      <c r="F44" s="114"/>
      <c r="G44" s="115" t="s">
        <v>4</v>
      </c>
      <c r="H44" s="82" t="s">
        <v>5</v>
      </c>
      <c r="I44" s="82" t="s">
        <v>6</v>
      </c>
      <c r="J44" s="82" t="s">
        <v>7</v>
      </c>
      <c r="K44" s="82" t="s">
        <v>8</v>
      </c>
      <c r="L44" s="82" t="s">
        <v>9</v>
      </c>
      <c r="M44" s="82" t="s">
        <v>10</v>
      </c>
      <c r="N44" s="82" t="s">
        <v>11</v>
      </c>
      <c r="O44" s="82" t="s">
        <v>12</v>
      </c>
      <c r="P44" s="82" t="s">
        <v>13</v>
      </c>
      <c r="Q44" s="82" t="s">
        <v>14</v>
      </c>
      <c r="R44" s="82" t="s">
        <v>15</v>
      </c>
      <c r="S44" s="82" t="s">
        <v>16</v>
      </c>
    </row>
    <row r="45" spans="2:20" x14ac:dyDescent="0.25">
      <c r="B45" s="116" t="str" cm="1">
        <f t="array" ref="B45:B68">IF(_xlfn._xlws.SORT(PriortoFall[What was the resident doing prior to fall?],1,1,TRUE)=0,"",(_xlfn._xlws.SORT(PriortoFall[What was the resident doing prior to fall?],1,1,TRUE)))</f>
        <v>Ambulating with assistive device (walker, cane, wheelchair)</v>
      </c>
      <c r="C45" s="117"/>
      <c r="D45" s="117"/>
      <c r="E45" s="117"/>
      <c r="F45" s="118"/>
      <c r="G45" s="119">
        <f>IF($B45="","",COUNTIFS(Jan[What was resident doing prior to fall?],$B45))</f>
        <v>0</v>
      </c>
      <c r="H45" s="119">
        <f>IF($B45="","",COUNTIFS(Feb[What was resident doing prior to fall?],$B45))</f>
        <v>0</v>
      </c>
      <c r="I45" s="119">
        <f>IF($B45="","",COUNTIFS(Mar[What was resident doing prior to fall?],$B45))</f>
        <v>0</v>
      </c>
      <c r="J45" s="119">
        <f>IF($B45="","",COUNTIFS(Apr[What was resident doing prior to fall?],$B45))</f>
        <v>0</v>
      </c>
      <c r="K45" s="119">
        <f>IF($B45="","",COUNTIFS(May[What was resident doing prior to fall?],$B45))</f>
        <v>0</v>
      </c>
      <c r="L45" s="119">
        <f>IF($B45="","",COUNTIFS(June[What was resident doing prior to fall?],$B45))</f>
        <v>0</v>
      </c>
      <c r="M45" s="119">
        <f>IF($B45="","",COUNTIFS(July[What was resident doing prior to fall?],$B45))</f>
        <v>0</v>
      </c>
      <c r="N45" s="119">
        <f>IF($B45="","",COUNTIFS(Aug[What was resident doing prior to fall?],$B45))</f>
        <v>0</v>
      </c>
      <c r="O45" s="119">
        <f>IF($B45="","",COUNTIFS(Sept[What was resident doing prior to fall?],$B45))</f>
        <v>0</v>
      </c>
      <c r="P45" s="119">
        <f>IF($B45="","",COUNTIFS(Oct[What was resident doing prior to fall?],$B45))</f>
        <v>0</v>
      </c>
      <c r="Q45" s="119">
        <f>IF($B45="","",COUNTIFS(Nov[What was resident doing prior to fall?],$B45))</f>
        <v>0</v>
      </c>
      <c r="R45" s="119">
        <f>IF($B45="","",COUNTIFS(Dec[What was resident doing prior to fall?],$B45))</f>
        <v>0</v>
      </c>
      <c r="S45" s="85">
        <f>IF($B45="","",_xlfn.AGGREGATE(9,6,G45:R45))</f>
        <v>0</v>
      </c>
    </row>
    <row r="46" spans="2:20" x14ac:dyDescent="0.25">
      <c r="B46" s="116" t="str">
        <v>Ambulating with staff assistance</v>
      </c>
      <c r="C46" s="117"/>
      <c r="D46" s="117"/>
      <c r="E46" s="117"/>
      <c r="F46" s="118"/>
      <c r="G46" s="119">
        <f>IF($B46="","",COUNTIFS(Jan[What was resident doing prior to fall?],$B46))</f>
        <v>0</v>
      </c>
      <c r="H46" s="119">
        <f>IF($B46="","",COUNTIFS(Feb[What was resident doing prior to fall?],$B46))</f>
        <v>0</v>
      </c>
      <c r="I46" s="119">
        <f>IF($B46="","",COUNTIFS(Mar[What was resident doing prior to fall?],$B46))</f>
        <v>0</v>
      </c>
      <c r="J46" s="119">
        <f>IF($B46="","",COUNTIFS(Apr[What was resident doing prior to fall?],$B46))</f>
        <v>0</v>
      </c>
      <c r="K46" s="119">
        <f>IF($B46="","",COUNTIFS(May[What was resident doing prior to fall?],$B46))</f>
        <v>0</v>
      </c>
      <c r="L46" s="119">
        <f>IF($B46="","",COUNTIFS(June[What was resident doing prior to fall?],$B46))</f>
        <v>0</v>
      </c>
      <c r="M46" s="119">
        <f>IF($B46="","",COUNTIFS(July[What was resident doing prior to fall?],$B46))</f>
        <v>0</v>
      </c>
      <c r="N46" s="119">
        <f>IF($B46="","",COUNTIFS(Aug[What was resident doing prior to fall?],$B46))</f>
        <v>0</v>
      </c>
      <c r="O46" s="119">
        <f>IF($B46="","",COUNTIFS(Sept[What was resident doing prior to fall?],$B46))</f>
        <v>0</v>
      </c>
      <c r="P46" s="119">
        <f>IF($B46="","",COUNTIFS(Oct[What was resident doing prior to fall?],$B46))</f>
        <v>0</v>
      </c>
      <c r="Q46" s="119">
        <f>IF($B46="","",COUNTIFS(Nov[What was resident doing prior to fall?],$B46))</f>
        <v>0</v>
      </c>
      <c r="R46" s="119">
        <f>IF($B46="","",COUNTIFS(Dec[What was resident doing prior to fall?],$B46))</f>
        <v>0</v>
      </c>
      <c r="S46" s="85">
        <f>IF($B46="","",_xlfn.AGGREGATE(9,6,G46:R46))</f>
        <v>0</v>
      </c>
    </row>
    <row r="47" spans="2:20" x14ac:dyDescent="0.25">
      <c r="B47" s="116" t="str">
        <v>Ambulating without assistance or assistive device</v>
      </c>
      <c r="C47" s="117"/>
      <c r="D47" s="117"/>
      <c r="E47" s="117"/>
      <c r="F47" s="118"/>
      <c r="G47" s="119">
        <f>IF($B47="","",COUNTIFS(Jan[What was resident doing prior to fall?],$B47))</f>
        <v>0</v>
      </c>
      <c r="H47" s="119">
        <f>IF($B47="","",COUNTIFS(Feb[What was resident doing prior to fall?],$B47))</f>
        <v>0</v>
      </c>
      <c r="I47" s="119">
        <f>IF($B47="","",COUNTIFS(Mar[What was resident doing prior to fall?],$B47))</f>
        <v>0</v>
      </c>
      <c r="J47" s="119">
        <f>IF($B47="","",COUNTIFS(Apr[What was resident doing prior to fall?],$B47))</f>
        <v>0</v>
      </c>
      <c r="K47" s="119">
        <f>IF($B47="","",COUNTIFS(May[What was resident doing prior to fall?],$B47))</f>
        <v>0</v>
      </c>
      <c r="L47" s="119">
        <f>IF($B47="","",COUNTIFS(June[What was resident doing prior to fall?],$B47))</f>
        <v>0</v>
      </c>
      <c r="M47" s="119">
        <f>IF($B47="","",COUNTIFS(July[What was resident doing prior to fall?],$B47))</f>
        <v>0</v>
      </c>
      <c r="N47" s="119">
        <f>IF($B47="","",COUNTIFS(Aug[What was resident doing prior to fall?],$B47))</f>
        <v>0</v>
      </c>
      <c r="O47" s="119">
        <f>IF($B47="","",COUNTIFS(Sept[What was resident doing prior to fall?],$B47))</f>
        <v>0</v>
      </c>
      <c r="P47" s="119">
        <f>IF($B47="","",COUNTIFS(Oct[What was resident doing prior to fall?],$B47))</f>
        <v>0</v>
      </c>
      <c r="Q47" s="119">
        <f>IF($B47="","",COUNTIFS(Nov[What was resident doing prior to fall?],$B47))</f>
        <v>0</v>
      </c>
      <c r="R47" s="119">
        <f>IF($B47="","",COUNTIFS(Dec[What was resident doing prior to fall?],$B47))</f>
        <v>0</v>
      </c>
      <c r="S47" s="85">
        <f t="shared" ref="S47:S67" si="5">IF($B47="","",_xlfn.AGGREGATE(9,6,G47:R47))</f>
        <v>0</v>
      </c>
    </row>
    <row r="48" spans="2:20" x14ac:dyDescent="0.25">
      <c r="B48" s="116" t="str">
        <v>Changing position (e.g., in bed, chair)</v>
      </c>
      <c r="C48" s="117"/>
      <c r="D48" s="117"/>
      <c r="E48" s="117"/>
      <c r="F48" s="118"/>
      <c r="G48" s="119">
        <f>IF($B48="","",COUNTIFS(Jan[What was resident doing prior to fall?],$B48))</f>
        <v>0</v>
      </c>
      <c r="H48" s="119">
        <f>IF($B48="","",COUNTIFS(Feb[What was resident doing prior to fall?],$B48))</f>
        <v>0</v>
      </c>
      <c r="I48" s="119">
        <f>IF($B48="","",COUNTIFS(Mar[What was resident doing prior to fall?],$B48))</f>
        <v>0</v>
      </c>
      <c r="J48" s="119">
        <f>IF($B48="","",COUNTIFS(Apr[What was resident doing prior to fall?],$B48))</f>
        <v>0</v>
      </c>
      <c r="K48" s="119">
        <f>IF($B48="","",COUNTIFS(May[What was resident doing prior to fall?],$B48))</f>
        <v>0</v>
      </c>
      <c r="L48" s="119">
        <f>IF($B48="","",COUNTIFS(June[What was resident doing prior to fall?],$B48))</f>
        <v>0</v>
      </c>
      <c r="M48" s="119">
        <f>IF($B48="","",COUNTIFS(July[What was resident doing prior to fall?],$B48))</f>
        <v>0</v>
      </c>
      <c r="N48" s="119">
        <f>IF($B48="","",COUNTIFS(Aug[What was resident doing prior to fall?],$B48))</f>
        <v>0</v>
      </c>
      <c r="O48" s="119">
        <f>IF($B48="","",COUNTIFS(Sept[What was resident doing prior to fall?],$B48))</f>
        <v>0</v>
      </c>
      <c r="P48" s="119">
        <f>IF($B48="","",COUNTIFS(Oct[What was resident doing prior to fall?],$B48))</f>
        <v>0</v>
      </c>
      <c r="Q48" s="119">
        <f>IF($B48="","",COUNTIFS(Nov[What was resident doing prior to fall?],$B48))</f>
        <v>0</v>
      </c>
      <c r="R48" s="119">
        <f>IF($B48="","",COUNTIFS(Dec[What was resident doing prior to fall?],$B48))</f>
        <v>0</v>
      </c>
      <c r="S48" s="85">
        <f t="shared" si="5"/>
        <v>0</v>
      </c>
    </row>
    <row r="49" spans="2:19" x14ac:dyDescent="0.25">
      <c r="B49" s="116" t="str">
        <v>Dressing or undressing</v>
      </c>
      <c r="C49" s="117"/>
      <c r="D49" s="117"/>
      <c r="E49" s="117"/>
      <c r="F49" s="118"/>
      <c r="G49" s="119">
        <f>IF($B49="","",COUNTIFS(Jan[What was resident doing prior to fall?],$B49))</f>
        <v>0</v>
      </c>
      <c r="H49" s="119">
        <f>IF($B49="","",COUNTIFS(Feb[What was resident doing prior to fall?],$B49))</f>
        <v>0</v>
      </c>
      <c r="I49" s="119">
        <f>IF($B49="","",COUNTIFS(Mar[What was resident doing prior to fall?],$B49))</f>
        <v>0</v>
      </c>
      <c r="J49" s="119">
        <f>IF($B49="","",COUNTIFS(Apr[What was resident doing prior to fall?],$B49))</f>
        <v>0</v>
      </c>
      <c r="K49" s="119">
        <f>IF($B49="","",COUNTIFS(May[What was resident doing prior to fall?],$B49))</f>
        <v>0</v>
      </c>
      <c r="L49" s="119">
        <f>IF($B49="","",COUNTIFS(June[What was resident doing prior to fall?],$B49))</f>
        <v>0</v>
      </c>
      <c r="M49" s="119">
        <f>IF($B49="","",COUNTIFS(July[What was resident doing prior to fall?],$B49))</f>
        <v>0</v>
      </c>
      <c r="N49" s="119">
        <f>IF($B49="","",COUNTIFS(Aug[What was resident doing prior to fall?],$B49))</f>
        <v>0</v>
      </c>
      <c r="O49" s="119">
        <f>IF($B49="","",COUNTIFS(Sept[What was resident doing prior to fall?],$B49))</f>
        <v>0</v>
      </c>
      <c r="P49" s="119">
        <f>IF($B49="","",COUNTIFS(Oct[What was resident doing prior to fall?],$B49))</f>
        <v>0</v>
      </c>
      <c r="Q49" s="119">
        <f>IF($B49="","",COUNTIFS(Nov[What was resident doing prior to fall?],$B49))</f>
        <v>0</v>
      </c>
      <c r="R49" s="119">
        <f>IF($B49="","",COUNTIFS(Dec[What was resident doing prior to fall?],$B49))</f>
        <v>0</v>
      </c>
      <c r="S49" s="85">
        <f t="shared" si="5"/>
        <v>0</v>
      </c>
    </row>
    <row r="50" spans="2:19" x14ac:dyDescent="0.25">
      <c r="B50" s="116" t="str">
        <v>Other activity</v>
      </c>
      <c r="C50" s="117"/>
      <c r="D50" s="117"/>
      <c r="E50" s="117"/>
      <c r="F50" s="118"/>
      <c r="G50" s="119">
        <f>IF($B50="","",COUNTIFS(Jan[What was resident doing prior to fall?],$B50))</f>
        <v>0</v>
      </c>
      <c r="H50" s="119">
        <f>IF($B50="","",COUNTIFS(Feb[What was resident doing prior to fall?],$B50))</f>
        <v>0</v>
      </c>
      <c r="I50" s="119">
        <f>IF($B50="","",COUNTIFS(Mar[What was resident doing prior to fall?],$B50))</f>
        <v>0</v>
      </c>
      <c r="J50" s="119">
        <f>IF($B50="","",COUNTIFS(Apr[What was resident doing prior to fall?],$B50))</f>
        <v>0</v>
      </c>
      <c r="K50" s="119">
        <f>IF($B50="","",COUNTIFS(May[What was resident doing prior to fall?],$B50))</f>
        <v>0</v>
      </c>
      <c r="L50" s="119">
        <f>IF($B50="","",COUNTIFS(June[What was resident doing prior to fall?],$B50))</f>
        <v>0</v>
      </c>
      <c r="M50" s="119">
        <f>IF($B50="","",COUNTIFS(July[What was resident doing prior to fall?],$B50))</f>
        <v>0</v>
      </c>
      <c r="N50" s="119">
        <f>IF($B50="","",COUNTIFS(Aug[What was resident doing prior to fall?],$B50))</f>
        <v>0</v>
      </c>
      <c r="O50" s="119">
        <f>IF($B50="","",COUNTIFS(Sept[What was resident doing prior to fall?],$B50))</f>
        <v>0</v>
      </c>
      <c r="P50" s="119">
        <f>IF($B50="","",COUNTIFS(Oct[What was resident doing prior to fall?],$B50))</f>
        <v>0</v>
      </c>
      <c r="Q50" s="119">
        <f>IF($B50="","",COUNTIFS(Nov[What was resident doing prior to fall?],$B50))</f>
        <v>0</v>
      </c>
      <c r="R50" s="119">
        <f>IF($B50="","",COUNTIFS(Dec[What was resident doing prior to fall?],$B50))</f>
        <v>0</v>
      </c>
      <c r="S50" s="85">
        <f t="shared" si="5"/>
        <v>0</v>
      </c>
    </row>
    <row r="51" spans="2:19" x14ac:dyDescent="0.25">
      <c r="B51" s="116" t="str">
        <v>Reaching for an item</v>
      </c>
      <c r="C51" s="117"/>
      <c r="D51" s="117"/>
      <c r="E51" s="117"/>
      <c r="F51" s="118"/>
      <c r="G51" s="119">
        <f>IF($B51="","",COUNTIFS(Jan[What was resident doing prior to fall?],$B51))</f>
        <v>0</v>
      </c>
      <c r="H51" s="119">
        <f>IF($B51="","",COUNTIFS(Feb[What was resident doing prior to fall?],$B51))</f>
        <v>0</v>
      </c>
      <c r="I51" s="119">
        <f>IF($B51="","",COUNTIFS(Mar[What was resident doing prior to fall?],$B51))</f>
        <v>0</v>
      </c>
      <c r="J51" s="119">
        <f>IF($B51="","",COUNTIFS(Apr[What was resident doing prior to fall?],$B51))</f>
        <v>0</v>
      </c>
      <c r="K51" s="119">
        <f>IF($B51="","",COUNTIFS(May[What was resident doing prior to fall?],$B51))</f>
        <v>0</v>
      </c>
      <c r="L51" s="119">
        <f>IF($B51="","",COUNTIFS(June[What was resident doing prior to fall?],$B51))</f>
        <v>0</v>
      </c>
      <c r="M51" s="119">
        <f>IF($B51="","",COUNTIFS(July[What was resident doing prior to fall?],$B51))</f>
        <v>0</v>
      </c>
      <c r="N51" s="119">
        <f>IF($B51="","",COUNTIFS(Aug[What was resident doing prior to fall?],$B51))</f>
        <v>0</v>
      </c>
      <c r="O51" s="119">
        <f>IF($B51="","",COUNTIFS(Sept[What was resident doing prior to fall?],$B51))</f>
        <v>0</v>
      </c>
      <c r="P51" s="119">
        <f>IF($B51="","",COUNTIFS(Oct[What was resident doing prior to fall?],$B51))</f>
        <v>0</v>
      </c>
      <c r="Q51" s="119">
        <f>IF($B51="","",COUNTIFS(Nov[What was resident doing prior to fall?],$B51))</f>
        <v>0</v>
      </c>
      <c r="R51" s="119">
        <f>IF($B51="","",COUNTIFS(Dec[What was resident doing prior to fall?],$B51))</f>
        <v>0</v>
      </c>
      <c r="S51" s="85">
        <f t="shared" si="5"/>
        <v>0</v>
      </c>
    </row>
    <row r="52" spans="2:19" x14ac:dyDescent="0.25">
      <c r="B52" s="116" t="str">
        <v>Showering or bathing</v>
      </c>
      <c r="C52" s="117"/>
      <c r="D52" s="117"/>
      <c r="E52" s="117"/>
      <c r="F52" s="118"/>
      <c r="G52" s="119">
        <f>IF($B52="","",COUNTIFS(Jan[What was resident doing prior to fall?],$B52))</f>
        <v>0</v>
      </c>
      <c r="H52" s="119">
        <f>IF($B52="","",COUNTIFS(Feb[What was resident doing prior to fall?],$B52))</f>
        <v>0</v>
      </c>
      <c r="I52" s="119">
        <f>IF($B52="","",COUNTIFS(Mar[What was resident doing prior to fall?],$B52))</f>
        <v>0</v>
      </c>
      <c r="J52" s="119">
        <f>IF($B52="","",COUNTIFS(Apr[What was resident doing prior to fall?],$B52))</f>
        <v>0</v>
      </c>
      <c r="K52" s="119">
        <f>IF($B52="","",COUNTIFS(May[What was resident doing prior to fall?],$B52))</f>
        <v>0</v>
      </c>
      <c r="L52" s="119">
        <f>IF($B52="","",COUNTIFS(June[What was resident doing prior to fall?],$B52))</f>
        <v>0</v>
      </c>
      <c r="M52" s="119">
        <f>IF($B52="","",COUNTIFS(July[What was resident doing prior to fall?],$B52))</f>
        <v>0</v>
      </c>
      <c r="N52" s="119">
        <f>IF($B52="","",COUNTIFS(Aug[What was resident doing prior to fall?],$B52))</f>
        <v>0</v>
      </c>
      <c r="O52" s="119">
        <f>IF($B52="","",COUNTIFS(Sept[What was resident doing prior to fall?],$B52))</f>
        <v>0</v>
      </c>
      <c r="P52" s="119">
        <f>IF($B52="","",COUNTIFS(Oct[What was resident doing prior to fall?],$B52))</f>
        <v>0</v>
      </c>
      <c r="Q52" s="119">
        <f>IF($B52="","",COUNTIFS(Nov[What was resident doing prior to fall?],$B52))</f>
        <v>0</v>
      </c>
      <c r="R52" s="119">
        <f>IF($B52="","",COUNTIFS(Dec[What was resident doing prior to fall?],$B52))</f>
        <v>0</v>
      </c>
      <c r="S52" s="85">
        <f t="shared" si="5"/>
        <v>0</v>
      </c>
    </row>
    <row r="53" spans="2:19" x14ac:dyDescent="0.25">
      <c r="B53" s="116" t="str">
        <v>Toileting</v>
      </c>
      <c r="C53" s="117"/>
      <c r="D53" s="117"/>
      <c r="E53" s="117"/>
      <c r="F53" s="118"/>
      <c r="G53" s="119">
        <f>IF($B53="","",COUNTIFS(Jan[What was resident doing prior to fall?],$B53))</f>
        <v>0</v>
      </c>
      <c r="H53" s="119">
        <f>IF($B53="","",COUNTIFS(Feb[What was resident doing prior to fall?],$B53))</f>
        <v>0</v>
      </c>
      <c r="I53" s="119">
        <f>IF($B53="","",COUNTIFS(Mar[What was resident doing prior to fall?],$B53))</f>
        <v>0</v>
      </c>
      <c r="J53" s="119">
        <f>IF($B53="","",COUNTIFS(Apr[What was resident doing prior to fall?],$B53))</f>
        <v>0</v>
      </c>
      <c r="K53" s="119">
        <f>IF($B53="","",COUNTIFS(May[What was resident doing prior to fall?],$B53))</f>
        <v>0</v>
      </c>
      <c r="L53" s="119">
        <f>IF($B53="","",COUNTIFS(June[What was resident doing prior to fall?],$B53))</f>
        <v>0</v>
      </c>
      <c r="M53" s="119">
        <f>IF($B53="","",COUNTIFS(July[What was resident doing prior to fall?],$B53))</f>
        <v>0</v>
      </c>
      <c r="N53" s="119">
        <f>IF($B53="","",COUNTIFS(Aug[What was resident doing prior to fall?],$B53))</f>
        <v>0</v>
      </c>
      <c r="O53" s="119">
        <f>IF($B53="","",COUNTIFS(Sept[What was resident doing prior to fall?],$B53))</f>
        <v>0</v>
      </c>
      <c r="P53" s="119">
        <f>IF($B53="","",COUNTIFS(Oct[What was resident doing prior to fall?],$B53))</f>
        <v>0</v>
      </c>
      <c r="Q53" s="119">
        <f>IF($B53="","",COUNTIFS(Nov[What was resident doing prior to fall?],$B53))</f>
        <v>0</v>
      </c>
      <c r="R53" s="119">
        <f>IF($B53="","",COUNTIFS(Dec[What was resident doing prior to fall?],$B53))</f>
        <v>0</v>
      </c>
      <c r="S53" s="85">
        <f t="shared" si="5"/>
        <v>0</v>
      </c>
    </row>
    <row r="54" spans="2:19" x14ac:dyDescent="0.25">
      <c r="B54" s="116" t="str">
        <v>Transferring to or from bed, chair, wheelchair, etc.</v>
      </c>
      <c r="C54" s="117"/>
      <c r="D54" s="117"/>
      <c r="E54" s="117"/>
      <c r="F54" s="118"/>
      <c r="G54" s="119">
        <f>IF($B54="","",COUNTIFS(Jan[What was resident doing prior to fall?],$B54))</f>
        <v>0</v>
      </c>
      <c r="H54" s="119">
        <f>IF($B54="","",COUNTIFS(Feb[What was resident doing prior to fall?],$B54))</f>
        <v>0</v>
      </c>
      <c r="I54" s="119">
        <f>IF($B54="","",COUNTIFS(Mar[What was resident doing prior to fall?],$B54))</f>
        <v>0</v>
      </c>
      <c r="J54" s="119">
        <f>IF($B54="","",COUNTIFS(Apr[What was resident doing prior to fall?],$B54))</f>
        <v>0</v>
      </c>
      <c r="K54" s="119">
        <f>IF($B54="","",COUNTIFS(May[What was resident doing prior to fall?],$B54))</f>
        <v>0</v>
      </c>
      <c r="L54" s="119">
        <f>IF($B54="","",COUNTIFS(June[What was resident doing prior to fall?],$B54))</f>
        <v>0</v>
      </c>
      <c r="M54" s="119">
        <f>IF($B54="","",COUNTIFS(July[What was resident doing prior to fall?],$B54))</f>
        <v>0</v>
      </c>
      <c r="N54" s="119">
        <f>IF($B54="","",COUNTIFS(Aug[What was resident doing prior to fall?],$B54))</f>
        <v>0</v>
      </c>
      <c r="O54" s="119">
        <f>IF($B54="","",COUNTIFS(Sept[What was resident doing prior to fall?],$B54))</f>
        <v>0</v>
      </c>
      <c r="P54" s="119">
        <f>IF($B54="","",COUNTIFS(Oct[What was resident doing prior to fall?],$B54))</f>
        <v>0</v>
      </c>
      <c r="Q54" s="119">
        <f>IF($B54="","",COUNTIFS(Nov[What was resident doing prior to fall?],$B54))</f>
        <v>0</v>
      </c>
      <c r="R54" s="119">
        <f>IF($B54="","",COUNTIFS(Dec[What was resident doing prior to fall?],$B54))</f>
        <v>0</v>
      </c>
      <c r="S54" s="85">
        <f t="shared" si="5"/>
        <v>0</v>
      </c>
    </row>
    <row r="55" spans="2:19" x14ac:dyDescent="0.25">
      <c r="B55" s="116" t="str">
        <v>Unknown</v>
      </c>
      <c r="C55" s="117"/>
      <c r="D55" s="117"/>
      <c r="E55" s="117"/>
      <c r="F55" s="118"/>
      <c r="G55" s="119">
        <f>IF($B55="","",COUNTIFS(Jan[What was resident doing prior to fall?],$B55))</f>
        <v>0</v>
      </c>
      <c r="H55" s="119">
        <f>IF($B55="","",COUNTIFS(Feb[What was resident doing prior to fall?],$B55))</f>
        <v>0</v>
      </c>
      <c r="I55" s="119">
        <f>IF($B55="","",COUNTIFS(Mar[What was resident doing prior to fall?],$B55))</f>
        <v>0</v>
      </c>
      <c r="J55" s="119">
        <f>IF($B55="","",COUNTIFS(Apr[What was resident doing prior to fall?],$B55))</f>
        <v>0</v>
      </c>
      <c r="K55" s="119">
        <f>IF($B55="","",COUNTIFS(May[What was resident doing prior to fall?],$B55))</f>
        <v>0</v>
      </c>
      <c r="L55" s="119">
        <f>IF($B55="","",COUNTIFS(June[What was resident doing prior to fall?],$B55))</f>
        <v>0</v>
      </c>
      <c r="M55" s="119">
        <f>IF($B55="","",COUNTIFS(July[What was resident doing prior to fall?],$B55))</f>
        <v>0</v>
      </c>
      <c r="N55" s="119">
        <f>IF($B55="","",COUNTIFS(Aug[What was resident doing prior to fall?],$B55))</f>
        <v>0</v>
      </c>
      <c r="O55" s="119">
        <f>IF($B55="","",COUNTIFS(Sept[What was resident doing prior to fall?],$B55))</f>
        <v>0</v>
      </c>
      <c r="P55" s="119">
        <f>IF($B55="","",COUNTIFS(Oct[What was resident doing prior to fall?],$B55))</f>
        <v>0</v>
      </c>
      <c r="Q55" s="119">
        <f>IF($B55="","",COUNTIFS(Nov[What was resident doing prior to fall?],$B55))</f>
        <v>0</v>
      </c>
      <c r="R55" s="119">
        <f>IF($B55="","",COUNTIFS(Dec[What was resident doing prior to fall?],$B55))</f>
        <v>0</v>
      </c>
      <c r="S55" s="85">
        <f t="shared" si="5"/>
        <v>0</v>
      </c>
    </row>
    <row r="56" spans="2:19" x14ac:dyDescent="0.25">
      <c r="B56" s="116" t="str">
        <v/>
      </c>
      <c r="C56" s="117"/>
      <c r="D56" s="117"/>
      <c r="E56" s="117"/>
      <c r="F56" s="118"/>
      <c r="G56" s="119" t="str">
        <f>IF($B56="","",COUNTIFS(Jan[What was resident doing prior to fall?],$B56))</f>
        <v/>
      </c>
      <c r="H56" s="119" t="str">
        <f>IF($B56="","",COUNTIFS(Feb[What was resident doing prior to fall?],$B56))</f>
        <v/>
      </c>
      <c r="I56" s="119" t="str">
        <f>IF($B56="","",COUNTIFS(Mar[What was resident doing prior to fall?],$B56))</f>
        <v/>
      </c>
      <c r="J56" s="119" t="str">
        <f>IF($B56="","",COUNTIFS(Apr[What was resident doing prior to fall?],$B56))</f>
        <v/>
      </c>
      <c r="K56" s="119" t="str">
        <f>IF($B56="","",COUNTIFS(May[What was resident doing prior to fall?],$B56))</f>
        <v/>
      </c>
      <c r="L56" s="119" t="str">
        <f>IF($B56="","",COUNTIFS(June[What was resident doing prior to fall?],$B56))</f>
        <v/>
      </c>
      <c r="M56" s="119" t="str">
        <f>IF($B56="","",COUNTIFS(July[What was resident doing prior to fall?],$B56))</f>
        <v/>
      </c>
      <c r="N56" s="119" t="str">
        <f>IF($B56="","",COUNTIFS(Aug[What was resident doing prior to fall?],$B56))</f>
        <v/>
      </c>
      <c r="O56" s="119" t="str">
        <f>IF($B56="","",COUNTIFS(Sept[What was resident doing prior to fall?],$B56))</f>
        <v/>
      </c>
      <c r="P56" s="119" t="str">
        <f>IF($B56="","",COUNTIFS(Oct[What was resident doing prior to fall?],$B56))</f>
        <v/>
      </c>
      <c r="Q56" s="119" t="str">
        <f>IF($B56="","",COUNTIFS(Nov[What was resident doing prior to fall?],$B56))</f>
        <v/>
      </c>
      <c r="R56" s="119" t="str">
        <f>IF($B56="","",COUNTIFS(Dec[What was resident doing prior to fall?],$B56))</f>
        <v/>
      </c>
      <c r="S56" s="85" t="str">
        <f t="shared" si="5"/>
        <v/>
      </c>
    </row>
    <row r="57" spans="2:19" x14ac:dyDescent="0.25">
      <c r="B57" s="116" t="str">
        <v/>
      </c>
      <c r="C57" s="117"/>
      <c r="D57" s="117"/>
      <c r="E57" s="117"/>
      <c r="F57" s="118"/>
      <c r="G57" s="119" t="str">
        <f>IF($B57="","",COUNTIFS(Jan[What was resident doing prior to fall?],$B57))</f>
        <v/>
      </c>
      <c r="H57" s="119" t="str">
        <f>IF($B57="","",COUNTIFS(Feb[What was resident doing prior to fall?],$B57))</f>
        <v/>
      </c>
      <c r="I57" s="119" t="str">
        <f>IF($B57="","",COUNTIFS(Mar[What was resident doing prior to fall?],$B57))</f>
        <v/>
      </c>
      <c r="J57" s="119" t="str">
        <f>IF($B57="","",COUNTIFS(Apr[What was resident doing prior to fall?],$B57))</f>
        <v/>
      </c>
      <c r="K57" s="119" t="str">
        <f>IF($B57="","",COUNTIFS(May[What was resident doing prior to fall?],$B57))</f>
        <v/>
      </c>
      <c r="L57" s="119" t="str">
        <f>IF($B57="","",COUNTIFS(June[What was resident doing prior to fall?],$B57))</f>
        <v/>
      </c>
      <c r="M57" s="119" t="str">
        <f>IF($B57="","",COUNTIFS(July[What was resident doing prior to fall?],$B57))</f>
        <v/>
      </c>
      <c r="N57" s="119" t="str">
        <f>IF($B57="","",COUNTIFS(Aug[What was resident doing prior to fall?],$B57))</f>
        <v/>
      </c>
      <c r="O57" s="119" t="str">
        <f>IF($B57="","",COUNTIFS(Sept[What was resident doing prior to fall?],$B57))</f>
        <v/>
      </c>
      <c r="P57" s="119" t="str">
        <f>IF($B57="","",COUNTIFS(Oct[What was resident doing prior to fall?],$B57))</f>
        <v/>
      </c>
      <c r="Q57" s="119" t="str">
        <f>IF($B57="","",COUNTIFS(Nov[What was resident doing prior to fall?],$B57))</f>
        <v/>
      </c>
      <c r="R57" s="119" t="str">
        <f>IF($B57="","",COUNTIFS(Dec[What was resident doing prior to fall?],$B57))</f>
        <v/>
      </c>
      <c r="S57" s="85" t="str">
        <f t="shared" si="5"/>
        <v/>
      </c>
    </row>
    <row r="58" spans="2:19" x14ac:dyDescent="0.25">
      <c r="B58" s="116" t="str">
        <v/>
      </c>
      <c r="C58" s="117"/>
      <c r="D58" s="117"/>
      <c r="E58" s="117"/>
      <c r="F58" s="118"/>
      <c r="G58" s="119" t="str">
        <f>IF($B58="","",COUNTIFS(Jan[What was resident doing prior to fall?],$B58))</f>
        <v/>
      </c>
      <c r="H58" s="119" t="str">
        <f>IF($B58="","",COUNTIFS(Feb[What was resident doing prior to fall?],$B58))</f>
        <v/>
      </c>
      <c r="I58" s="119" t="str">
        <f>IF($B58="","",COUNTIFS(Mar[What was resident doing prior to fall?],$B58))</f>
        <v/>
      </c>
      <c r="J58" s="119" t="str">
        <f>IF($B58="","",COUNTIFS(Apr[What was resident doing prior to fall?],$B58))</f>
        <v/>
      </c>
      <c r="K58" s="119" t="str">
        <f>IF($B58="","",COUNTIFS(May[What was resident doing prior to fall?],$B58))</f>
        <v/>
      </c>
      <c r="L58" s="119" t="str">
        <f>IF($B58="","",COUNTIFS(June[What was resident doing prior to fall?],$B58))</f>
        <v/>
      </c>
      <c r="M58" s="119" t="str">
        <f>IF($B58="","",COUNTIFS(July[What was resident doing prior to fall?],$B58))</f>
        <v/>
      </c>
      <c r="N58" s="119" t="str">
        <f>IF($B58="","",COUNTIFS(Aug[What was resident doing prior to fall?],$B58))</f>
        <v/>
      </c>
      <c r="O58" s="119" t="str">
        <f>IF($B58="","",COUNTIFS(Sept[What was resident doing prior to fall?],$B58))</f>
        <v/>
      </c>
      <c r="P58" s="119" t="str">
        <f>IF($B58="","",COUNTIFS(Oct[What was resident doing prior to fall?],$B58))</f>
        <v/>
      </c>
      <c r="Q58" s="119" t="str">
        <f>IF($B58="","",COUNTIFS(Nov[What was resident doing prior to fall?],$B58))</f>
        <v/>
      </c>
      <c r="R58" s="119" t="str">
        <f>IF($B58="","",COUNTIFS(Dec[What was resident doing prior to fall?],$B58))</f>
        <v/>
      </c>
      <c r="S58" s="85" t="str">
        <f t="shared" si="5"/>
        <v/>
      </c>
    </row>
    <row r="59" spans="2:19" x14ac:dyDescent="0.25">
      <c r="B59" s="116" t="str">
        <v/>
      </c>
      <c r="C59" s="117"/>
      <c r="D59" s="117"/>
      <c r="E59" s="117"/>
      <c r="F59" s="118"/>
      <c r="G59" s="119" t="str">
        <f>IF($B59="","",COUNTIFS(Jan[What was resident doing prior to fall?],$B59))</f>
        <v/>
      </c>
      <c r="H59" s="119" t="str">
        <f>IF($B59="","",COUNTIFS(Feb[What was resident doing prior to fall?],$B59))</f>
        <v/>
      </c>
      <c r="I59" s="119" t="str">
        <f>IF($B59="","",COUNTIFS(Mar[What was resident doing prior to fall?],$B59))</f>
        <v/>
      </c>
      <c r="J59" s="119" t="str">
        <f>IF($B59="","",COUNTIFS(Apr[What was resident doing prior to fall?],$B59))</f>
        <v/>
      </c>
      <c r="K59" s="119" t="str">
        <f>IF($B59="","",COUNTIFS(May[What was resident doing prior to fall?],$B59))</f>
        <v/>
      </c>
      <c r="L59" s="119" t="str">
        <f>IF($B59="","",COUNTIFS(June[What was resident doing prior to fall?],$B59))</f>
        <v/>
      </c>
      <c r="M59" s="119" t="str">
        <f>IF($B59="","",COUNTIFS(July[What was resident doing prior to fall?],$B59))</f>
        <v/>
      </c>
      <c r="N59" s="119" t="str">
        <f>IF($B59="","",COUNTIFS(Aug[What was resident doing prior to fall?],$B59))</f>
        <v/>
      </c>
      <c r="O59" s="119" t="str">
        <f>IF($B59="","",COUNTIFS(Sept[What was resident doing prior to fall?],$B59))</f>
        <v/>
      </c>
      <c r="P59" s="119" t="str">
        <f>IF($B59="","",COUNTIFS(Oct[What was resident doing prior to fall?],$B59))</f>
        <v/>
      </c>
      <c r="Q59" s="119" t="str">
        <f>IF($B59="","",COUNTIFS(Nov[What was resident doing prior to fall?],$B59))</f>
        <v/>
      </c>
      <c r="R59" s="119" t="str">
        <f>IF($B59="","",COUNTIFS(Dec[What was resident doing prior to fall?],$B59))</f>
        <v/>
      </c>
      <c r="S59" s="85" t="str">
        <f t="shared" si="5"/>
        <v/>
      </c>
    </row>
    <row r="60" spans="2:19" x14ac:dyDescent="0.25">
      <c r="B60" s="116" t="str">
        <v/>
      </c>
      <c r="C60" s="117"/>
      <c r="D60" s="117"/>
      <c r="E60" s="117"/>
      <c r="F60" s="118"/>
      <c r="G60" s="119" t="str">
        <f>IF($B60="","",COUNTIFS(Jan[What was resident doing prior to fall?],$B60))</f>
        <v/>
      </c>
      <c r="H60" s="119" t="str">
        <f>IF($B60="","",COUNTIFS(Feb[What was resident doing prior to fall?],$B60))</f>
        <v/>
      </c>
      <c r="I60" s="119" t="str">
        <f>IF($B60="","",COUNTIFS(Mar[What was resident doing prior to fall?],$B60))</f>
        <v/>
      </c>
      <c r="J60" s="119" t="str">
        <f>IF($B60="","",COUNTIFS(Apr[What was resident doing prior to fall?],$B60))</f>
        <v/>
      </c>
      <c r="K60" s="119" t="str">
        <f>IF($B60="","",COUNTIFS(May[What was resident doing prior to fall?],$B60))</f>
        <v/>
      </c>
      <c r="L60" s="119" t="str">
        <f>IF($B60="","",COUNTIFS(June[What was resident doing prior to fall?],$B60))</f>
        <v/>
      </c>
      <c r="M60" s="119" t="str">
        <f>IF($B60="","",COUNTIFS(July[What was resident doing prior to fall?],$B60))</f>
        <v/>
      </c>
      <c r="N60" s="119" t="str">
        <f>IF($B60="","",COUNTIFS(Aug[What was resident doing prior to fall?],$B60))</f>
        <v/>
      </c>
      <c r="O60" s="119" t="str">
        <f>IF($B60="","",COUNTIFS(Sept[What was resident doing prior to fall?],$B60))</f>
        <v/>
      </c>
      <c r="P60" s="119" t="str">
        <f>IF($B60="","",COUNTIFS(Oct[What was resident doing prior to fall?],$B60))</f>
        <v/>
      </c>
      <c r="Q60" s="119" t="str">
        <f>IF($B60="","",COUNTIFS(Nov[What was resident doing prior to fall?],$B60))</f>
        <v/>
      </c>
      <c r="R60" s="119" t="str">
        <f>IF($B60="","",COUNTIFS(Dec[What was resident doing prior to fall?],$B60))</f>
        <v/>
      </c>
      <c r="S60" s="85" t="str">
        <f t="shared" si="5"/>
        <v/>
      </c>
    </row>
    <row r="61" spans="2:19" x14ac:dyDescent="0.25">
      <c r="B61" s="116" t="str">
        <v/>
      </c>
      <c r="C61" s="117"/>
      <c r="D61" s="117"/>
      <c r="E61" s="117"/>
      <c r="F61" s="118"/>
      <c r="G61" s="119" t="str">
        <f>IF($B61="","",COUNTIFS(Jan[What was resident doing prior to fall?],$B61))</f>
        <v/>
      </c>
      <c r="H61" s="119" t="str">
        <f>IF($B61="","",COUNTIFS(Feb[What was resident doing prior to fall?],$B61))</f>
        <v/>
      </c>
      <c r="I61" s="119" t="str">
        <f>IF($B61="","",COUNTIFS(Mar[What was resident doing prior to fall?],$B61))</f>
        <v/>
      </c>
      <c r="J61" s="119" t="str">
        <f>IF($B61="","",COUNTIFS(Apr[What was resident doing prior to fall?],$B61))</f>
        <v/>
      </c>
      <c r="K61" s="119" t="str">
        <f>IF($B61="","",COUNTIFS(May[What was resident doing prior to fall?],$B61))</f>
        <v/>
      </c>
      <c r="L61" s="119" t="str">
        <f>IF($B61="","",COUNTIFS(June[What was resident doing prior to fall?],$B61))</f>
        <v/>
      </c>
      <c r="M61" s="119" t="str">
        <f>IF($B61="","",COUNTIFS(July[What was resident doing prior to fall?],$B61))</f>
        <v/>
      </c>
      <c r="N61" s="119" t="str">
        <f>IF($B61="","",COUNTIFS(Aug[What was resident doing prior to fall?],$B61))</f>
        <v/>
      </c>
      <c r="O61" s="119" t="str">
        <f>IF($B61="","",COUNTIFS(Sept[What was resident doing prior to fall?],$B61))</f>
        <v/>
      </c>
      <c r="P61" s="119" t="str">
        <f>IF($B61="","",COUNTIFS(Oct[What was resident doing prior to fall?],$B61))</f>
        <v/>
      </c>
      <c r="Q61" s="119" t="str">
        <f>IF($B61="","",COUNTIFS(Nov[What was resident doing prior to fall?],$B61))</f>
        <v/>
      </c>
      <c r="R61" s="119" t="str">
        <f>IF($B61="","",COUNTIFS(Dec[What was resident doing prior to fall?],$B61))</f>
        <v/>
      </c>
      <c r="S61" s="85" t="str">
        <f t="shared" si="5"/>
        <v/>
      </c>
    </row>
    <row r="62" spans="2:19" x14ac:dyDescent="0.25">
      <c r="B62" s="116" t="str">
        <v/>
      </c>
      <c r="C62" s="117"/>
      <c r="D62" s="117"/>
      <c r="E62" s="117"/>
      <c r="F62" s="118"/>
      <c r="G62" s="119" t="str">
        <f>IF($B62="","",COUNTIFS(Jan[What was resident doing prior to fall?],$B62))</f>
        <v/>
      </c>
      <c r="H62" s="119" t="str">
        <f>IF($B62="","",COUNTIFS(Feb[What was resident doing prior to fall?],$B62))</f>
        <v/>
      </c>
      <c r="I62" s="119" t="str">
        <f>IF($B62="","",COUNTIFS(Mar[What was resident doing prior to fall?],$B62))</f>
        <v/>
      </c>
      <c r="J62" s="119" t="str">
        <f>IF($B62="","",COUNTIFS(Apr[What was resident doing prior to fall?],$B62))</f>
        <v/>
      </c>
      <c r="K62" s="119" t="str">
        <f>IF($B62="","",COUNTIFS(May[What was resident doing prior to fall?],$B62))</f>
        <v/>
      </c>
      <c r="L62" s="119" t="str">
        <f>IF($B62="","",COUNTIFS(June[What was resident doing prior to fall?],$B62))</f>
        <v/>
      </c>
      <c r="M62" s="119" t="str">
        <f>IF($B62="","",COUNTIFS(July[What was resident doing prior to fall?],$B62))</f>
        <v/>
      </c>
      <c r="N62" s="119" t="str">
        <f>IF($B62="","",COUNTIFS(Aug[What was resident doing prior to fall?],$B62))</f>
        <v/>
      </c>
      <c r="O62" s="119" t="str">
        <f>IF($B62="","",COUNTIFS(Sept[What was resident doing prior to fall?],$B62))</f>
        <v/>
      </c>
      <c r="P62" s="119" t="str">
        <f>IF($B62="","",COUNTIFS(Oct[What was resident doing prior to fall?],$B62))</f>
        <v/>
      </c>
      <c r="Q62" s="119" t="str">
        <f>IF($B62="","",COUNTIFS(Nov[What was resident doing prior to fall?],$B62))</f>
        <v/>
      </c>
      <c r="R62" s="119" t="str">
        <f>IF($B62="","",COUNTIFS(Dec[What was resident doing prior to fall?],$B62))</f>
        <v/>
      </c>
      <c r="S62" s="85" t="str">
        <f t="shared" si="5"/>
        <v/>
      </c>
    </row>
    <row r="63" spans="2:19" x14ac:dyDescent="0.25">
      <c r="B63" s="116" t="str">
        <v/>
      </c>
      <c r="C63" s="117"/>
      <c r="D63" s="117"/>
      <c r="E63" s="117"/>
      <c r="F63" s="118"/>
      <c r="G63" s="119" t="str">
        <f>IF($B63="","",COUNTIFS(Jan[What was resident doing prior to fall?],$B63))</f>
        <v/>
      </c>
      <c r="H63" s="119" t="str">
        <f>IF($B63="","",COUNTIFS(Feb[What was resident doing prior to fall?],$B63))</f>
        <v/>
      </c>
      <c r="I63" s="119" t="str">
        <f>IF($B63="","",COUNTIFS(Mar[What was resident doing prior to fall?],$B63))</f>
        <v/>
      </c>
      <c r="J63" s="119" t="str">
        <f>IF($B63="","",COUNTIFS(Apr[What was resident doing prior to fall?],$B63))</f>
        <v/>
      </c>
      <c r="K63" s="119" t="str">
        <f>IF($B63="","",COUNTIFS(May[What was resident doing prior to fall?],$B63))</f>
        <v/>
      </c>
      <c r="L63" s="119" t="str">
        <f>IF($B63="","",COUNTIFS(June[What was resident doing prior to fall?],$B63))</f>
        <v/>
      </c>
      <c r="M63" s="119" t="str">
        <f>IF($B63="","",COUNTIFS(July[What was resident doing prior to fall?],$B63))</f>
        <v/>
      </c>
      <c r="N63" s="119" t="str">
        <f>IF($B63="","",COUNTIFS(Aug[What was resident doing prior to fall?],$B63))</f>
        <v/>
      </c>
      <c r="O63" s="119" t="str">
        <f>IF($B63="","",COUNTIFS(Sept[What was resident doing prior to fall?],$B63))</f>
        <v/>
      </c>
      <c r="P63" s="119" t="str">
        <f>IF($B63="","",COUNTIFS(Oct[What was resident doing prior to fall?],$B63))</f>
        <v/>
      </c>
      <c r="Q63" s="119" t="str">
        <f>IF($B63="","",COUNTIFS(Nov[What was resident doing prior to fall?],$B63))</f>
        <v/>
      </c>
      <c r="R63" s="119" t="str">
        <f>IF($B63="","",COUNTIFS(Dec[What was resident doing prior to fall?],$B63))</f>
        <v/>
      </c>
      <c r="S63" s="85" t="str">
        <f t="shared" si="5"/>
        <v/>
      </c>
    </row>
    <row r="64" spans="2:19" x14ac:dyDescent="0.25">
      <c r="B64" s="116" t="str">
        <v/>
      </c>
      <c r="C64" s="117"/>
      <c r="D64" s="117"/>
      <c r="E64" s="117"/>
      <c r="F64" s="118"/>
      <c r="G64" s="119" t="str">
        <f>IF($B64="","",COUNTIFS(Jan[What was resident doing prior to fall?],$B64))</f>
        <v/>
      </c>
      <c r="H64" s="119" t="str">
        <f>IF($B64="","",COUNTIFS(Feb[What was resident doing prior to fall?],$B64))</f>
        <v/>
      </c>
      <c r="I64" s="119" t="str">
        <f>IF($B64="","",COUNTIFS(Mar[What was resident doing prior to fall?],$B64))</f>
        <v/>
      </c>
      <c r="J64" s="119" t="str">
        <f>IF($B64="","",COUNTIFS(Apr[What was resident doing prior to fall?],$B64))</f>
        <v/>
      </c>
      <c r="K64" s="119" t="str">
        <f>IF($B64="","",COUNTIFS(May[What was resident doing prior to fall?],$B64))</f>
        <v/>
      </c>
      <c r="L64" s="119" t="str">
        <f>IF($B64="","",COUNTIFS(June[What was resident doing prior to fall?],$B64))</f>
        <v/>
      </c>
      <c r="M64" s="119" t="str">
        <f>IF($B64="","",COUNTIFS(July[What was resident doing prior to fall?],$B64))</f>
        <v/>
      </c>
      <c r="N64" s="119" t="str">
        <f>IF($B64="","",COUNTIFS(Aug[What was resident doing prior to fall?],$B64))</f>
        <v/>
      </c>
      <c r="O64" s="119" t="str">
        <f>IF($B64="","",COUNTIFS(Sept[What was resident doing prior to fall?],$B64))</f>
        <v/>
      </c>
      <c r="P64" s="119" t="str">
        <f>IF($B64="","",COUNTIFS(Oct[What was resident doing prior to fall?],$B64))</f>
        <v/>
      </c>
      <c r="Q64" s="119" t="str">
        <f>IF($B64="","",COUNTIFS(Nov[What was resident doing prior to fall?],$B64))</f>
        <v/>
      </c>
      <c r="R64" s="119" t="str">
        <f>IF($B64="","",COUNTIFS(Dec[What was resident doing prior to fall?],$B64))</f>
        <v/>
      </c>
      <c r="S64" s="85" t="str">
        <f t="shared" si="5"/>
        <v/>
      </c>
    </row>
    <row r="65" spans="1:19" x14ac:dyDescent="0.25">
      <c r="B65" s="116" t="str">
        <v/>
      </c>
      <c r="C65" s="117"/>
      <c r="D65" s="117"/>
      <c r="E65" s="117"/>
      <c r="F65" s="118"/>
      <c r="G65" s="119" t="str">
        <f>IF($B65="","",COUNTIFS(Jan[What was resident doing prior to fall?],$B65))</f>
        <v/>
      </c>
      <c r="H65" s="119" t="str">
        <f>IF($B65="","",COUNTIFS(Feb[What was resident doing prior to fall?],$B65))</f>
        <v/>
      </c>
      <c r="I65" s="119" t="str">
        <f>IF($B65="","",COUNTIFS(Mar[What was resident doing prior to fall?],$B65))</f>
        <v/>
      </c>
      <c r="J65" s="119" t="str">
        <f>IF($B65="","",COUNTIFS(Apr[What was resident doing prior to fall?],$B65))</f>
        <v/>
      </c>
      <c r="K65" s="119" t="str">
        <f>IF($B65="","",COUNTIFS(May[What was resident doing prior to fall?],$B65))</f>
        <v/>
      </c>
      <c r="L65" s="119" t="str">
        <f>IF($B65="","",COUNTIFS(June[What was resident doing prior to fall?],$B65))</f>
        <v/>
      </c>
      <c r="M65" s="119" t="str">
        <f>IF($B65="","",COUNTIFS(July[What was resident doing prior to fall?],$B65))</f>
        <v/>
      </c>
      <c r="N65" s="119" t="str">
        <f>IF($B65="","",COUNTIFS(Aug[What was resident doing prior to fall?],$B65))</f>
        <v/>
      </c>
      <c r="O65" s="119" t="str">
        <f>IF($B65="","",COUNTIFS(Sept[What was resident doing prior to fall?],$B65))</f>
        <v/>
      </c>
      <c r="P65" s="119" t="str">
        <f>IF($B65="","",COUNTIFS(Oct[What was resident doing prior to fall?],$B65))</f>
        <v/>
      </c>
      <c r="Q65" s="119" t="str">
        <f>IF($B65="","",COUNTIFS(Nov[What was resident doing prior to fall?],$B65))</f>
        <v/>
      </c>
      <c r="R65" s="119" t="str">
        <f>IF($B65="","",COUNTIFS(Dec[What was resident doing prior to fall?],$B65))</f>
        <v/>
      </c>
      <c r="S65" s="85" t="str">
        <f t="shared" si="5"/>
        <v/>
      </c>
    </row>
    <row r="66" spans="1:19" x14ac:dyDescent="0.25">
      <c r="B66" s="116" t="str">
        <v/>
      </c>
      <c r="C66" s="117"/>
      <c r="D66" s="117"/>
      <c r="E66" s="117"/>
      <c r="F66" s="118"/>
      <c r="G66" s="119" t="str">
        <f>IF($B66="","",COUNTIFS(Jan[What was resident doing prior to fall?],$B66))</f>
        <v/>
      </c>
      <c r="H66" s="119" t="str">
        <f>IF($B66="","",COUNTIFS(Feb[What was resident doing prior to fall?],$B66))</f>
        <v/>
      </c>
      <c r="I66" s="119" t="str">
        <f>IF($B66="","",COUNTIFS(Mar[What was resident doing prior to fall?],$B66))</f>
        <v/>
      </c>
      <c r="J66" s="119" t="str">
        <f>IF($B66="","",COUNTIFS(Apr[What was resident doing prior to fall?],$B66))</f>
        <v/>
      </c>
      <c r="K66" s="119" t="str">
        <f>IF($B66="","",COUNTIFS(May[What was resident doing prior to fall?],$B66))</f>
        <v/>
      </c>
      <c r="L66" s="119" t="str">
        <f>IF($B66="","",COUNTIFS(June[What was resident doing prior to fall?],$B66))</f>
        <v/>
      </c>
      <c r="M66" s="119" t="str">
        <f>IF($B66="","",COUNTIFS(July[What was resident doing prior to fall?],$B66))</f>
        <v/>
      </c>
      <c r="N66" s="119" t="str">
        <f>IF($B66="","",COUNTIFS(Aug[What was resident doing prior to fall?],$B66))</f>
        <v/>
      </c>
      <c r="O66" s="119" t="str">
        <f>IF($B66="","",COUNTIFS(Sept[What was resident doing prior to fall?],$B66))</f>
        <v/>
      </c>
      <c r="P66" s="119" t="str">
        <f>IF($B66="","",COUNTIFS(Oct[What was resident doing prior to fall?],$B66))</f>
        <v/>
      </c>
      <c r="Q66" s="119" t="str">
        <f>IF($B66="","",COUNTIFS(Nov[What was resident doing prior to fall?],$B66))</f>
        <v/>
      </c>
      <c r="R66" s="119" t="str">
        <f>IF($B66="","",COUNTIFS(Dec[What was resident doing prior to fall?],$B66))</f>
        <v/>
      </c>
      <c r="S66" s="85" t="str">
        <f t="shared" si="5"/>
        <v/>
      </c>
    </row>
    <row r="67" spans="1:19" x14ac:dyDescent="0.25">
      <c r="B67" s="116" t="str">
        <v/>
      </c>
      <c r="C67" s="117"/>
      <c r="D67" s="117"/>
      <c r="E67" s="117"/>
      <c r="F67" s="118"/>
      <c r="G67" s="119" t="str">
        <f>IF($B67="","",COUNTIFS(Jan[What was resident doing prior to fall?],$B67))</f>
        <v/>
      </c>
      <c r="H67" s="119" t="str">
        <f>IF($B67="","",COUNTIFS(Feb[What was resident doing prior to fall?],$B67))</f>
        <v/>
      </c>
      <c r="I67" s="119" t="str">
        <f>IF($B67="","",COUNTIFS(Mar[What was resident doing prior to fall?],$B67))</f>
        <v/>
      </c>
      <c r="J67" s="119" t="str">
        <f>IF($B67="","",COUNTIFS(Apr[What was resident doing prior to fall?],$B67))</f>
        <v/>
      </c>
      <c r="K67" s="119" t="str">
        <f>IF($B67="","",COUNTIFS(May[What was resident doing prior to fall?],$B67))</f>
        <v/>
      </c>
      <c r="L67" s="119" t="str">
        <f>IF($B67="","",COUNTIFS(June[What was resident doing prior to fall?],$B67))</f>
        <v/>
      </c>
      <c r="M67" s="119" t="str">
        <f>IF($B67="","",COUNTIFS(July[What was resident doing prior to fall?],$B67))</f>
        <v/>
      </c>
      <c r="N67" s="119" t="str">
        <f>IF($B67="","",COUNTIFS(Aug[What was resident doing prior to fall?],$B67))</f>
        <v/>
      </c>
      <c r="O67" s="119" t="str">
        <f>IF($B67="","",COUNTIFS(Sept[What was resident doing prior to fall?],$B67))</f>
        <v/>
      </c>
      <c r="P67" s="119" t="str">
        <f>IF($B67="","",COUNTIFS(Oct[What was resident doing prior to fall?],$B67))</f>
        <v/>
      </c>
      <c r="Q67" s="119" t="str">
        <f>IF($B67="","",COUNTIFS(Nov[What was resident doing prior to fall?],$B67))</f>
        <v/>
      </c>
      <c r="R67" s="119" t="str">
        <f>IF($B67="","",COUNTIFS(Dec[What was resident doing prior to fall?],$B67))</f>
        <v/>
      </c>
      <c r="S67" s="85" t="str">
        <f t="shared" si="5"/>
        <v/>
      </c>
    </row>
    <row r="68" spans="1:19" x14ac:dyDescent="0.25">
      <c r="B68" s="116" t="str">
        <v/>
      </c>
      <c r="C68" s="117"/>
      <c r="D68" s="117"/>
      <c r="E68" s="117"/>
      <c r="F68" s="118"/>
      <c r="G68" s="119" t="str">
        <f>IF($B68="","",COUNTIFS(Jan[What was resident doing prior to fall?],$B68))</f>
        <v/>
      </c>
      <c r="H68" s="119" t="str">
        <f>IF($B68="","",COUNTIFS(Feb[What was resident doing prior to fall?],$B68))</f>
        <v/>
      </c>
      <c r="I68" s="119" t="str">
        <f>IF($B68="","",COUNTIFS(Mar[What was resident doing prior to fall?],$B68))</f>
        <v/>
      </c>
      <c r="J68" s="119" t="str">
        <f>IF($B68="","",COUNTIFS(Apr[What was resident doing prior to fall?],$B68))</f>
        <v/>
      </c>
      <c r="K68" s="119" t="str">
        <f>IF($B68="","",COUNTIFS(May[What was resident doing prior to fall?],$B68))</f>
        <v/>
      </c>
      <c r="L68" s="119" t="str">
        <f>IF($B68="","",COUNTIFS(June[What was resident doing prior to fall?],$B68))</f>
        <v/>
      </c>
      <c r="M68" s="119" t="str">
        <f>IF($B68="","",COUNTIFS(July[What was resident doing prior to fall?],$B68))</f>
        <v/>
      </c>
      <c r="N68" s="119" t="str">
        <f>IF($B68="","",COUNTIFS(Aug[What was resident doing prior to fall?],$B68))</f>
        <v/>
      </c>
      <c r="O68" s="119" t="str">
        <f>IF($B68="","",COUNTIFS(Sept[What was resident doing prior to fall?],$B68))</f>
        <v/>
      </c>
      <c r="P68" s="119" t="str">
        <f>IF($B68="","",COUNTIFS(Oct[What was resident doing prior to fall?],$B68))</f>
        <v/>
      </c>
      <c r="Q68" s="119" t="str">
        <f>IF($B68="","",COUNTIFS(Nov[What was resident doing prior to fall?],$B68))</f>
        <v/>
      </c>
      <c r="R68" s="119" t="str">
        <f>IF($B68="","",COUNTIFS(Dec[What was resident doing prior to fall?],$B68))</f>
        <v/>
      </c>
      <c r="S68" s="85" t="str">
        <f>IF($B68="","",_xlfn.AGGREGATE(9,6,G68:R68))</f>
        <v/>
      </c>
    </row>
    <row r="69" spans="1:19" x14ac:dyDescent="0.25">
      <c r="B69" s="116" t="s">
        <v>35</v>
      </c>
      <c r="C69" s="120"/>
      <c r="D69" s="120"/>
      <c r="E69" s="120"/>
      <c r="F69" s="121"/>
      <c r="G69" s="122">
        <f>SUM(G45:G68)</f>
        <v>0</v>
      </c>
      <c r="H69" s="85">
        <f t="shared" ref="H69:R69" si="6">SUM(H45:H68)</f>
        <v>0</v>
      </c>
      <c r="I69" s="85">
        <f t="shared" si="6"/>
        <v>0</v>
      </c>
      <c r="J69" s="85">
        <f t="shared" si="6"/>
        <v>0</v>
      </c>
      <c r="K69" s="85">
        <f t="shared" si="6"/>
        <v>0</v>
      </c>
      <c r="L69" s="85">
        <f t="shared" si="6"/>
        <v>0</v>
      </c>
      <c r="M69" s="85">
        <f t="shared" si="6"/>
        <v>0</v>
      </c>
      <c r="N69" s="85">
        <f t="shared" si="6"/>
        <v>0</v>
      </c>
      <c r="O69" s="85">
        <f t="shared" si="6"/>
        <v>0</v>
      </c>
      <c r="P69" s="85">
        <f t="shared" si="6"/>
        <v>0</v>
      </c>
      <c r="Q69" s="85">
        <f t="shared" si="6"/>
        <v>0</v>
      </c>
      <c r="R69" s="85">
        <f t="shared" si="6"/>
        <v>0</v>
      </c>
      <c r="S69" s="85">
        <f>SUM(S45:S68)</f>
        <v>0</v>
      </c>
    </row>
    <row r="71" spans="1:19" ht="21.4" customHeight="1" x14ac:dyDescent="0.25">
      <c r="B71" s="75" t="str">
        <f>"Falls by Activity "</f>
        <v xml:space="preserve">Falls by Activity </v>
      </c>
      <c r="C71" s="75"/>
      <c r="D71" s="75"/>
      <c r="E71" s="75"/>
      <c r="F71" s="75"/>
      <c r="G71" s="75"/>
    </row>
    <row r="72" spans="1:19" ht="15.6" customHeight="1" x14ac:dyDescent="0.25">
      <c r="A72" s="38"/>
      <c r="B72" s="123" t="s">
        <v>86</v>
      </c>
      <c r="C72" s="113"/>
      <c r="D72" s="124"/>
      <c r="E72" s="113"/>
      <c r="F72" s="125"/>
      <c r="G72" s="126" t="s">
        <v>35</v>
      </c>
    </row>
    <row r="73" spans="1:19" x14ac:dyDescent="0.25">
      <c r="A73" s="38"/>
      <c r="B73" s="116" t="str" cm="1">
        <f t="array" ref="B73:B96">IF(_xlfn._xlws.SORT(PriortoFall[What was the resident doing prior to fall?],1,1,TRUE)=0,"",(_xlfn._xlws.SORT(PriortoFall[What was the resident doing prior to fall?],1,1,TRUE)))</f>
        <v>Ambulating with assistive device (walker, cane, wheelchair)</v>
      </c>
      <c r="C73" s="117"/>
      <c r="D73" s="117"/>
      <c r="E73" s="117"/>
      <c r="F73" s="118"/>
      <c r="G73" s="119">
        <f>IF($B73="",NA(),$S45)</f>
        <v>0</v>
      </c>
      <c r="H73" s="43"/>
    </row>
    <row r="74" spans="1:19" x14ac:dyDescent="0.25">
      <c r="A74" s="38"/>
      <c r="B74" s="116" t="str">
        <v>Ambulating with staff assistance</v>
      </c>
      <c r="C74" s="117"/>
      <c r="D74" s="117"/>
      <c r="E74" s="117"/>
      <c r="F74" s="118"/>
      <c r="G74" s="119">
        <f t="shared" ref="G74:G96" si="7">IF($B74="",NA(),$S46)</f>
        <v>0</v>
      </c>
    </row>
    <row r="75" spans="1:19" x14ac:dyDescent="0.25">
      <c r="A75" s="38"/>
      <c r="B75" s="116" t="str">
        <v>Ambulating without assistance or assistive device</v>
      </c>
      <c r="C75" s="117"/>
      <c r="D75" s="117"/>
      <c r="E75" s="117"/>
      <c r="F75" s="118"/>
      <c r="G75" s="119">
        <f t="shared" si="7"/>
        <v>0</v>
      </c>
    </row>
    <row r="76" spans="1:19" x14ac:dyDescent="0.25">
      <c r="A76" s="38"/>
      <c r="B76" s="116" t="str">
        <v>Changing position (e.g., in bed, chair)</v>
      </c>
      <c r="C76" s="117"/>
      <c r="D76" s="117"/>
      <c r="E76" s="117"/>
      <c r="F76" s="118"/>
      <c r="G76" s="119">
        <f t="shared" si="7"/>
        <v>0</v>
      </c>
    </row>
    <row r="77" spans="1:19" x14ac:dyDescent="0.25">
      <c r="A77" s="38"/>
      <c r="B77" s="116" t="str">
        <v>Dressing or undressing</v>
      </c>
      <c r="C77" s="117"/>
      <c r="D77" s="117"/>
      <c r="E77" s="117"/>
      <c r="F77" s="118"/>
      <c r="G77" s="119">
        <f t="shared" si="7"/>
        <v>0</v>
      </c>
    </row>
    <row r="78" spans="1:19" x14ac:dyDescent="0.25">
      <c r="A78" s="38"/>
      <c r="B78" s="116" t="str">
        <v>Other activity</v>
      </c>
      <c r="C78" s="117"/>
      <c r="D78" s="117"/>
      <c r="E78" s="117"/>
      <c r="F78" s="118"/>
      <c r="G78" s="119">
        <f t="shared" si="7"/>
        <v>0</v>
      </c>
    </row>
    <row r="79" spans="1:19" x14ac:dyDescent="0.25">
      <c r="A79" s="38"/>
      <c r="B79" s="116" t="str">
        <v>Reaching for an item</v>
      </c>
      <c r="C79" s="117"/>
      <c r="D79" s="117"/>
      <c r="E79" s="117"/>
      <c r="F79" s="118"/>
      <c r="G79" s="119">
        <f t="shared" si="7"/>
        <v>0</v>
      </c>
    </row>
    <row r="80" spans="1:19" x14ac:dyDescent="0.25">
      <c r="A80" s="38"/>
      <c r="B80" s="116" t="str">
        <v>Showering or bathing</v>
      </c>
      <c r="C80" s="117"/>
      <c r="D80" s="117"/>
      <c r="E80" s="117"/>
      <c r="F80" s="118"/>
      <c r="G80" s="119">
        <f t="shared" si="7"/>
        <v>0</v>
      </c>
    </row>
    <row r="81" spans="1:7" x14ac:dyDescent="0.25">
      <c r="A81" s="38"/>
      <c r="B81" s="116" t="str">
        <v>Toileting</v>
      </c>
      <c r="C81" s="117"/>
      <c r="D81" s="117"/>
      <c r="E81" s="117"/>
      <c r="F81" s="118"/>
      <c r="G81" s="119">
        <f t="shared" si="7"/>
        <v>0</v>
      </c>
    </row>
    <row r="82" spans="1:7" x14ac:dyDescent="0.25">
      <c r="A82" s="38"/>
      <c r="B82" s="116" t="str">
        <v>Transferring to or from bed, chair, wheelchair, etc.</v>
      </c>
      <c r="C82" s="117"/>
      <c r="D82" s="117"/>
      <c r="E82" s="117"/>
      <c r="F82" s="118"/>
      <c r="G82" s="119">
        <f t="shared" si="7"/>
        <v>0</v>
      </c>
    </row>
    <row r="83" spans="1:7" x14ac:dyDescent="0.25">
      <c r="A83" s="38"/>
      <c r="B83" s="116" t="str">
        <v>Unknown</v>
      </c>
      <c r="C83" s="117"/>
      <c r="D83" s="117"/>
      <c r="E83" s="117"/>
      <c r="F83" s="118"/>
      <c r="G83" s="119">
        <f t="shared" si="7"/>
        <v>0</v>
      </c>
    </row>
    <row r="84" spans="1:7" x14ac:dyDescent="0.25">
      <c r="A84" s="38"/>
      <c r="B84" s="116" t="str">
        <v/>
      </c>
      <c r="C84" s="117"/>
      <c r="D84" s="117"/>
      <c r="E84" s="117"/>
      <c r="F84" s="118"/>
      <c r="G84" s="119" t="e">
        <f t="shared" si="7"/>
        <v>#N/A</v>
      </c>
    </row>
    <row r="85" spans="1:7" x14ac:dyDescent="0.25">
      <c r="A85" s="38"/>
      <c r="B85" s="116" t="str">
        <v/>
      </c>
      <c r="C85" s="117"/>
      <c r="D85" s="117"/>
      <c r="E85" s="117"/>
      <c r="F85" s="118"/>
      <c r="G85" s="119" t="e">
        <f t="shared" si="7"/>
        <v>#N/A</v>
      </c>
    </row>
    <row r="86" spans="1:7" x14ac:dyDescent="0.25">
      <c r="A86" s="38"/>
      <c r="B86" s="116" t="str">
        <v/>
      </c>
      <c r="C86" s="117"/>
      <c r="D86" s="117"/>
      <c r="E86" s="117"/>
      <c r="F86" s="118"/>
      <c r="G86" s="119" t="e">
        <f t="shared" si="7"/>
        <v>#N/A</v>
      </c>
    </row>
    <row r="87" spans="1:7" x14ac:dyDescent="0.25">
      <c r="A87" s="38"/>
      <c r="B87" s="116" t="str">
        <v/>
      </c>
      <c r="C87" s="117"/>
      <c r="D87" s="117"/>
      <c r="E87" s="117"/>
      <c r="F87" s="118"/>
      <c r="G87" s="119" t="e">
        <f t="shared" si="7"/>
        <v>#N/A</v>
      </c>
    </row>
    <row r="88" spans="1:7" x14ac:dyDescent="0.25">
      <c r="A88" s="38"/>
      <c r="B88" s="116" t="str">
        <v/>
      </c>
      <c r="C88" s="117"/>
      <c r="D88" s="117"/>
      <c r="E88" s="117"/>
      <c r="F88" s="118"/>
      <c r="G88" s="119" t="e">
        <f t="shared" si="7"/>
        <v>#N/A</v>
      </c>
    </row>
    <row r="89" spans="1:7" x14ac:dyDescent="0.25">
      <c r="A89" s="38"/>
      <c r="B89" s="116" t="str">
        <v/>
      </c>
      <c r="C89" s="117"/>
      <c r="D89" s="117"/>
      <c r="E89" s="117"/>
      <c r="F89" s="118"/>
      <c r="G89" s="119" t="e">
        <f t="shared" si="7"/>
        <v>#N/A</v>
      </c>
    </row>
    <row r="90" spans="1:7" x14ac:dyDescent="0.25">
      <c r="A90" s="38"/>
      <c r="B90" s="116" t="str">
        <v/>
      </c>
      <c r="C90" s="117"/>
      <c r="D90" s="117"/>
      <c r="E90" s="117"/>
      <c r="F90" s="118"/>
      <c r="G90" s="119" t="e">
        <f>IF($B90="",NA(),$S62)</f>
        <v>#N/A</v>
      </c>
    </row>
    <row r="91" spans="1:7" x14ac:dyDescent="0.25">
      <c r="A91" s="38"/>
      <c r="B91" s="116" t="str">
        <v/>
      </c>
      <c r="C91" s="117"/>
      <c r="D91" s="117"/>
      <c r="E91" s="117"/>
      <c r="F91" s="118"/>
      <c r="G91" s="119" t="e">
        <f t="shared" si="7"/>
        <v>#N/A</v>
      </c>
    </row>
    <row r="92" spans="1:7" x14ac:dyDescent="0.25">
      <c r="A92" s="38"/>
      <c r="B92" s="116" t="str">
        <v/>
      </c>
      <c r="C92" s="117"/>
      <c r="D92" s="117"/>
      <c r="E92" s="117"/>
      <c r="F92" s="118"/>
      <c r="G92" s="119" t="e">
        <f t="shared" si="7"/>
        <v>#N/A</v>
      </c>
    </row>
    <row r="93" spans="1:7" x14ac:dyDescent="0.25">
      <c r="A93" s="38"/>
      <c r="B93" s="116" t="str">
        <v/>
      </c>
      <c r="C93" s="117"/>
      <c r="D93" s="117"/>
      <c r="E93" s="117"/>
      <c r="F93" s="118"/>
      <c r="G93" s="119" t="e">
        <f t="shared" si="7"/>
        <v>#N/A</v>
      </c>
    </row>
    <row r="94" spans="1:7" x14ac:dyDescent="0.25">
      <c r="A94" s="38"/>
      <c r="B94" s="116" t="str">
        <v/>
      </c>
      <c r="C94" s="117"/>
      <c r="D94" s="117"/>
      <c r="E94" s="117"/>
      <c r="F94" s="118"/>
      <c r="G94" s="119" t="e">
        <f t="shared" si="7"/>
        <v>#N/A</v>
      </c>
    </row>
    <row r="95" spans="1:7" x14ac:dyDescent="0.25">
      <c r="A95" s="38"/>
      <c r="B95" s="116" t="str">
        <v/>
      </c>
      <c r="C95" s="117"/>
      <c r="D95" s="117"/>
      <c r="E95" s="117"/>
      <c r="F95" s="118"/>
      <c r="G95" s="119" t="e">
        <f t="shared" si="7"/>
        <v>#N/A</v>
      </c>
    </row>
    <row r="96" spans="1:7" x14ac:dyDescent="0.25">
      <c r="A96" s="38"/>
      <c r="B96" s="116" t="str">
        <v/>
      </c>
      <c r="C96" s="117"/>
      <c r="D96" s="117"/>
      <c r="E96" s="117"/>
      <c r="F96" s="118"/>
      <c r="G96" s="119" t="e">
        <f t="shared" si="7"/>
        <v>#N/A</v>
      </c>
    </row>
    <row r="97" spans="2:19" ht="15.6" customHeight="1" x14ac:dyDescent="0.25">
      <c r="B97" s="116" t="s">
        <v>35</v>
      </c>
      <c r="C97" s="120"/>
      <c r="D97" s="120"/>
      <c r="E97" s="120"/>
      <c r="F97" s="121"/>
      <c r="G97" s="127">
        <f>_xlfn.AGGREGATE(9,6,G73:G96)</f>
        <v>0</v>
      </c>
    </row>
    <row r="99" spans="2:19" x14ac:dyDescent="0.25">
      <c r="B99" s="110" t="str">
        <f>"Falls by Contributing Factors "&amp;IF(Jan!$C$1=0,"",Jan!$C$1)</f>
        <v xml:space="preserve">Falls by Contributing Factors </v>
      </c>
      <c r="C99" s="111"/>
      <c r="D99" s="111"/>
      <c r="E99" s="111"/>
      <c r="F99" s="111"/>
      <c r="G99" s="78"/>
      <c r="H99" s="78"/>
      <c r="I99" s="78"/>
      <c r="J99" s="78"/>
      <c r="K99" s="78"/>
      <c r="L99" s="79"/>
      <c r="M99" s="79"/>
      <c r="N99" s="79"/>
      <c r="O99" s="79"/>
      <c r="P99" s="79"/>
      <c r="Q99" s="79"/>
      <c r="R99" s="79"/>
      <c r="S99" s="79"/>
    </row>
    <row r="100" spans="2:19" x14ac:dyDescent="0.25">
      <c r="B100" s="128" t="s">
        <v>92</v>
      </c>
      <c r="C100" s="129"/>
      <c r="D100" s="129"/>
      <c r="E100" s="129"/>
      <c r="F100" s="130"/>
      <c r="G100" s="115" t="s">
        <v>4</v>
      </c>
      <c r="H100" s="82" t="s">
        <v>5</v>
      </c>
      <c r="I100" s="82" t="s">
        <v>6</v>
      </c>
      <c r="J100" s="82" t="s">
        <v>7</v>
      </c>
      <c r="K100" s="82" t="s">
        <v>8</v>
      </c>
      <c r="L100" s="82" t="s">
        <v>9</v>
      </c>
      <c r="M100" s="82" t="s">
        <v>10</v>
      </c>
      <c r="N100" s="82" t="s">
        <v>11</v>
      </c>
      <c r="O100" s="82" t="s">
        <v>12</v>
      </c>
      <c r="P100" s="82" t="s">
        <v>13</v>
      </c>
      <c r="Q100" s="82" t="s">
        <v>14</v>
      </c>
      <c r="R100" s="82" t="s">
        <v>15</v>
      </c>
      <c r="S100" s="82" t="s">
        <v>16</v>
      </c>
    </row>
    <row r="101" spans="2:19" x14ac:dyDescent="0.25">
      <c r="B101" s="116" t="str" cm="1">
        <f t="array" ref="B101:B124">IF(_xlfn._xlws.SORT(CF[Contributing Factors],1,1,TRUE)=0,"",(_xlfn._xlws.SORT(CF[Contributing Factors],1,1,TRUE)))</f>
        <v>Assisted/caregiver transfer</v>
      </c>
      <c r="C101" s="117"/>
      <c r="D101" s="117"/>
      <c r="E101" s="117"/>
      <c r="F101" s="118"/>
      <c r="G101" s="119">
        <f>IF($B101="","",COUNTIFS(Jan[Contributing Factors],$B101))</f>
        <v>0</v>
      </c>
      <c r="H101" s="119">
        <f>IF($B101="","",COUNTIFS(Feb[Contributing Factors],$B101))</f>
        <v>0</v>
      </c>
      <c r="I101" s="119">
        <f>IF($B101="","",COUNTIFS(Mar[Contributing Factors],$B101))</f>
        <v>0</v>
      </c>
      <c r="J101" s="119">
        <f>IF($B101="","",COUNTIFS(Apr[Contributing Factors],$B101))</f>
        <v>0</v>
      </c>
      <c r="K101" s="119">
        <f>IF($B101="","",COUNTIFS(May[Contributing Factors],$B101))</f>
        <v>0</v>
      </c>
      <c r="L101" s="119">
        <f>IF($B101="","",COUNTIFS(June[Contributing Factors],$B101))</f>
        <v>0</v>
      </c>
      <c r="M101" s="119">
        <f>IF($B101="","",COUNTIFS(July[Contributing Factors],$B101))</f>
        <v>0</v>
      </c>
      <c r="N101" s="119">
        <f>IF($B101="","",COUNTIFS(Aug[Contributing Factors],$B101))</f>
        <v>0</v>
      </c>
      <c r="O101" s="119">
        <f>IF($B101="","",COUNTIFS(Sept[Contributing Factors],$B101))</f>
        <v>0</v>
      </c>
      <c r="P101" s="119">
        <f>IF($B101="","",COUNTIFS(Oct[Contributing Factors],$B101))</f>
        <v>0</v>
      </c>
      <c r="Q101" s="119">
        <f>IF($B101="","",COUNTIFS(Nov[Contributing Factors],$B101))</f>
        <v>0</v>
      </c>
      <c r="R101" s="119">
        <f>IF($B101="","",COUNTIFS(Dec[Contributing Factors],$B101))</f>
        <v>0</v>
      </c>
      <c r="S101" s="85">
        <f>IF($B101="","",_xlfn.AGGREGATE(9,6,G101:R101))</f>
        <v>0</v>
      </c>
    </row>
    <row r="102" spans="2:19" x14ac:dyDescent="0.25">
      <c r="B102" s="116" t="str">
        <v>Bowel and bladder (B&amp;B) needs</v>
      </c>
      <c r="C102" s="117"/>
      <c r="D102" s="117"/>
      <c r="E102" s="117"/>
      <c r="F102" s="118"/>
      <c r="G102" s="119">
        <f>IF($B102="","",COUNTIFS(Jan[Contributing Factors],$B102))</f>
        <v>0</v>
      </c>
      <c r="H102" s="119">
        <f>IF($B102="","",COUNTIFS(Feb[Contributing Factors],$B102))</f>
        <v>0</v>
      </c>
      <c r="I102" s="119">
        <f>IF($B102="","",COUNTIFS(Mar[Contributing Factors],$B102))</f>
        <v>0</v>
      </c>
      <c r="J102" s="119">
        <f>IF($B102="","",COUNTIFS(Apr[Contributing Factors],$B102))</f>
        <v>0</v>
      </c>
      <c r="K102" s="119">
        <f>IF($B102="","",COUNTIFS(May[Contributing Factors],$B102))</f>
        <v>0</v>
      </c>
      <c r="L102" s="119">
        <f>IF($B102="","",COUNTIFS(June[Contributing Factors],$B102))</f>
        <v>0</v>
      </c>
      <c r="M102" s="119">
        <f>IF($B102="","",COUNTIFS(July[Contributing Factors],$B102))</f>
        <v>0</v>
      </c>
      <c r="N102" s="119">
        <f>IF($B102="","",COUNTIFS(Aug[Contributing Factors],$B102))</f>
        <v>0</v>
      </c>
      <c r="O102" s="119">
        <f>IF($B102="","",COUNTIFS(Sept[Contributing Factors],$B102))</f>
        <v>0</v>
      </c>
      <c r="P102" s="119">
        <f>IF($B102="","",COUNTIFS(Oct[Contributing Factors],$B102))</f>
        <v>0</v>
      </c>
      <c r="Q102" s="119">
        <f>IF($B102="","",COUNTIFS(Nov[Contributing Factors],$B102))</f>
        <v>0</v>
      </c>
      <c r="R102" s="119">
        <f>IF($B102="","",COUNTIFS(Dec[Contributing Factors],$B102))</f>
        <v>0</v>
      </c>
      <c r="S102" s="85">
        <f t="shared" ref="S102:S124" si="8">IF($B102="","",_xlfn.AGGREGATE(9,6,G102:R102))</f>
        <v>0</v>
      </c>
    </row>
    <row r="103" spans="2:19" x14ac:dyDescent="0.25">
      <c r="B103" s="116" t="str">
        <v>Behavioral or situational</v>
      </c>
      <c r="C103" s="117"/>
      <c r="D103" s="117"/>
      <c r="E103" s="117"/>
      <c r="F103" s="118"/>
      <c r="G103" s="119">
        <f>IF($B103="","",COUNTIFS(Jan[Contributing Factors],$B103))</f>
        <v>0</v>
      </c>
      <c r="H103" s="119">
        <f>IF($B103="","",COUNTIFS(Feb[Contributing Factors],$B103))</f>
        <v>0</v>
      </c>
      <c r="I103" s="119">
        <f>IF($B103="","",COUNTIFS(Mar[Contributing Factors],$B103))</f>
        <v>0</v>
      </c>
      <c r="J103" s="119">
        <f>IF($B103="","",COUNTIFS(Apr[Contributing Factors],$B103))</f>
        <v>0</v>
      </c>
      <c r="K103" s="119">
        <f>IF($B103="","",COUNTIFS(May[Contributing Factors],$B103))</f>
        <v>0</v>
      </c>
      <c r="L103" s="119">
        <f>IF($B103="","",COUNTIFS(June[Contributing Factors],$B103))</f>
        <v>0</v>
      </c>
      <c r="M103" s="119">
        <f>IF($B103="","",COUNTIFS(July[Contributing Factors],$B103))</f>
        <v>0</v>
      </c>
      <c r="N103" s="119">
        <f>IF($B103="","",COUNTIFS(Aug[Contributing Factors],$B103))</f>
        <v>0</v>
      </c>
      <c r="O103" s="119">
        <f>IF($B103="","",COUNTIFS(Sept[Contributing Factors],$B103))</f>
        <v>0</v>
      </c>
      <c r="P103" s="119">
        <f>IF($B103="","",COUNTIFS(Oct[Contributing Factors],$B103))</f>
        <v>0</v>
      </c>
      <c r="Q103" s="119">
        <f>IF($B103="","",COUNTIFS(Nov[Contributing Factors],$B103))</f>
        <v>0</v>
      </c>
      <c r="R103" s="119">
        <f>IF($B103="","",COUNTIFS(Dec[Contributing Factors],$B103))</f>
        <v>0</v>
      </c>
      <c r="S103" s="85">
        <f t="shared" si="8"/>
        <v>0</v>
      </c>
    </row>
    <row r="104" spans="2:19" x14ac:dyDescent="0.25">
      <c r="B104" s="116" t="str">
        <v>Change of condition</v>
      </c>
      <c r="C104" s="117"/>
      <c r="D104" s="117"/>
      <c r="E104" s="117"/>
      <c r="F104" s="118"/>
      <c r="G104" s="119">
        <f>IF($B104="","",COUNTIFS(Jan[Contributing Factors],$B104))</f>
        <v>0</v>
      </c>
      <c r="H104" s="119">
        <f>IF($B104="","",COUNTIFS(Feb[Contributing Factors],$B104))</f>
        <v>0</v>
      </c>
      <c r="I104" s="119">
        <f>IF($B104="","",COUNTIFS(Mar[Contributing Factors],$B104))</f>
        <v>0</v>
      </c>
      <c r="J104" s="119">
        <f>IF($B104="","",COUNTIFS(Apr[Contributing Factors],$B104))</f>
        <v>0</v>
      </c>
      <c r="K104" s="119">
        <f>IF($B104="","",COUNTIFS(May[Contributing Factors],$B104))</f>
        <v>0</v>
      </c>
      <c r="L104" s="119">
        <f>IF($B104="","",COUNTIFS(June[Contributing Factors],$B104))</f>
        <v>0</v>
      </c>
      <c r="M104" s="119">
        <f>IF($B104="","",COUNTIFS(July[Contributing Factors],$B104))</f>
        <v>0</v>
      </c>
      <c r="N104" s="119">
        <f>IF($B104="","",COUNTIFS(Aug[Contributing Factors],$B104))</f>
        <v>0</v>
      </c>
      <c r="O104" s="119">
        <f>IF($B104="","",COUNTIFS(Sept[Contributing Factors],$B104))</f>
        <v>0</v>
      </c>
      <c r="P104" s="119">
        <f>IF($B104="","",COUNTIFS(Oct[Contributing Factors],$B104))</f>
        <v>0</v>
      </c>
      <c r="Q104" s="119">
        <f>IF($B104="","",COUNTIFS(Nov[Contributing Factors],$B104))</f>
        <v>0</v>
      </c>
      <c r="R104" s="119">
        <f>IF($B104="","",COUNTIFS(Dec[Contributing Factors],$B104))</f>
        <v>0</v>
      </c>
      <c r="S104" s="85">
        <f t="shared" si="8"/>
        <v>0</v>
      </c>
    </row>
    <row r="105" spans="2:19" x14ac:dyDescent="0.25">
      <c r="B105" s="116" t="str">
        <v>Environmental factors</v>
      </c>
      <c r="C105" s="117"/>
      <c r="D105" s="117"/>
      <c r="E105" s="117"/>
      <c r="F105" s="118"/>
      <c r="G105" s="119">
        <f>IF($B105="","",COUNTIFS(Jan[Contributing Factors],$B105))</f>
        <v>0</v>
      </c>
      <c r="H105" s="119">
        <f>IF($B105="","",COUNTIFS(Feb[Contributing Factors],$B105))</f>
        <v>0</v>
      </c>
      <c r="I105" s="119">
        <f>IF($B105="","",COUNTIFS(Mar[Contributing Factors],$B105))</f>
        <v>0</v>
      </c>
      <c r="J105" s="119">
        <f>IF($B105="","",COUNTIFS(Apr[Contributing Factors],$B105))</f>
        <v>0</v>
      </c>
      <c r="K105" s="119">
        <f>IF($B105="","",COUNTIFS(May[Contributing Factors],$B105))</f>
        <v>0</v>
      </c>
      <c r="L105" s="119">
        <f>IF($B105="","",COUNTIFS(June[Contributing Factors],$B105))</f>
        <v>0</v>
      </c>
      <c r="M105" s="119">
        <f>IF($B105="","",COUNTIFS(July[Contributing Factors],$B105))</f>
        <v>0</v>
      </c>
      <c r="N105" s="119">
        <f>IF($B105="","",COUNTIFS(Aug[Contributing Factors],$B105))</f>
        <v>0</v>
      </c>
      <c r="O105" s="119">
        <f>IF($B105="","",COUNTIFS(Sept[Contributing Factors],$B105))</f>
        <v>0</v>
      </c>
      <c r="P105" s="119">
        <f>IF($B105="","",COUNTIFS(Oct[Contributing Factors],$B105))</f>
        <v>0</v>
      </c>
      <c r="Q105" s="119">
        <f>IF($B105="","",COUNTIFS(Nov[Contributing Factors],$B105))</f>
        <v>0</v>
      </c>
      <c r="R105" s="119">
        <f>IF($B105="","",COUNTIFS(Dec[Contributing Factors],$B105))</f>
        <v>0</v>
      </c>
      <c r="S105" s="85">
        <f t="shared" si="8"/>
        <v>0</v>
      </c>
    </row>
    <row r="106" spans="2:19" x14ac:dyDescent="0.25">
      <c r="B106" s="116" t="str">
        <v>Equipment malfunction</v>
      </c>
      <c r="C106" s="117"/>
      <c r="D106" s="117"/>
      <c r="E106" s="117"/>
      <c r="F106" s="118"/>
      <c r="G106" s="119">
        <f>IF($B106="","",COUNTIFS(Jan[Contributing Factors],$B106))</f>
        <v>0</v>
      </c>
      <c r="H106" s="119">
        <f>IF($B106="","",COUNTIFS(Feb[Contributing Factors],$B106))</f>
        <v>0</v>
      </c>
      <c r="I106" s="119">
        <f>IF($B106="","",COUNTIFS(Mar[Contributing Factors],$B106))</f>
        <v>0</v>
      </c>
      <c r="J106" s="119">
        <f>IF($B106="","",COUNTIFS(Apr[Contributing Factors],$B106))</f>
        <v>0</v>
      </c>
      <c r="K106" s="119">
        <f>IF($B106="","",COUNTIFS(May[Contributing Factors],$B106))</f>
        <v>0</v>
      </c>
      <c r="L106" s="119">
        <f>IF($B106="","",COUNTIFS(June[Contributing Factors],$B106))</f>
        <v>0</v>
      </c>
      <c r="M106" s="119">
        <f>IF($B106="","",COUNTIFS(July[Contributing Factors],$B106))</f>
        <v>0</v>
      </c>
      <c r="N106" s="119">
        <f>IF($B106="","",COUNTIFS(Aug[Contributing Factors],$B106))</f>
        <v>0</v>
      </c>
      <c r="O106" s="119">
        <f>IF($B106="","",COUNTIFS(Sept[Contributing Factors],$B106))</f>
        <v>0</v>
      </c>
      <c r="P106" s="119">
        <f>IF($B106="","",COUNTIFS(Oct[Contributing Factors],$B106))</f>
        <v>0</v>
      </c>
      <c r="Q106" s="119">
        <f>IF($B106="","",COUNTIFS(Nov[Contributing Factors],$B106))</f>
        <v>0</v>
      </c>
      <c r="R106" s="119">
        <f>IF($B106="","",COUNTIFS(Dec[Contributing Factors],$B106))</f>
        <v>0</v>
      </c>
      <c r="S106" s="85">
        <f t="shared" si="8"/>
        <v>0</v>
      </c>
    </row>
    <row r="107" spans="2:19" x14ac:dyDescent="0.25">
      <c r="B107" s="116" t="str">
        <v>Equipment or assistive device</v>
      </c>
      <c r="C107" s="117"/>
      <c r="D107" s="117"/>
      <c r="E107" s="117"/>
      <c r="F107" s="118"/>
      <c r="G107" s="119">
        <f>IF($B107="","",COUNTIFS(Jan[Contributing Factors],$B107))</f>
        <v>0</v>
      </c>
      <c r="H107" s="119">
        <f>IF($B107="","",COUNTIFS(Feb[Contributing Factors],$B107))</f>
        <v>0</v>
      </c>
      <c r="I107" s="119">
        <f>IF($B107="","",COUNTIFS(Mar[Contributing Factors],$B107))</f>
        <v>0</v>
      </c>
      <c r="J107" s="119">
        <f>IF($B107="","",COUNTIFS(Apr[Contributing Factors],$B107))</f>
        <v>0</v>
      </c>
      <c r="K107" s="119">
        <f>IF($B107="","",COUNTIFS(May[Contributing Factors],$B107))</f>
        <v>0</v>
      </c>
      <c r="L107" s="119">
        <f>IF($B107="","",COUNTIFS(June[Contributing Factors],$B107))</f>
        <v>0</v>
      </c>
      <c r="M107" s="119">
        <f>IF($B107="","",COUNTIFS(July[Contributing Factors],$B107))</f>
        <v>0</v>
      </c>
      <c r="N107" s="119">
        <f>IF($B107="","",COUNTIFS(Aug[Contributing Factors],$B107))</f>
        <v>0</v>
      </c>
      <c r="O107" s="119">
        <f>IF($B107="","",COUNTIFS(Sept[Contributing Factors],$B107))</f>
        <v>0</v>
      </c>
      <c r="P107" s="119">
        <f>IF($B107="","",COUNTIFS(Oct[Contributing Factors],$B107))</f>
        <v>0</v>
      </c>
      <c r="Q107" s="119">
        <f>IF($B107="","",COUNTIFS(Nov[Contributing Factors],$B107))</f>
        <v>0</v>
      </c>
      <c r="R107" s="119">
        <f>IF($B107="","",COUNTIFS(Dec[Contributing Factors],$B107))</f>
        <v>0</v>
      </c>
      <c r="S107" s="85">
        <f t="shared" si="8"/>
        <v>0</v>
      </c>
    </row>
    <row r="108" spans="2:19" x14ac:dyDescent="0.25">
      <c r="B108" s="116" t="str">
        <v>Medication related</v>
      </c>
      <c r="C108" s="117"/>
      <c r="D108" s="117"/>
      <c r="E108" s="117"/>
      <c r="F108" s="118"/>
      <c r="G108" s="119">
        <f>IF($B108="","",COUNTIFS(Jan[Contributing Factors],$B108))</f>
        <v>0</v>
      </c>
      <c r="H108" s="119">
        <f>IF($B108="","",COUNTIFS(Feb[Contributing Factors],$B108))</f>
        <v>0</v>
      </c>
      <c r="I108" s="119">
        <f>IF($B108="","",COUNTIFS(Mar[Contributing Factors],$B108))</f>
        <v>0</v>
      </c>
      <c r="J108" s="119">
        <f>IF($B108="","",COUNTIFS(Apr[Contributing Factors],$B108))</f>
        <v>0</v>
      </c>
      <c r="K108" s="119">
        <f>IF($B108="","",COUNTIFS(May[Contributing Factors],$B108))</f>
        <v>0</v>
      </c>
      <c r="L108" s="119">
        <f>IF($B108="","",COUNTIFS(June[Contributing Factors],$B108))</f>
        <v>0</v>
      </c>
      <c r="M108" s="119">
        <f>IF($B108="","",COUNTIFS(July[Contributing Factors],$B108))</f>
        <v>0</v>
      </c>
      <c r="N108" s="119">
        <f>IF($B108="","",COUNTIFS(Aug[Contributing Factors],$B108))</f>
        <v>0</v>
      </c>
      <c r="O108" s="119">
        <f>IF($B108="","",COUNTIFS(Sept[Contributing Factors],$B108))</f>
        <v>0</v>
      </c>
      <c r="P108" s="119">
        <f>IF($B108="","",COUNTIFS(Oct[Contributing Factors],$B108))</f>
        <v>0</v>
      </c>
      <c r="Q108" s="119">
        <f>IF($B108="","",COUNTIFS(Nov[Contributing Factors],$B108))</f>
        <v>0</v>
      </c>
      <c r="R108" s="119">
        <f>IF($B108="","",COUNTIFS(Dec[Contributing Factors],$B108))</f>
        <v>0</v>
      </c>
      <c r="S108" s="85">
        <f t="shared" si="8"/>
        <v>0</v>
      </c>
    </row>
    <row r="109" spans="2:19" x14ac:dyDescent="0.25">
      <c r="B109" s="116" t="str">
        <v>Process(s) not followed</v>
      </c>
      <c r="C109" s="117"/>
      <c r="D109" s="117"/>
      <c r="E109" s="117"/>
      <c r="F109" s="118"/>
      <c r="G109" s="119">
        <f>IF($B109="","",COUNTIFS(Jan[Contributing Factors],$B109))</f>
        <v>0</v>
      </c>
      <c r="H109" s="119">
        <f>IF($B109="","",COUNTIFS(Feb[Contributing Factors],$B109))</f>
        <v>0</v>
      </c>
      <c r="I109" s="119">
        <f>IF($B109="","",COUNTIFS(Mar[Contributing Factors],$B109))</f>
        <v>0</v>
      </c>
      <c r="J109" s="119">
        <f>IF($B109="","",COUNTIFS(Apr[Contributing Factors],$B109))</f>
        <v>0</v>
      </c>
      <c r="K109" s="119">
        <f>IF($B109="","",COUNTIFS(May[Contributing Factors],$B109))</f>
        <v>0</v>
      </c>
      <c r="L109" s="119">
        <f>IF($B109="","",COUNTIFS(June[Contributing Factors],$B109))</f>
        <v>0</v>
      </c>
      <c r="M109" s="119">
        <f>IF($B109="","",COUNTIFS(July[Contributing Factors],$B109))</f>
        <v>0</v>
      </c>
      <c r="N109" s="119">
        <f>IF($B109="","",COUNTIFS(Aug[Contributing Factors],$B109))</f>
        <v>0</v>
      </c>
      <c r="O109" s="119">
        <f>IF($B109="","",COUNTIFS(Sept[Contributing Factors],$B109))</f>
        <v>0</v>
      </c>
      <c r="P109" s="119">
        <f>IF($B109="","",COUNTIFS(Oct[Contributing Factors],$B109))</f>
        <v>0</v>
      </c>
      <c r="Q109" s="119">
        <f>IF($B109="","",COUNTIFS(Nov[Contributing Factors],$B109))</f>
        <v>0</v>
      </c>
      <c r="R109" s="119">
        <f>IF($B109="","",COUNTIFS(Dec[Contributing Factors],$B109))</f>
        <v>0</v>
      </c>
      <c r="S109" s="85">
        <f t="shared" si="8"/>
        <v>0</v>
      </c>
    </row>
    <row r="110" spans="2:19" x14ac:dyDescent="0.25">
      <c r="B110" s="116" t="str">
        <v>Resident health conditions</v>
      </c>
      <c r="C110" s="117"/>
      <c r="D110" s="117"/>
      <c r="E110" s="117"/>
      <c r="F110" s="118"/>
      <c r="G110" s="119">
        <f>IF($B110="","",COUNTIFS(Jan[Contributing Factors],$B110))</f>
        <v>0</v>
      </c>
      <c r="H110" s="119">
        <f>IF($B110="","",COUNTIFS(Feb[Contributing Factors],$B110))</f>
        <v>0</v>
      </c>
      <c r="I110" s="119">
        <f>IF($B110="","",COUNTIFS(Mar[Contributing Factors],$B110))</f>
        <v>0</v>
      </c>
      <c r="J110" s="119">
        <f>IF($B110="","",COUNTIFS(Apr[Contributing Factors],$B110))</f>
        <v>0</v>
      </c>
      <c r="K110" s="119">
        <f>IF($B110="","",COUNTIFS(May[Contributing Factors],$B110))</f>
        <v>0</v>
      </c>
      <c r="L110" s="119">
        <f>IF($B110="","",COUNTIFS(June[Contributing Factors],$B110))</f>
        <v>0</v>
      </c>
      <c r="M110" s="119">
        <f>IF($B110="","",COUNTIFS(July[Contributing Factors],$B110))</f>
        <v>0</v>
      </c>
      <c r="N110" s="119">
        <f>IF($B110="","",COUNTIFS(Aug[Contributing Factors],$B110))</f>
        <v>0</v>
      </c>
      <c r="O110" s="119">
        <f>IF($B110="","",COUNTIFS(Sept[Contributing Factors],$B110))</f>
        <v>0</v>
      </c>
      <c r="P110" s="119">
        <f>IF($B110="","",COUNTIFS(Oct[Contributing Factors],$B110))</f>
        <v>0</v>
      </c>
      <c r="Q110" s="119">
        <f>IF($B110="","",COUNTIFS(Nov[Contributing Factors],$B110))</f>
        <v>0</v>
      </c>
      <c r="R110" s="119">
        <f>IF($B110="","",COUNTIFS(Dec[Contributing Factors],$B110))</f>
        <v>0</v>
      </c>
      <c r="S110" s="85">
        <f t="shared" si="8"/>
        <v>0</v>
      </c>
    </row>
    <row r="111" spans="2:19" x14ac:dyDescent="0.25">
      <c r="B111" s="116" t="str">
        <v>Staff</v>
      </c>
      <c r="C111" s="117"/>
      <c r="D111" s="117"/>
      <c r="E111" s="117"/>
      <c r="F111" s="118"/>
      <c r="G111" s="119">
        <f>IF($B111="","",COUNTIFS(Jan[Contributing Factors],$B111))</f>
        <v>0</v>
      </c>
      <c r="H111" s="119">
        <f>IF($B111="","",COUNTIFS(Feb[Contributing Factors],$B111))</f>
        <v>0</v>
      </c>
      <c r="I111" s="119">
        <f>IF($B111="","",COUNTIFS(Mar[Contributing Factors],$B111))</f>
        <v>0</v>
      </c>
      <c r="J111" s="119">
        <f>IF($B111="","",COUNTIFS(Apr[Contributing Factors],$B111))</f>
        <v>0</v>
      </c>
      <c r="K111" s="119">
        <f>IF($B111="","",COUNTIFS(May[Contributing Factors],$B111))</f>
        <v>0</v>
      </c>
      <c r="L111" s="119">
        <f>IF($B111="","",COUNTIFS(June[Contributing Factors],$B111))</f>
        <v>0</v>
      </c>
      <c r="M111" s="119">
        <f>IF($B111="","",COUNTIFS(July[Contributing Factors],$B111))</f>
        <v>0</v>
      </c>
      <c r="N111" s="119">
        <f>IF($B111="","",COUNTIFS(Aug[Contributing Factors],$B111))</f>
        <v>0</v>
      </c>
      <c r="O111" s="119">
        <f>IF($B111="","",COUNTIFS(Sept[Contributing Factors],$B111))</f>
        <v>0</v>
      </c>
      <c r="P111" s="119">
        <f>IF($B111="","",COUNTIFS(Oct[Contributing Factors],$B111))</f>
        <v>0</v>
      </c>
      <c r="Q111" s="119">
        <f>IF($B111="","",COUNTIFS(Nov[Contributing Factors],$B111))</f>
        <v>0</v>
      </c>
      <c r="R111" s="119">
        <f>IF($B111="","",COUNTIFS(Dec[Contributing Factors],$B111))</f>
        <v>0</v>
      </c>
      <c r="S111" s="85">
        <f t="shared" si="8"/>
        <v>0</v>
      </c>
    </row>
    <row r="112" spans="2:19" x14ac:dyDescent="0.25">
      <c r="B112" s="116" t="str">
        <v/>
      </c>
      <c r="C112" s="117"/>
      <c r="D112" s="117"/>
      <c r="E112" s="117"/>
      <c r="F112" s="118"/>
      <c r="G112" s="119" t="str">
        <f>IF($B112="","",COUNTIFS(Jan[Contributing Factors],$B112))</f>
        <v/>
      </c>
      <c r="H112" s="119" t="str">
        <f>IF($B112="","",COUNTIFS(Feb[Contributing Factors],$B112))</f>
        <v/>
      </c>
      <c r="I112" s="119" t="str">
        <f>IF($B112="","",COUNTIFS(Mar[Contributing Factors],$B112))</f>
        <v/>
      </c>
      <c r="J112" s="119" t="str">
        <f>IF($B112="","",COUNTIFS(Apr[Contributing Factors],$B112))</f>
        <v/>
      </c>
      <c r="K112" s="119" t="str">
        <f>IF($B112="","",COUNTIFS(May[Contributing Factors],$B112))</f>
        <v/>
      </c>
      <c r="L112" s="119" t="str">
        <f>IF($B112="","",COUNTIFS(June[Contributing Factors],$B112))</f>
        <v/>
      </c>
      <c r="M112" s="119" t="str">
        <f>IF($B112="","",COUNTIFS(July[Contributing Factors],$B112))</f>
        <v/>
      </c>
      <c r="N112" s="119" t="str">
        <f>IF($B112="","",COUNTIFS(Aug[Contributing Factors],$B112))</f>
        <v/>
      </c>
      <c r="O112" s="119" t="str">
        <f>IF($B112="","",COUNTIFS(Sept[Contributing Factors],$B112))</f>
        <v/>
      </c>
      <c r="P112" s="119" t="str">
        <f>IF($B112="","",COUNTIFS(Oct[Contributing Factors],$B112))</f>
        <v/>
      </c>
      <c r="Q112" s="119" t="str">
        <f>IF($B112="","",COUNTIFS(Nov[Contributing Factors],$B112))</f>
        <v/>
      </c>
      <c r="R112" s="119" t="str">
        <f>IF($B112="","",COUNTIFS(Dec[Contributing Factors],$B112))</f>
        <v/>
      </c>
      <c r="S112" s="85" t="str">
        <f t="shared" si="8"/>
        <v/>
      </c>
    </row>
    <row r="113" spans="1:19" x14ac:dyDescent="0.25">
      <c r="B113" s="116" t="str">
        <v/>
      </c>
      <c r="C113" s="117"/>
      <c r="D113" s="117"/>
      <c r="E113" s="117"/>
      <c r="F113" s="118"/>
      <c r="G113" s="119" t="str">
        <f>IF($B113="","",COUNTIFS(Jan[Contributing Factors],$B113))</f>
        <v/>
      </c>
      <c r="H113" s="119" t="str">
        <f>IF($B113="","",COUNTIFS(Feb[Contributing Factors],$B113))</f>
        <v/>
      </c>
      <c r="I113" s="119" t="str">
        <f>IF($B113="","",COUNTIFS(Mar[Contributing Factors],$B113))</f>
        <v/>
      </c>
      <c r="J113" s="119" t="str">
        <f>IF($B113="","",COUNTIFS(Apr[Contributing Factors],$B113))</f>
        <v/>
      </c>
      <c r="K113" s="119" t="str">
        <f>IF($B113="","",COUNTIFS(May[Contributing Factors],$B113))</f>
        <v/>
      </c>
      <c r="L113" s="119" t="str">
        <f>IF($B113="","",COUNTIFS(June[Contributing Factors],$B113))</f>
        <v/>
      </c>
      <c r="M113" s="119" t="str">
        <f>IF($B113="","",COUNTIFS(July[Contributing Factors],$B113))</f>
        <v/>
      </c>
      <c r="N113" s="119" t="str">
        <f>IF($B113="","",COUNTIFS(Aug[Contributing Factors],$B113))</f>
        <v/>
      </c>
      <c r="O113" s="119" t="str">
        <f>IF($B113="","",COUNTIFS(Sept[Contributing Factors],$B113))</f>
        <v/>
      </c>
      <c r="P113" s="119" t="str">
        <f>IF($B113="","",COUNTIFS(Oct[Contributing Factors],$B113))</f>
        <v/>
      </c>
      <c r="Q113" s="119" t="str">
        <f>IF($B113="","",COUNTIFS(Nov[Contributing Factors],$B113))</f>
        <v/>
      </c>
      <c r="R113" s="119" t="str">
        <f>IF($B113="","",COUNTIFS(Dec[Contributing Factors],$B113))</f>
        <v/>
      </c>
      <c r="S113" s="85" t="str">
        <f t="shared" si="8"/>
        <v/>
      </c>
    </row>
    <row r="114" spans="1:19" x14ac:dyDescent="0.25">
      <c r="B114" s="116" t="str">
        <v/>
      </c>
      <c r="C114" s="117"/>
      <c r="D114" s="117"/>
      <c r="E114" s="117"/>
      <c r="F114" s="118"/>
      <c r="G114" s="119" t="str">
        <f>IF($B114="","",COUNTIFS(Jan[Contributing Factors],$B114))</f>
        <v/>
      </c>
      <c r="H114" s="119" t="str">
        <f>IF($B114="","",COUNTIFS(Feb[Contributing Factors],$B114))</f>
        <v/>
      </c>
      <c r="I114" s="119" t="str">
        <f>IF($B114="","",COUNTIFS(Mar[Contributing Factors],$B114))</f>
        <v/>
      </c>
      <c r="J114" s="119" t="str">
        <f>IF($B114="","",COUNTIFS(Apr[Contributing Factors],$B114))</f>
        <v/>
      </c>
      <c r="K114" s="119" t="str">
        <f>IF($B114="","",COUNTIFS(May[Contributing Factors],$B114))</f>
        <v/>
      </c>
      <c r="L114" s="119" t="str">
        <f>IF($B114="","",COUNTIFS(June[Contributing Factors],$B114))</f>
        <v/>
      </c>
      <c r="M114" s="119" t="str">
        <f>IF($B114="","",COUNTIFS(July[Contributing Factors],$B114))</f>
        <v/>
      </c>
      <c r="N114" s="119" t="str">
        <f>IF($B114="","",COUNTIFS(Aug[Contributing Factors],$B114))</f>
        <v/>
      </c>
      <c r="O114" s="119" t="str">
        <f>IF($B114="","",COUNTIFS(Sept[Contributing Factors],$B114))</f>
        <v/>
      </c>
      <c r="P114" s="119" t="str">
        <f>IF($B114="","",COUNTIFS(Oct[Contributing Factors],$B114))</f>
        <v/>
      </c>
      <c r="Q114" s="119" t="str">
        <f>IF($B114="","",COUNTIFS(Nov[Contributing Factors],$B114))</f>
        <v/>
      </c>
      <c r="R114" s="119" t="str">
        <f>IF($B114="","",COUNTIFS(Dec[Contributing Factors],$B114))</f>
        <v/>
      </c>
      <c r="S114" s="85" t="str">
        <f t="shared" si="8"/>
        <v/>
      </c>
    </row>
    <row r="115" spans="1:19" x14ac:dyDescent="0.25">
      <c r="B115" s="116" t="str">
        <v/>
      </c>
      <c r="C115" s="117"/>
      <c r="D115" s="117"/>
      <c r="E115" s="117"/>
      <c r="F115" s="118"/>
      <c r="G115" s="119" t="str">
        <f>IF($B115="","",COUNTIFS(Jan[Contributing Factors],$B115))</f>
        <v/>
      </c>
      <c r="H115" s="119" t="str">
        <f>IF($B115="","",COUNTIFS(Feb[Contributing Factors],$B115))</f>
        <v/>
      </c>
      <c r="I115" s="119" t="str">
        <f>IF($B115="","",COUNTIFS(Mar[Contributing Factors],$B115))</f>
        <v/>
      </c>
      <c r="J115" s="119" t="str">
        <f>IF($B115="","",COUNTIFS(Apr[Contributing Factors],$B115))</f>
        <v/>
      </c>
      <c r="K115" s="119" t="str">
        <f>IF($B115="","",COUNTIFS(May[Contributing Factors],$B115))</f>
        <v/>
      </c>
      <c r="L115" s="119" t="str">
        <f>IF($B115="","",COUNTIFS(June[Contributing Factors],$B115))</f>
        <v/>
      </c>
      <c r="M115" s="119" t="str">
        <f>IF($B115="","",COUNTIFS(July[Contributing Factors],$B115))</f>
        <v/>
      </c>
      <c r="N115" s="119" t="str">
        <f>IF($B115="","",COUNTIFS(Aug[Contributing Factors],$B115))</f>
        <v/>
      </c>
      <c r="O115" s="119" t="str">
        <f>IF($B115="","",COUNTIFS(Sept[Contributing Factors],$B115))</f>
        <v/>
      </c>
      <c r="P115" s="119" t="str">
        <f>IF($B115="","",COUNTIFS(Oct[Contributing Factors],$B115))</f>
        <v/>
      </c>
      <c r="Q115" s="119" t="str">
        <f>IF($B115="","",COUNTIFS(Nov[Contributing Factors],$B115))</f>
        <v/>
      </c>
      <c r="R115" s="119" t="str">
        <f>IF($B115="","",COUNTIFS(Dec[Contributing Factors],$B115))</f>
        <v/>
      </c>
      <c r="S115" s="85" t="str">
        <f t="shared" si="8"/>
        <v/>
      </c>
    </row>
    <row r="116" spans="1:19" x14ac:dyDescent="0.25">
      <c r="B116" s="116" t="str">
        <v/>
      </c>
      <c r="C116" s="117"/>
      <c r="D116" s="117"/>
      <c r="E116" s="117"/>
      <c r="F116" s="118"/>
      <c r="G116" s="119" t="str">
        <f>IF($B116="","",COUNTIFS(Jan[Contributing Factors],$B116))</f>
        <v/>
      </c>
      <c r="H116" s="119" t="str">
        <f>IF($B116="","",COUNTIFS(Feb[Contributing Factors],$B116))</f>
        <v/>
      </c>
      <c r="I116" s="119" t="str">
        <f>IF($B116="","",COUNTIFS(Mar[Contributing Factors],$B116))</f>
        <v/>
      </c>
      <c r="J116" s="119" t="str">
        <f>IF($B116="","",COUNTIFS(Apr[Contributing Factors],$B116))</f>
        <v/>
      </c>
      <c r="K116" s="119" t="str">
        <f>IF($B116="","",COUNTIFS(May[Contributing Factors],$B116))</f>
        <v/>
      </c>
      <c r="L116" s="119" t="str">
        <f>IF($B116="","",COUNTIFS(June[Contributing Factors],$B116))</f>
        <v/>
      </c>
      <c r="M116" s="119" t="str">
        <f>IF($B116="","",COUNTIFS(July[Contributing Factors],$B116))</f>
        <v/>
      </c>
      <c r="N116" s="119" t="str">
        <f>IF($B116="","",COUNTIFS(Aug[Contributing Factors],$B116))</f>
        <v/>
      </c>
      <c r="O116" s="119" t="str">
        <f>IF($B116="","",COUNTIFS(Sept[Contributing Factors],$B116))</f>
        <v/>
      </c>
      <c r="P116" s="119" t="str">
        <f>IF($B116="","",COUNTIFS(Oct[Contributing Factors],$B116))</f>
        <v/>
      </c>
      <c r="Q116" s="119" t="str">
        <f>IF($B116="","",COUNTIFS(Nov[Contributing Factors],$B116))</f>
        <v/>
      </c>
      <c r="R116" s="119" t="str">
        <f>IF($B116="","",COUNTIFS(Dec[Contributing Factors],$B116))</f>
        <v/>
      </c>
      <c r="S116" s="85" t="str">
        <f t="shared" si="8"/>
        <v/>
      </c>
    </row>
    <row r="117" spans="1:19" x14ac:dyDescent="0.25">
      <c r="B117" s="116" t="str">
        <v/>
      </c>
      <c r="C117" s="117"/>
      <c r="D117" s="117"/>
      <c r="E117" s="117"/>
      <c r="F117" s="118"/>
      <c r="G117" s="119" t="str">
        <f>IF($B117="","",COUNTIFS(Jan[Contributing Factors],$B117))</f>
        <v/>
      </c>
      <c r="H117" s="119" t="str">
        <f>IF($B117="","",COUNTIFS(Feb[Contributing Factors],$B117))</f>
        <v/>
      </c>
      <c r="I117" s="119" t="str">
        <f>IF($B117="","",COUNTIFS(Mar[Contributing Factors],$B117))</f>
        <v/>
      </c>
      <c r="J117" s="119" t="str">
        <f>IF($B117="","",COUNTIFS(Apr[Contributing Factors],$B117))</f>
        <v/>
      </c>
      <c r="K117" s="119" t="str">
        <f>IF($B117="","",COUNTIFS(May[Contributing Factors],$B117))</f>
        <v/>
      </c>
      <c r="L117" s="119" t="str">
        <f>IF($B117="","",COUNTIFS(June[Contributing Factors],$B117))</f>
        <v/>
      </c>
      <c r="M117" s="119" t="str">
        <f>IF($B117="","",COUNTIFS(July[Contributing Factors],$B117))</f>
        <v/>
      </c>
      <c r="N117" s="119" t="str">
        <f>IF($B117="","",COUNTIFS(Aug[Contributing Factors],$B117))</f>
        <v/>
      </c>
      <c r="O117" s="119" t="str">
        <f>IF($B117="","",COUNTIFS(Sept[Contributing Factors],$B117))</f>
        <v/>
      </c>
      <c r="P117" s="119" t="str">
        <f>IF($B117="","",COUNTIFS(Oct[Contributing Factors],$B117))</f>
        <v/>
      </c>
      <c r="Q117" s="119" t="str">
        <f>IF($B117="","",COUNTIFS(Nov[Contributing Factors],$B117))</f>
        <v/>
      </c>
      <c r="R117" s="119" t="str">
        <f>IF($B117="","",COUNTIFS(Dec[Contributing Factors],$B117))</f>
        <v/>
      </c>
      <c r="S117" s="85" t="str">
        <f t="shared" si="8"/>
        <v/>
      </c>
    </row>
    <row r="118" spans="1:19" x14ac:dyDescent="0.25">
      <c r="B118" s="116" t="str">
        <v/>
      </c>
      <c r="C118" s="117"/>
      <c r="D118" s="117"/>
      <c r="E118" s="117"/>
      <c r="F118" s="118"/>
      <c r="G118" s="119" t="str">
        <f>IF($B118="","",COUNTIFS(Jan[Contributing Factors],$B118))</f>
        <v/>
      </c>
      <c r="H118" s="119" t="str">
        <f>IF($B118="","",COUNTIFS(Feb[Contributing Factors],$B118))</f>
        <v/>
      </c>
      <c r="I118" s="119" t="str">
        <f>IF($B118="","",COUNTIFS(Mar[Contributing Factors],$B118))</f>
        <v/>
      </c>
      <c r="J118" s="119" t="str">
        <f>IF($B118="","",COUNTIFS(Apr[Contributing Factors],$B118))</f>
        <v/>
      </c>
      <c r="K118" s="119" t="str">
        <f>IF($B118="","",COUNTIFS(May[Contributing Factors],$B118))</f>
        <v/>
      </c>
      <c r="L118" s="119" t="str">
        <f>IF($B118="","",COUNTIFS(June[Contributing Factors],$B118))</f>
        <v/>
      </c>
      <c r="M118" s="119" t="str">
        <f>IF($B118="","",COUNTIFS(July[Contributing Factors],$B118))</f>
        <v/>
      </c>
      <c r="N118" s="119" t="str">
        <f>IF($B118="","",COUNTIFS(Aug[Contributing Factors],$B118))</f>
        <v/>
      </c>
      <c r="O118" s="119" t="str">
        <f>IF($B118="","",COUNTIFS(Sept[Contributing Factors],$B118))</f>
        <v/>
      </c>
      <c r="P118" s="119" t="str">
        <f>IF($B118="","",COUNTIFS(Oct[Contributing Factors],$B118))</f>
        <v/>
      </c>
      <c r="Q118" s="119" t="str">
        <f>IF($B118="","",COUNTIFS(Nov[Contributing Factors],$B118))</f>
        <v/>
      </c>
      <c r="R118" s="119" t="str">
        <f>IF($B118="","",COUNTIFS(Dec[Contributing Factors],$B118))</f>
        <v/>
      </c>
      <c r="S118" s="85" t="str">
        <f t="shared" si="8"/>
        <v/>
      </c>
    </row>
    <row r="119" spans="1:19" x14ac:dyDescent="0.25">
      <c r="B119" s="116" t="str">
        <v/>
      </c>
      <c r="C119" s="117"/>
      <c r="D119" s="117"/>
      <c r="E119" s="117"/>
      <c r="F119" s="118"/>
      <c r="G119" s="119" t="str">
        <f>IF($B119="","",COUNTIFS(Jan[Contributing Factors],$B119))</f>
        <v/>
      </c>
      <c r="H119" s="119" t="str">
        <f>IF($B119="","",COUNTIFS(Feb[Contributing Factors],$B119))</f>
        <v/>
      </c>
      <c r="I119" s="119" t="str">
        <f>IF($B119="","",COUNTIFS(Mar[Contributing Factors],$B119))</f>
        <v/>
      </c>
      <c r="J119" s="119" t="str">
        <f>IF($B119="","",COUNTIFS(Apr[Contributing Factors],$B119))</f>
        <v/>
      </c>
      <c r="K119" s="119" t="str">
        <f>IF($B119="","",COUNTIFS(May[Contributing Factors],$B119))</f>
        <v/>
      </c>
      <c r="L119" s="119" t="str">
        <f>IF($B119="","",COUNTIFS(June[Contributing Factors],$B119))</f>
        <v/>
      </c>
      <c r="M119" s="119" t="str">
        <f>IF($B119="","",COUNTIFS(July[Contributing Factors],$B119))</f>
        <v/>
      </c>
      <c r="N119" s="119" t="str">
        <f>IF($B119="","",COUNTIFS(Aug[Contributing Factors],$B119))</f>
        <v/>
      </c>
      <c r="O119" s="119" t="str">
        <f>IF($B119="","",COUNTIFS(Sept[Contributing Factors],$B119))</f>
        <v/>
      </c>
      <c r="P119" s="119" t="str">
        <f>IF($B119="","",COUNTIFS(Oct[Contributing Factors],$B119))</f>
        <v/>
      </c>
      <c r="Q119" s="119" t="str">
        <f>IF($B119="","",COUNTIFS(Nov[Contributing Factors],$B119))</f>
        <v/>
      </c>
      <c r="R119" s="119" t="str">
        <f>IF($B119="","",COUNTIFS(Dec[Contributing Factors],$B119))</f>
        <v/>
      </c>
      <c r="S119" s="85" t="str">
        <f t="shared" si="8"/>
        <v/>
      </c>
    </row>
    <row r="120" spans="1:19" x14ac:dyDescent="0.25">
      <c r="B120" s="116" t="str">
        <v/>
      </c>
      <c r="C120" s="117"/>
      <c r="D120" s="117"/>
      <c r="E120" s="117"/>
      <c r="F120" s="118"/>
      <c r="G120" s="119" t="str">
        <f>IF($B120="","",COUNTIFS(Jan[Contributing Factors],$B120))</f>
        <v/>
      </c>
      <c r="H120" s="119" t="str">
        <f>IF($B120="","",COUNTIFS(Feb[Contributing Factors],$B120))</f>
        <v/>
      </c>
      <c r="I120" s="119" t="str">
        <f>IF($B120="","",COUNTIFS(Mar[Contributing Factors],$B120))</f>
        <v/>
      </c>
      <c r="J120" s="119" t="str">
        <f>IF($B120="","",COUNTIFS(Apr[Contributing Factors],$B120))</f>
        <v/>
      </c>
      <c r="K120" s="119" t="str">
        <f>IF($B120="","",COUNTIFS(May[Contributing Factors],$B120))</f>
        <v/>
      </c>
      <c r="L120" s="119" t="str">
        <f>IF($B120="","",COUNTIFS(June[Contributing Factors],$B120))</f>
        <v/>
      </c>
      <c r="M120" s="119" t="str">
        <f>IF($B120="","",COUNTIFS(July[Contributing Factors],$B120))</f>
        <v/>
      </c>
      <c r="N120" s="119" t="str">
        <f>IF($B120="","",COUNTIFS(Aug[Contributing Factors],$B120))</f>
        <v/>
      </c>
      <c r="O120" s="119" t="str">
        <f>IF($B120="","",COUNTIFS(Sept[Contributing Factors],$B120))</f>
        <v/>
      </c>
      <c r="P120" s="119" t="str">
        <f>IF($B120="","",COUNTIFS(Oct[Contributing Factors],$B120))</f>
        <v/>
      </c>
      <c r="Q120" s="119" t="str">
        <f>IF($B120="","",COUNTIFS(Nov[Contributing Factors],$B120))</f>
        <v/>
      </c>
      <c r="R120" s="119" t="str">
        <f>IF($B120="","",COUNTIFS(Dec[Contributing Factors],$B120))</f>
        <v/>
      </c>
      <c r="S120" s="85" t="str">
        <f t="shared" si="8"/>
        <v/>
      </c>
    </row>
    <row r="121" spans="1:19" x14ac:dyDescent="0.25">
      <c r="B121" s="116" t="str">
        <v/>
      </c>
      <c r="C121" s="117"/>
      <c r="D121" s="117"/>
      <c r="E121" s="117"/>
      <c r="F121" s="118"/>
      <c r="G121" s="119" t="str">
        <f>IF($B121="","",COUNTIFS(Jan[Contributing Factors],$B121))</f>
        <v/>
      </c>
      <c r="H121" s="119" t="str">
        <f>IF($B121="","",COUNTIFS(Feb[Contributing Factors],$B121))</f>
        <v/>
      </c>
      <c r="I121" s="119" t="str">
        <f>IF($B121="","",COUNTIFS(Mar[Contributing Factors],$B121))</f>
        <v/>
      </c>
      <c r="J121" s="119" t="str">
        <f>IF($B121="","",COUNTIFS(Apr[Contributing Factors],$B121))</f>
        <v/>
      </c>
      <c r="K121" s="119" t="str">
        <f>IF($B121="","",COUNTIFS(May[Contributing Factors],$B121))</f>
        <v/>
      </c>
      <c r="L121" s="119" t="str">
        <f>IF($B121="","",COUNTIFS(June[Contributing Factors],$B121))</f>
        <v/>
      </c>
      <c r="M121" s="119" t="str">
        <f>IF($B121="","",COUNTIFS(July[Contributing Factors],$B121))</f>
        <v/>
      </c>
      <c r="N121" s="119" t="str">
        <f>IF($B121="","",COUNTIFS(Aug[Contributing Factors],$B121))</f>
        <v/>
      </c>
      <c r="O121" s="119" t="str">
        <f>IF($B121="","",COUNTIFS(Sept[Contributing Factors],$B121))</f>
        <v/>
      </c>
      <c r="P121" s="119" t="str">
        <f>IF($B121="","",COUNTIFS(Oct[Contributing Factors],$B121))</f>
        <v/>
      </c>
      <c r="Q121" s="119" t="str">
        <f>IF($B121="","",COUNTIFS(Nov[Contributing Factors],$B121))</f>
        <v/>
      </c>
      <c r="R121" s="119" t="str">
        <f>IF($B121="","",COUNTIFS(Dec[Contributing Factors],$B121))</f>
        <v/>
      </c>
      <c r="S121" s="85" t="str">
        <f t="shared" si="8"/>
        <v/>
      </c>
    </row>
    <row r="122" spans="1:19" x14ac:dyDescent="0.25">
      <c r="B122" s="116" t="str">
        <v/>
      </c>
      <c r="C122" s="117"/>
      <c r="D122" s="117"/>
      <c r="E122" s="117"/>
      <c r="F122" s="118"/>
      <c r="G122" s="119" t="str">
        <f>IF($B122="","",COUNTIFS(Jan[Contributing Factors],$B122))</f>
        <v/>
      </c>
      <c r="H122" s="119" t="str">
        <f>IF($B122="","",COUNTIFS(Feb[Contributing Factors],$B122))</f>
        <v/>
      </c>
      <c r="I122" s="119" t="str">
        <f>IF($B122="","",COUNTIFS(Mar[Contributing Factors],$B122))</f>
        <v/>
      </c>
      <c r="J122" s="119" t="str">
        <f>IF($B122="","",COUNTIFS(Apr[Contributing Factors],$B122))</f>
        <v/>
      </c>
      <c r="K122" s="119" t="str">
        <f>IF($B122="","",COUNTIFS(May[Contributing Factors],$B122))</f>
        <v/>
      </c>
      <c r="L122" s="119" t="str">
        <f>IF($B122="","",COUNTIFS(June[Contributing Factors],$B122))</f>
        <v/>
      </c>
      <c r="M122" s="119" t="str">
        <f>IF($B122="","",COUNTIFS(July[Contributing Factors],$B122))</f>
        <v/>
      </c>
      <c r="N122" s="119" t="str">
        <f>IF($B122="","",COUNTIFS(Aug[Contributing Factors],$B122))</f>
        <v/>
      </c>
      <c r="O122" s="119" t="str">
        <f>IF($B122="","",COUNTIFS(Sept[Contributing Factors],$B122))</f>
        <v/>
      </c>
      <c r="P122" s="119" t="str">
        <f>IF($B122="","",COUNTIFS(Oct[Contributing Factors],$B122))</f>
        <v/>
      </c>
      <c r="Q122" s="119" t="str">
        <f>IF($B122="","",COUNTIFS(Nov[Contributing Factors],$B122))</f>
        <v/>
      </c>
      <c r="R122" s="119" t="str">
        <f>IF($B122="","",COUNTIFS(Dec[Contributing Factors],$B122))</f>
        <v/>
      </c>
      <c r="S122" s="85" t="str">
        <f t="shared" si="8"/>
        <v/>
      </c>
    </row>
    <row r="123" spans="1:19" x14ac:dyDescent="0.25">
      <c r="B123" s="116" t="str">
        <v/>
      </c>
      <c r="C123" s="117"/>
      <c r="D123" s="117"/>
      <c r="E123" s="117"/>
      <c r="F123" s="118"/>
      <c r="G123" s="119" t="str">
        <f>IF($B123="","",COUNTIFS(Jan[Contributing Factors],$B123))</f>
        <v/>
      </c>
      <c r="H123" s="119" t="str">
        <f>IF($B123="","",COUNTIFS(Feb[Contributing Factors],$B123))</f>
        <v/>
      </c>
      <c r="I123" s="119" t="str">
        <f>IF($B123="","",COUNTIFS(Mar[Contributing Factors],$B123))</f>
        <v/>
      </c>
      <c r="J123" s="119" t="str">
        <f>IF($B123="","",COUNTIFS(Apr[Contributing Factors],$B123))</f>
        <v/>
      </c>
      <c r="K123" s="119" t="str">
        <f>IF($B123="","",COUNTIFS(May[Contributing Factors],$B123))</f>
        <v/>
      </c>
      <c r="L123" s="119" t="str">
        <f>IF($B123="","",COUNTIFS(June[Contributing Factors],$B123))</f>
        <v/>
      </c>
      <c r="M123" s="119" t="str">
        <f>IF($B123="","",COUNTIFS(July[Contributing Factors],$B123))</f>
        <v/>
      </c>
      <c r="N123" s="119" t="str">
        <f>IF($B123="","",COUNTIFS(Aug[Contributing Factors],$B123))</f>
        <v/>
      </c>
      <c r="O123" s="119" t="str">
        <f>IF($B123="","",COUNTIFS(Sept[Contributing Factors],$B123))</f>
        <v/>
      </c>
      <c r="P123" s="119" t="str">
        <f>IF($B123="","",COUNTIFS(Oct[Contributing Factors],$B123))</f>
        <v/>
      </c>
      <c r="Q123" s="119" t="str">
        <f>IF($B123="","",COUNTIFS(Nov[Contributing Factors],$B123))</f>
        <v/>
      </c>
      <c r="R123" s="119" t="str">
        <f>IF($B123="","",COUNTIFS(Dec[Contributing Factors],$B123))</f>
        <v/>
      </c>
      <c r="S123" s="85" t="str">
        <f t="shared" si="8"/>
        <v/>
      </c>
    </row>
    <row r="124" spans="1:19" x14ac:dyDescent="0.25">
      <c r="B124" s="116" t="str">
        <v/>
      </c>
      <c r="C124" s="117"/>
      <c r="D124" s="117"/>
      <c r="E124" s="117"/>
      <c r="F124" s="118"/>
      <c r="G124" s="119" t="str">
        <f>IF($B124="","",COUNTIFS(Jan[Contributing Factors],$B124))</f>
        <v/>
      </c>
      <c r="H124" s="119" t="str">
        <f>IF($B124="","",COUNTIFS(Feb[Contributing Factors],$B124))</f>
        <v/>
      </c>
      <c r="I124" s="119" t="str">
        <f>IF($B124="","",COUNTIFS(Mar[Contributing Factors],$B124))</f>
        <v/>
      </c>
      <c r="J124" s="119" t="str">
        <f>IF($B124="","",COUNTIFS(Apr[Contributing Factors],$B124))</f>
        <v/>
      </c>
      <c r="K124" s="119" t="str">
        <f>IF($B124="","",COUNTIFS(May[Contributing Factors],$B124))</f>
        <v/>
      </c>
      <c r="L124" s="119" t="str">
        <f>IF($B124="","",COUNTIFS(June[Contributing Factors],$B124))</f>
        <v/>
      </c>
      <c r="M124" s="119" t="str">
        <f>IF($B124="","",COUNTIFS(July[Contributing Factors],$B124))</f>
        <v/>
      </c>
      <c r="N124" s="119" t="str">
        <f>IF($B124="","",COUNTIFS(Aug[Contributing Factors],$B124))</f>
        <v/>
      </c>
      <c r="O124" s="119" t="str">
        <f>IF($B124="","",COUNTIFS(Sept[Contributing Factors],$B124))</f>
        <v/>
      </c>
      <c r="P124" s="119" t="str">
        <f>IF($B124="","",COUNTIFS(Oct[Contributing Factors],$B124))</f>
        <v/>
      </c>
      <c r="Q124" s="119" t="str">
        <f>IF($B124="","",COUNTIFS(Nov[Contributing Factors],$B124))</f>
        <v/>
      </c>
      <c r="R124" s="119" t="str">
        <f>IF($B124="","",COUNTIFS(Dec[Contributing Factors],$B124))</f>
        <v/>
      </c>
      <c r="S124" s="85" t="str">
        <f t="shared" si="8"/>
        <v/>
      </c>
    </row>
    <row r="125" spans="1:19" x14ac:dyDescent="0.25">
      <c r="B125" s="116" t="s">
        <v>35</v>
      </c>
      <c r="C125" s="120"/>
      <c r="D125" s="120"/>
      <c r="E125" s="120"/>
      <c r="F125" s="121"/>
      <c r="G125" s="122">
        <f>SUM(G101:G124)</f>
        <v>0</v>
      </c>
      <c r="H125" s="85">
        <f t="shared" ref="H125:R125" si="9">SUM(H101:H124)</f>
        <v>0</v>
      </c>
      <c r="I125" s="85">
        <f t="shared" si="9"/>
        <v>0</v>
      </c>
      <c r="J125" s="85">
        <f t="shared" si="9"/>
        <v>0</v>
      </c>
      <c r="K125" s="85">
        <f t="shared" si="9"/>
        <v>0</v>
      </c>
      <c r="L125" s="85">
        <f t="shared" si="9"/>
        <v>0</v>
      </c>
      <c r="M125" s="85">
        <f t="shared" si="9"/>
        <v>0</v>
      </c>
      <c r="N125" s="85">
        <f t="shared" si="9"/>
        <v>0</v>
      </c>
      <c r="O125" s="85">
        <f t="shared" si="9"/>
        <v>0</v>
      </c>
      <c r="P125" s="85">
        <f t="shared" si="9"/>
        <v>0</v>
      </c>
      <c r="Q125" s="85">
        <f t="shared" si="9"/>
        <v>0</v>
      </c>
      <c r="R125" s="85">
        <f t="shared" si="9"/>
        <v>0</v>
      </c>
      <c r="S125" s="85">
        <f>SUM(S101:S124)</f>
        <v>0</v>
      </c>
    </row>
    <row r="127" spans="1:19" ht="21.4" customHeight="1" x14ac:dyDescent="0.25">
      <c r="B127" s="77" t="s">
        <v>106</v>
      </c>
      <c r="C127" s="75"/>
      <c r="D127" s="75"/>
      <c r="E127" s="75"/>
      <c r="F127" s="75"/>
      <c r="G127" s="75"/>
    </row>
    <row r="128" spans="1:19" ht="15.6" customHeight="1" x14ac:dyDescent="0.25">
      <c r="A128" s="38"/>
      <c r="B128" s="167" t="s">
        <v>92</v>
      </c>
      <c r="C128" s="113"/>
      <c r="D128" s="124"/>
      <c r="E128" s="113"/>
      <c r="F128" s="125"/>
      <c r="G128" s="126" t="s">
        <v>35</v>
      </c>
    </row>
    <row r="129" spans="1:8" x14ac:dyDescent="0.25">
      <c r="A129" s="38"/>
      <c r="B129" s="116" t="str" cm="1">
        <f t="array" ref="B129:B152">IF(_xlfn._xlws.SORT(CF[Contributing Factors],1,1,TRUE)=0,"",(_xlfn._xlws.SORT(CF[Contributing Factors],1,1,TRUE)))</f>
        <v>Assisted/caregiver transfer</v>
      </c>
      <c r="C129" s="117"/>
      <c r="D129" s="117"/>
      <c r="E129" s="117"/>
      <c r="F129" s="118"/>
      <c r="G129" s="119">
        <f>IF($S101="",NA(),$S101)</f>
        <v>0</v>
      </c>
      <c r="H129" s="43"/>
    </row>
    <row r="130" spans="1:8" x14ac:dyDescent="0.25">
      <c r="A130" s="38"/>
      <c r="B130" s="116" t="str">
        <v>Bowel and bladder (B&amp;B) needs</v>
      </c>
      <c r="C130" s="117"/>
      <c r="D130" s="117"/>
      <c r="E130" s="117"/>
      <c r="F130" s="118"/>
      <c r="G130" s="119">
        <f t="shared" ref="G130:G152" si="10">IF($S102="",NA(),$S102)</f>
        <v>0</v>
      </c>
    </row>
    <row r="131" spans="1:8" x14ac:dyDescent="0.25">
      <c r="A131" s="38"/>
      <c r="B131" s="116" t="str">
        <v>Behavioral or situational</v>
      </c>
      <c r="C131" s="117"/>
      <c r="D131" s="117"/>
      <c r="E131" s="117"/>
      <c r="F131" s="118"/>
      <c r="G131" s="119">
        <f t="shared" si="10"/>
        <v>0</v>
      </c>
    </row>
    <row r="132" spans="1:8" x14ac:dyDescent="0.25">
      <c r="A132" s="38"/>
      <c r="B132" s="116" t="str">
        <v>Change of condition</v>
      </c>
      <c r="C132" s="117"/>
      <c r="D132" s="117"/>
      <c r="E132" s="117"/>
      <c r="F132" s="118"/>
      <c r="G132" s="119">
        <f t="shared" si="10"/>
        <v>0</v>
      </c>
    </row>
    <row r="133" spans="1:8" x14ac:dyDescent="0.25">
      <c r="A133" s="38"/>
      <c r="B133" s="116" t="str">
        <v>Environmental factors</v>
      </c>
      <c r="C133" s="117"/>
      <c r="D133" s="117"/>
      <c r="E133" s="117"/>
      <c r="F133" s="118"/>
      <c r="G133" s="119">
        <f t="shared" si="10"/>
        <v>0</v>
      </c>
    </row>
    <row r="134" spans="1:8" x14ac:dyDescent="0.25">
      <c r="A134" s="38"/>
      <c r="B134" s="116" t="str">
        <v>Equipment malfunction</v>
      </c>
      <c r="C134" s="117"/>
      <c r="D134" s="117"/>
      <c r="E134" s="117"/>
      <c r="F134" s="118"/>
      <c r="G134" s="119">
        <f t="shared" si="10"/>
        <v>0</v>
      </c>
    </row>
    <row r="135" spans="1:8" x14ac:dyDescent="0.25">
      <c r="A135" s="38"/>
      <c r="B135" s="116" t="str">
        <v>Equipment or assistive device</v>
      </c>
      <c r="C135" s="117"/>
      <c r="D135" s="117"/>
      <c r="E135" s="117"/>
      <c r="F135" s="118"/>
      <c r="G135" s="119">
        <f t="shared" si="10"/>
        <v>0</v>
      </c>
    </row>
    <row r="136" spans="1:8" x14ac:dyDescent="0.25">
      <c r="A136" s="38"/>
      <c r="B136" s="116" t="str">
        <v>Medication related</v>
      </c>
      <c r="C136" s="117"/>
      <c r="D136" s="117"/>
      <c r="E136" s="117"/>
      <c r="F136" s="118"/>
      <c r="G136" s="119">
        <f t="shared" si="10"/>
        <v>0</v>
      </c>
    </row>
    <row r="137" spans="1:8" x14ac:dyDescent="0.25">
      <c r="A137" s="38"/>
      <c r="B137" s="116" t="str">
        <v>Process(s) not followed</v>
      </c>
      <c r="C137" s="117"/>
      <c r="D137" s="117"/>
      <c r="E137" s="117"/>
      <c r="F137" s="118"/>
      <c r="G137" s="119">
        <f t="shared" si="10"/>
        <v>0</v>
      </c>
    </row>
    <row r="138" spans="1:8" x14ac:dyDescent="0.25">
      <c r="A138" s="38"/>
      <c r="B138" s="116" t="str">
        <v>Resident health conditions</v>
      </c>
      <c r="C138" s="117"/>
      <c r="D138" s="117"/>
      <c r="E138" s="117"/>
      <c r="F138" s="118"/>
      <c r="G138" s="119">
        <f t="shared" si="10"/>
        <v>0</v>
      </c>
    </row>
    <row r="139" spans="1:8" x14ac:dyDescent="0.25">
      <c r="A139" s="38"/>
      <c r="B139" s="116" t="str">
        <v>Staff</v>
      </c>
      <c r="C139" s="117"/>
      <c r="D139" s="117"/>
      <c r="E139" s="117"/>
      <c r="F139" s="118"/>
      <c r="G139" s="119">
        <f t="shared" si="10"/>
        <v>0</v>
      </c>
    </row>
    <row r="140" spans="1:8" x14ac:dyDescent="0.25">
      <c r="A140" s="38"/>
      <c r="B140" s="116" t="str">
        <v/>
      </c>
      <c r="C140" s="117"/>
      <c r="D140" s="117"/>
      <c r="E140" s="117"/>
      <c r="F140" s="118"/>
      <c r="G140" s="119" t="e">
        <f t="shared" si="10"/>
        <v>#N/A</v>
      </c>
    </row>
    <row r="141" spans="1:8" x14ac:dyDescent="0.25">
      <c r="A141" s="38"/>
      <c r="B141" s="116" t="str">
        <v/>
      </c>
      <c r="C141" s="117"/>
      <c r="D141" s="117"/>
      <c r="E141" s="117"/>
      <c r="F141" s="118"/>
      <c r="G141" s="119" t="e">
        <f t="shared" si="10"/>
        <v>#N/A</v>
      </c>
    </row>
    <row r="142" spans="1:8" x14ac:dyDescent="0.25">
      <c r="A142" s="38"/>
      <c r="B142" s="116" t="str">
        <v/>
      </c>
      <c r="C142" s="117"/>
      <c r="D142" s="117"/>
      <c r="E142" s="117"/>
      <c r="F142" s="118"/>
      <c r="G142" s="119" t="e">
        <f t="shared" si="10"/>
        <v>#N/A</v>
      </c>
    </row>
    <row r="143" spans="1:8" x14ac:dyDescent="0.25">
      <c r="A143" s="38"/>
      <c r="B143" s="116" t="str">
        <v/>
      </c>
      <c r="C143" s="117"/>
      <c r="D143" s="117"/>
      <c r="E143" s="117"/>
      <c r="F143" s="118"/>
      <c r="G143" s="119" t="e">
        <f t="shared" si="10"/>
        <v>#N/A</v>
      </c>
    </row>
    <row r="144" spans="1:8" x14ac:dyDescent="0.25">
      <c r="A144" s="38"/>
      <c r="B144" s="116" t="str">
        <v/>
      </c>
      <c r="C144" s="117"/>
      <c r="D144" s="117"/>
      <c r="E144" s="117"/>
      <c r="F144" s="118"/>
      <c r="G144" s="119" t="e">
        <f t="shared" si="10"/>
        <v>#N/A</v>
      </c>
    </row>
    <row r="145" spans="1:7" x14ac:dyDescent="0.25">
      <c r="A145" s="38"/>
      <c r="B145" s="116" t="str">
        <v/>
      </c>
      <c r="C145" s="117"/>
      <c r="D145" s="117"/>
      <c r="E145" s="117"/>
      <c r="F145" s="118"/>
      <c r="G145" s="119" t="e">
        <f t="shared" si="10"/>
        <v>#N/A</v>
      </c>
    </row>
    <row r="146" spans="1:7" x14ac:dyDescent="0.25">
      <c r="A146" s="38"/>
      <c r="B146" s="116" t="str">
        <v/>
      </c>
      <c r="C146" s="117"/>
      <c r="D146" s="117"/>
      <c r="E146" s="117"/>
      <c r="F146" s="118"/>
      <c r="G146" s="119" t="e">
        <f t="shared" si="10"/>
        <v>#N/A</v>
      </c>
    </row>
    <row r="147" spans="1:7" x14ac:dyDescent="0.25">
      <c r="A147" s="38"/>
      <c r="B147" s="116" t="str">
        <v/>
      </c>
      <c r="C147" s="117"/>
      <c r="D147" s="117"/>
      <c r="E147" s="117"/>
      <c r="F147" s="118"/>
      <c r="G147" s="119" t="e">
        <f t="shared" si="10"/>
        <v>#N/A</v>
      </c>
    </row>
    <row r="148" spans="1:7" x14ac:dyDescent="0.25">
      <c r="A148" s="38"/>
      <c r="B148" s="116" t="str">
        <v/>
      </c>
      <c r="C148" s="117"/>
      <c r="D148" s="117"/>
      <c r="E148" s="117"/>
      <c r="F148" s="118"/>
      <c r="G148" s="119" t="e">
        <f t="shared" si="10"/>
        <v>#N/A</v>
      </c>
    </row>
    <row r="149" spans="1:7" x14ac:dyDescent="0.25">
      <c r="A149" s="38"/>
      <c r="B149" s="116" t="str">
        <v/>
      </c>
      <c r="C149" s="117"/>
      <c r="D149" s="117"/>
      <c r="E149" s="117"/>
      <c r="F149" s="118"/>
      <c r="G149" s="119" t="e">
        <f t="shared" si="10"/>
        <v>#N/A</v>
      </c>
    </row>
    <row r="150" spans="1:7" x14ac:dyDescent="0.25">
      <c r="A150" s="38"/>
      <c r="B150" s="116" t="str">
        <v/>
      </c>
      <c r="C150" s="117"/>
      <c r="D150" s="117"/>
      <c r="E150" s="117"/>
      <c r="F150" s="118"/>
      <c r="G150" s="119" t="e">
        <f t="shared" si="10"/>
        <v>#N/A</v>
      </c>
    </row>
    <row r="151" spans="1:7" x14ac:dyDescent="0.25">
      <c r="A151" s="38"/>
      <c r="B151" s="116" t="str">
        <v/>
      </c>
      <c r="C151" s="117"/>
      <c r="D151" s="117"/>
      <c r="E151" s="117"/>
      <c r="F151" s="118"/>
      <c r="G151" s="119" t="e">
        <f t="shared" si="10"/>
        <v>#N/A</v>
      </c>
    </row>
    <row r="152" spans="1:7" x14ac:dyDescent="0.25">
      <c r="A152" s="38"/>
      <c r="B152" s="116" t="str">
        <v/>
      </c>
      <c r="C152" s="117"/>
      <c r="D152" s="117"/>
      <c r="E152" s="117"/>
      <c r="F152" s="118"/>
      <c r="G152" s="119" t="e">
        <f t="shared" si="10"/>
        <v>#N/A</v>
      </c>
    </row>
    <row r="153" spans="1:7" ht="15.6" customHeight="1" x14ac:dyDescent="0.25">
      <c r="B153" s="116" t="s">
        <v>35</v>
      </c>
      <c r="C153" s="120"/>
      <c r="D153" s="120"/>
      <c r="E153" s="120"/>
      <c r="F153" s="121"/>
      <c r="G153" s="127">
        <f>_xlfn.AGGREGATE(9,6,G129:G152)</f>
        <v>0</v>
      </c>
    </row>
  </sheetData>
  <sheetProtection algorithmName="SHA-512" hashValue="0a4a2RZWwt3ePcQK8QMpdJijvw9Uq8CgEq6oE4rHDb84MB8emvSYtRuL1apxCXtVx/lsZBshYkzJ8KjPnxxO5Q==" saltValue="8S0yJYuDcQCnwcOFCdqgcw==" spinCount="100000" sheet="1" formatCells="0" formatColumns="0" formatRows="0"/>
  <conditionalFormatting sqref="G73:G96">
    <cfRule type="expression" dxfId="18" priority="1">
      <formula>ISERROR($G73)</formula>
    </cfRule>
  </conditionalFormatting>
  <conditionalFormatting sqref="G129:G152">
    <cfRule type="expression" dxfId="17" priority="2">
      <formula>ISERROR($G129)</formula>
    </cfRule>
  </conditionalFormatting>
  <printOptions horizontalCentered="1"/>
  <pageMargins left="0.25" right="0.25" top="0.25" bottom="0.25" header="0.3" footer="0.3"/>
  <pageSetup scale="69" fitToHeight="0" orientation="landscape" r:id="rId1"/>
  <rowBreaks count="2" manualBreakCount="2">
    <brk id="42" max="16383" man="1"/>
    <brk id="98" max="16383" man="1"/>
  </rowBreaks>
  <colBreaks count="1" manualBreakCount="1">
    <brk id="16"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DF1506-4D7C-4DC1-9C40-CA9E93B18557}">
  <sheetPr>
    <pageSetUpPr autoPageBreaks="0" fitToPage="1"/>
  </sheetPr>
  <dimension ref="B1:O158"/>
  <sheetViews>
    <sheetView showGridLines="0" zoomScaleNormal="100" workbookViewId="0">
      <selection activeCell="B79" sqref="B79"/>
    </sheetView>
  </sheetViews>
  <sheetFormatPr defaultRowHeight="15" x14ac:dyDescent="0.25"/>
  <cols>
    <col min="1" max="1" width="4" customWidth="1"/>
    <col min="2" max="2" width="18.7109375" customWidth="1"/>
    <col min="3" max="10" width="10.140625" customWidth="1"/>
    <col min="11" max="11" width="11.42578125" customWidth="1"/>
    <col min="12" max="12" width="10.140625" customWidth="1"/>
    <col min="13" max="13" width="11" customWidth="1"/>
    <col min="14" max="14" width="11.140625" customWidth="1"/>
    <col min="15" max="15" width="6.85546875" customWidth="1"/>
    <col min="16" max="16" width="5.7109375" customWidth="1"/>
    <col min="17" max="17" width="17.5703125" customWidth="1"/>
    <col min="18" max="18" width="6.28515625" customWidth="1"/>
    <col min="19" max="19" width="1.7109375" customWidth="1"/>
    <col min="20" max="20" width="16.5703125" customWidth="1"/>
    <col min="21" max="21" width="1.28515625" customWidth="1"/>
    <col min="24" max="24" width="10.7109375" bestFit="1" customWidth="1"/>
    <col min="26" max="26" width="10.42578125" bestFit="1" customWidth="1"/>
    <col min="27" max="27" width="10.28515625" bestFit="1" customWidth="1"/>
  </cols>
  <sheetData>
    <row r="1" spans="2:15" x14ac:dyDescent="0.25">
      <c r="B1" s="89"/>
      <c r="C1" s="89"/>
    </row>
    <row r="2" spans="2:15" ht="15" customHeight="1" x14ac:dyDescent="0.25">
      <c r="B2" s="77" t="str">
        <f>"Number of Falls by Nurses Station "&amp;IF(Jan!$C$1=0,"",Jan!$C$1)</f>
        <v xml:space="preserve">Number of Falls by Nurses Station </v>
      </c>
      <c r="C2" s="78"/>
      <c r="D2" s="78"/>
      <c r="E2" s="78"/>
      <c r="F2" s="78"/>
      <c r="G2" s="78"/>
      <c r="H2" s="79"/>
      <c r="I2" s="79"/>
      <c r="J2" s="79"/>
      <c r="K2" s="79"/>
      <c r="L2" s="79"/>
      <c r="M2" s="79"/>
      <c r="N2" s="79"/>
      <c r="O2" s="79"/>
    </row>
    <row r="3" spans="2:15" x14ac:dyDescent="0.25">
      <c r="B3" s="73" t="s">
        <v>2</v>
      </c>
      <c r="C3" s="82" t="s">
        <v>4</v>
      </c>
      <c r="D3" s="82" t="s">
        <v>5</v>
      </c>
      <c r="E3" s="82" t="s">
        <v>6</v>
      </c>
      <c r="F3" s="82" t="s">
        <v>7</v>
      </c>
      <c r="G3" s="82" t="s">
        <v>8</v>
      </c>
      <c r="H3" s="82" t="s">
        <v>9</v>
      </c>
      <c r="I3" s="82" t="s">
        <v>10</v>
      </c>
      <c r="J3" s="82" t="s">
        <v>11</v>
      </c>
      <c r="K3" s="82" t="s">
        <v>12</v>
      </c>
      <c r="L3" s="82" t="s">
        <v>13</v>
      </c>
      <c r="M3" s="82" t="s">
        <v>14</v>
      </c>
      <c r="N3" s="82" t="s">
        <v>15</v>
      </c>
      <c r="O3" s="82" t="s">
        <v>16</v>
      </c>
    </row>
    <row r="4" spans="2:15" x14ac:dyDescent="0.25">
      <c r="B4" s="85" cm="1">
        <f t="array" ref="B4:B14">IF(_xlfn._xlws.SORT(NS[Nurses Stations],1,1,TRUE)=0,"",(_xlfn._xlws.SORT(NS[Nurses Stations],1,1,TRUE)))</f>
        <v>1</v>
      </c>
      <c r="C4" s="76">
        <f>IF($B4="",NA(),COUNTIFS(Jan[Station],$B4))</f>
        <v>0</v>
      </c>
      <c r="D4" s="76">
        <f>IF($B4="",NA(),COUNTIFS(Feb[Station],$B4))</f>
        <v>0</v>
      </c>
      <c r="E4" s="76">
        <f>IF($B4="",NA(),COUNTIFS(Mar[Station],$B4))</f>
        <v>0</v>
      </c>
      <c r="F4" s="76">
        <f>IF($B4="",NA(),COUNTIFS(Apr[Station],$B4))</f>
        <v>0</v>
      </c>
      <c r="G4" s="76">
        <f>IF($B4="",NA(),COUNTIFS(May[Station],$B4))</f>
        <v>0</v>
      </c>
      <c r="H4" s="76">
        <f>IF($B4="",NA(),COUNTIFS(June[Station],$B4))</f>
        <v>0</v>
      </c>
      <c r="I4" s="76">
        <f>IF($B4="",NA(),COUNTIFS(July[Station],$B4))</f>
        <v>0</v>
      </c>
      <c r="J4" s="76">
        <f>IF($B4="",NA(),COUNTIFS(Aug[Station],$B4))</f>
        <v>0</v>
      </c>
      <c r="K4" s="76">
        <f>IF($B4="",NA(),COUNTIFS(Sept[Station],$B4))</f>
        <v>0</v>
      </c>
      <c r="L4" s="76">
        <f>IF($B4="",NA(),COUNTIFS(Oct[Station],$B4))</f>
        <v>0</v>
      </c>
      <c r="M4" s="76">
        <f>IF($B4="",NA(),COUNTIFS(Nov[Station],$B4))</f>
        <v>0</v>
      </c>
      <c r="N4" s="76">
        <f>IF($B4="",NA(),COUNTIFS(Dec[Station],$B4))</f>
        <v>0</v>
      </c>
      <c r="O4" s="85">
        <f>IF($B4="","",_xlfn.AGGREGATE(9,6,C4:N4))</f>
        <v>0</v>
      </c>
    </row>
    <row r="5" spans="2:15" x14ac:dyDescent="0.25">
      <c r="B5" s="85">
        <v>2</v>
      </c>
      <c r="C5" s="76">
        <f>IF($B5="",NA(),COUNTIFS(Jan[Station],$B5))</f>
        <v>0</v>
      </c>
      <c r="D5" s="76">
        <f>IF($B5="",NA(),COUNTIFS(Feb[Station],$B5))</f>
        <v>0</v>
      </c>
      <c r="E5" s="76">
        <f>IF($B5="",NA(),COUNTIFS(Mar[Station],$B5))</f>
        <v>0</v>
      </c>
      <c r="F5" s="76">
        <f>IF($B5="",NA(),COUNTIFS(Apr[Station],$B5))</f>
        <v>0</v>
      </c>
      <c r="G5" s="76">
        <f>IF($B5="",NA(),COUNTIFS(May[Station],$B5))</f>
        <v>0</v>
      </c>
      <c r="H5" s="76">
        <f>IF($B5="",NA(),COUNTIFS(June[Station],$B5))</f>
        <v>0</v>
      </c>
      <c r="I5" s="76">
        <f>IF($B5="",NA(),COUNTIFS(July[Station],$B5))</f>
        <v>0</v>
      </c>
      <c r="J5" s="76">
        <f>IF($B5="",NA(),COUNTIFS(Aug[Station],$B5))</f>
        <v>0</v>
      </c>
      <c r="K5" s="76">
        <f>IF($B5="",NA(),COUNTIFS(Sept[Station],$B5))</f>
        <v>0</v>
      </c>
      <c r="L5" s="76">
        <f>IF($B5="",NA(),COUNTIFS(Oct[Station],$B5))</f>
        <v>0</v>
      </c>
      <c r="M5" s="76">
        <f>IF($B5="",NA(),COUNTIFS(Nov[Station],$B5))</f>
        <v>0</v>
      </c>
      <c r="N5" s="76">
        <f>IF($B5="",NA(),COUNTIFS(Dec[Station],$B5))</f>
        <v>0</v>
      </c>
      <c r="O5" s="85">
        <f t="shared" ref="O5:O14" si="0">IF($B5="","",_xlfn.AGGREGATE(9,6,C5:N5))</f>
        <v>0</v>
      </c>
    </row>
    <row r="6" spans="2:15" x14ac:dyDescent="0.25">
      <c r="B6" s="85">
        <v>3</v>
      </c>
      <c r="C6" s="76">
        <f>IF($B6="",NA(),COUNTIFS(Jan[Station],$B6))</f>
        <v>0</v>
      </c>
      <c r="D6" s="76">
        <f>IF($B6="",NA(),COUNTIFS(Feb[Station],$B6))</f>
        <v>0</v>
      </c>
      <c r="E6" s="76">
        <f>IF($B6="",NA(),COUNTIFS(Mar[Station],$B6))</f>
        <v>0</v>
      </c>
      <c r="F6" s="76">
        <f>IF($B6="",NA(),COUNTIFS(Apr[Station],$B6))</f>
        <v>0</v>
      </c>
      <c r="G6" s="76">
        <f>IF($B6="",NA(),COUNTIFS(May[Station],$B6))</f>
        <v>0</v>
      </c>
      <c r="H6" s="76">
        <f>IF($B6="",NA(),COUNTIFS(June[Station],$B6))</f>
        <v>0</v>
      </c>
      <c r="I6" s="76">
        <f>IF($B6="",NA(),COUNTIFS(July[Station],$B6))</f>
        <v>0</v>
      </c>
      <c r="J6" s="76">
        <f>IF($B6="",NA(),COUNTIFS(Aug[Station],$B6))</f>
        <v>0</v>
      </c>
      <c r="K6" s="76">
        <f>IF($B6="",NA(),COUNTIFS(Sept[Station],$B6))</f>
        <v>0</v>
      </c>
      <c r="L6" s="76">
        <f>IF($B6="",NA(),COUNTIFS(Oct[Station],$B6))</f>
        <v>0</v>
      </c>
      <c r="M6" s="76">
        <f>IF($B6="",NA(),COUNTIFS(Nov[Station],$B6))</f>
        <v>0</v>
      </c>
      <c r="N6" s="76">
        <f>IF($B6="",NA(),COUNTIFS(Dec[Station],$B6))</f>
        <v>0</v>
      </c>
      <c r="O6" s="85">
        <f t="shared" si="0"/>
        <v>0</v>
      </c>
    </row>
    <row r="7" spans="2:15" x14ac:dyDescent="0.25">
      <c r="B7" s="85">
        <v>4</v>
      </c>
      <c r="C7" s="76">
        <f>IF($B7="",NA(),COUNTIFS(Jan[Station],$B7))</f>
        <v>0</v>
      </c>
      <c r="D7" s="76">
        <f>IF($B7="",NA(),COUNTIFS(Feb[Station],$B7))</f>
        <v>0</v>
      </c>
      <c r="E7" s="76">
        <f>IF($B7="",NA(),COUNTIFS(Mar[Station],$B7))</f>
        <v>0</v>
      </c>
      <c r="F7" s="76">
        <f>IF($B7="",NA(),COUNTIFS(Apr[Station],$B7))</f>
        <v>0</v>
      </c>
      <c r="G7" s="76">
        <f>IF($B7="",NA(),COUNTIFS(May[Station],$B7))</f>
        <v>0</v>
      </c>
      <c r="H7" s="76">
        <f>IF($B7="",NA(),COUNTIFS(June[Station],$B7))</f>
        <v>0</v>
      </c>
      <c r="I7" s="76">
        <f>IF($B7="",NA(),COUNTIFS(July[Station],$B7))</f>
        <v>0</v>
      </c>
      <c r="J7" s="76">
        <f>IF($B7="",NA(),COUNTIFS(Aug[Station],$B7))</f>
        <v>0</v>
      </c>
      <c r="K7" s="76">
        <f>IF($B7="",NA(),COUNTIFS(Sept[Station],$B7))</f>
        <v>0</v>
      </c>
      <c r="L7" s="76">
        <f>IF($B7="",NA(),COUNTIFS(Oct[Station],$B7))</f>
        <v>0</v>
      </c>
      <c r="M7" s="76">
        <f>IF($B7="",NA(),COUNTIFS(Nov[Station],$B7))</f>
        <v>0</v>
      </c>
      <c r="N7" s="76">
        <f>IF($B7="",NA(),COUNTIFS(Dec[Station],$B7))</f>
        <v>0</v>
      </c>
      <c r="O7" s="85">
        <f t="shared" si="0"/>
        <v>0</v>
      </c>
    </row>
    <row r="8" spans="2:15" x14ac:dyDescent="0.25">
      <c r="B8" s="85">
        <v>5</v>
      </c>
      <c r="C8" s="76">
        <f>IF($B8="",NA(),COUNTIFS(Jan[Station],$B8))</f>
        <v>0</v>
      </c>
      <c r="D8" s="76">
        <f>IF($B8="",NA(),COUNTIFS(Feb[Station],$B8))</f>
        <v>0</v>
      </c>
      <c r="E8" s="76">
        <f>IF($B8="",NA(),COUNTIFS(Mar[Station],$B8))</f>
        <v>0</v>
      </c>
      <c r="F8" s="76">
        <f>IF($B8="",NA(),COUNTIFS(Apr[Station],$B8))</f>
        <v>0</v>
      </c>
      <c r="G8" s="76">
        <f>IF($B8="",NA(),COUNTIFS(May[Station],$B8))</f>
        <v>0</v>
      </c>
      <c r="H8" s="76">
        <f>IF($B8="",NA(),COUNTIFS(June[Station],$B8))</f>
        <v>0</v>
      </c>
      <c r="I8" s="76">
        <f>IF($B8="",NA(),COUNTIFS(July[Station],$B8))</f>
        <v>0</v>
      </c>
      <c r="J8" s="76">
        <f>IF($B8="",NA(),COUNTIFS(Aug[Station],$B8))</f>
        <v>0</v>
      </c>
      <c r="K8" s="76">
        <f>IF($B8="",NA(),COUNTIFS(Sept[Station],$B8))</f>
        <v>0</v>
      </c>
      <c r="L8" s="76">
        <f>IF($B8="",NA(),COUNTIFS(Oct[Station],$B8))</f>
        <v>0</v>
      </c>
      <c r="M8" s="76">
        <f>IF($B8="",NA(),COUNTIFS(Nov[Station],$B8))</f>
        <v>0</v>
      </c>
      <c r="N8" s="76">
        <f>IF($B8="",NA(),COUNTIFS(Dec[Station],$B8))</f>
        <v>0</v>
      </c>
      <c r="O8" s="85">
        <f t="shared" si="0"/>
        <v>0</v>
      </c>
    </row>
    <row r="9" spans="2:15" x14ac:dyDescent="0.25">
      <c r="B9" s="85" t="str">
        <v/>
      </c>
      <c r="C9" s="76" t="e">
        <f>IF($B9="",NA(),COUNTIFS(Jan[Station],$B9))</f>
        <v>#N/A</v>
      </c>
      <c r="D9" s="76" t="e">
        <f>IF($B9="",NA(),COUNTIFS(Feb[Station],$B9))</f>
        <v>#N/A</v>
      </c>
      <c r="E9" s="76" t="e">
        <f>IF($B9="",NA(),COUNTIFS(Mar[Station],$B9))</f>
        <v>#N/A</v>
      </c>
      <c r="F9" s="76" t="e">
        <f>IF($B9="",NA(),COUNTIFS(Apr[Station],$B9))</f>
        <v>#N/A</v>
      </c>
      <c r="G9" s="76" t="e">
        <f>IF($B9="",NA(),COUNTIFS(May[Station],$B9))</f>
        <v>#N/A</v>
      </c>
      <c r="H9" s="76" t="e">
        <f>IF($B9="",NA(),COUNTIFS(June[Station],$B9))</f>
        <v>#N/A</v>
      </c>
      <c r="I9" s="76" t="e">
        <f>IF($B9="",NA(),COUNTIFS(July[Station],$B9))</f>
        <v>#N/A</v>
      </c>
      <c r="J9" s="76" t="e">
        <f>IF($B9="",NA(),COUNTIFS(Aug[Station],$B9))</f>
        <v>#N/A</v>
      </c>
      <c r="K9" s="76" t="e">
        <f>IF($B9="",NA(),COUNTIFS(Sept[Station],$B9))</f>
        <v>#N/A</v>
      </c>
      <c r="L9" s="76" t="e">
        <f>IF($B9="",NA(),COUNTIFS(Oct[Station],$B9))</f>
        <v>#N/A</v>
      </c>
      <c r="M9" s="76" t="e">
        <f>IF($B9="",NA(),COUNTIFS(Nov[Station],$B9))</f>
        <v>#N/A</v>
      </c>
      <c r="N9" s="76" t="e">
        <f>IF($B9="",NA(),COUNTIFS(Dec[Station],$B9))</f>
        <v>#N/A</v>
      </c>
      <c r="O9" s="85" t="str">
        <f t="shared" si="0"/>
        <v/>
      </c>
    </row>
    <row r="10" spans="2:15" x14ac:dyDescent="0.25">
      <c r="B10" s="85" t="str">
        <v/>
      </c>
      <c r="C10" s="76" t="e">
        <f>IF($B10="",NA(),COUNTIFS(Jan[Station],$B10))</f>
        <v>#N/A</v>
      </c>
      <c r="D10" s="76" t="e">
        <f>IF($B10="",NA(),COUNTIFS(Feb[Station],$B10))</f>
        <v>#N/A</v>
      </c>
      <c r="E10" s="76" t="e">
        <f>IF($B10="",NA(),COUNTIFS(Mar[Station],$B10))</f>
        <v>#N/A</v>
      </c>
      <c r="F10" s="76" t="e">
        <f>IF($B10="",NA(),COUNTIFS(Apr[Station],$B10))</f>
        <v>#N/A</v>
      </c>
      <c r="G10" s="76" t="e">
        <f>IF($B10="",NA(),COUNTIFS(May[Station],$B10))</f>
        <v>#N/A</v>
      </c>
      <c r="H10" s="76" t="e">
        <f>IF($B10="",NA(),COUNTIFS(June[Station],$B10))</f>
        <v>#N/A</v>
      </c>
      <c r="I10" s="76" t="e">
        <f>IF($B10="",NA(),COUNTIFS(July[Station],$B10))</f>
        <v>#N/A</v>
      </c>
      <c r="J10" s="76" t="e">
        <f>IF($B10="",NA(),COUNTIFS(Aug[Station],$B10))</f>
        <v>#N/A</v>
      </c>
      <c r="K10" s="76" t="e">
        <f>IF($B10="",NA(),COUNTIFS(Sept[Station],$B10))</f>
        <v>#N/A</v>
      </c>
      <c r="L10" s="76" t="e">
        <f>IF($B10="",NA(),COUNTIFS(Oct[Station],$B10))</f>
        <v>#N/A</v>
      </c>
      <c r="M10" s="76" t="e">
        <f>IF($B10="",NA(),COUNTIFS(Nov[Station],$B10))</f>
        <v>#N/A</v>
      </c>
      <c r="N10" s="76" t="e">
        <f>IF($B10="",NA(),COUNTIFS(Dec[Station],$B10))</f>
        <v>#N/A</v>
      </c>
      <c r="O10" s="85" t="str">
        <f t="shared" si="0"/>
        <v/>
      </c>
    </row>
    <row r="11" spans="2:15" x14ac:dyDescent="0.25">
      <c r="B11" s="85" t="str">
        <v/>
      </c>
      <c r="C11" s="76" t="e">
        <f>IF($B11="",NA(),COUNTIFS(Jan[Station],$B11))</f>
        <v>#N/A</v>
      </c>
      <c r="D11" s="76" t="e">
        <f>IF($B11="",NA(),COUNTIFS(Feb[Station],$B11))</f>
        <v>#N/A</v>
      </c>
      <c r="E11" s="76" t="e">
        <f>IF($B11="",NA(),COUNTIFS(Mar[Station],$B11))</f>
        <v>#N/A</v>
      </c>
      <c r="F11" s="76" t="e">
        <f>IF($B11="",NA(),COUNTIFS(Apr[Station],$B11))</f>
        <v>#N/A</v>
      </c>
      <c r="G11" s="76" t="e">
        <f>IF($B11="",NA(),COUNTIFS(May[Station],$B11))</f>
        <v>#N/A</v>
      </c>
      <c r="H11" s="76" t="e">
        <f>IF($B11="",NA(),COUNTIFS(June[Station],$B11))</f>
        <v>#N/A</v>
      </c>
      <c r="I11" s="76" t="e">
        <f>IF($B11="",NA(),COUNTIFS(July[Station],$B11))</f>
        <v>#N/A</v>
      </c>
      <c r="J11" s="76" t="e">
        <f>IF($B11="",NA(),COUNTIFS(Aug[Station],$B11))</f>
        <v>#N/A</v>
      </c>
      <c r="K11" s="76" t="e">
        <f>IF($B11="",NA(),COUNTIFS(Sept[Station],$B11))</f>
        <v>#N/A</v>
      </c>
      <c r="L11" s="76" t="e">
        <f>IF($B11="",NA(),COUNTIFS(Oct[Station],$B11))</f>
        <v>#N/A</v>
      </c>
      <c r="M11" s="76" t="e">
        <f>IF($B11="",NA(),COUNTIFS(Nov[Station],$B11))</f>
        <v>#N/A</v>
      </c>
      <c r="N11" s="76" t="e">
        <f>IF($B11="",NA(),COUNTIFS(Dec[Station],$B11))</f>
        <v>#N/A</v>
      </c>
      <c r="O11" s="85" t="str">
        <f t="shared" si="0"/>
        <v/>
      </c>
    </row>
    <row r="12" spans="2:15" x14ac:dyDescent="0.25">
      <c r="B12" s="85" t="str">
        <v/>
      </c>
      <c r="C12" s="76" t="e">
        <f>IF($B12="",NA(),COUNTIFS(Jan[Station],$B12))</f>
        <v>#N/A</v>
      </c>
      <c r="D12" s="76" t="e">
        <f>IF($B12="",NA(),COUNTIFS(Feb[Station],$B12))</f>
        <v>#N/A</v>
      </c>
      <c r="E12" s="76" t="e">
        <f>IF($B12="",NA(),COUNTIFS(Mar[Station],$B12))</f>
        <v>#N/A</v>
      </c>
      <c r="F12" s="76" t="e">
        <f>IF($B12="",NA(),COUNTIFS(Apr[Station],$B12))</f>
        <v>#N/A</v>
      </c>
      <c r="G12" s="76" t="e">
        <f>IF($B12="",NA(),COUNTIFS(May[Station],$B12))</f>
        <v>#N/A</v>
      </c>
      <c r="H12" s="76" t="e">
        <f>IF($B12="",NA(),COUNTIFS(June[Station],$B12))</f>
        <v>#N/A</v>
      </c>
      <c r="I12" s="76" t="e">
        <f>IF($B12="",NA(),COUNTIFS(July[Station],$B12))</f>
        <v>#N/A</v>
      </c>
      <c r="J12" s="76" t="e">
        <f>IF($B12="",NA(),COUNTIFS(Aug[Station],$B12))</f>
        <v>#N/A</v>
      </c>
      <c r="K12" s="76" t="e">
        <f>IF($B12="",NA(),COUNTIFS(Sept[Station],$B12))</f>
        <v>#N/A</v>
      </c>
      <c r="L12" s="76" t="e">
        <f>IF($B12="",NA(),COUNTIFS(Oct[Station],$B12))</f>
        <v>#N/A</v>
      </c>
      <c r="M12" s="76" t="e">
        <f>IF($B12="",NA(),COUNTIFS(Nov[Station],$B12))</f>
        <v>#N/A</v>
      </c>
      <c r="N12" s="76" t="e">
        <f>IF($B12="",NA(),COUNTIFS(Dec[Station],$B12))</f>
        <v>#N/A</v>
      </c>
      <c r="O12" s="85" t="str">
        <f t="shared" si="0"/>
        <v/>
      </c>
    </row>
    <row r="13" spans="2:15" x14ac:dyDescent="0.25">
      <c r="B13" s="85" t="str">
        <v/>
      </c>
      <c r="C13" s="76" t="e">
        <f>IF($B13="",NA(),COUNTIFS(Jan[Station],$B13))</f>
        <v>#N/A</v>
      </c>
      <c r="D13" s="76" t="e">
        <f>IF($B13="",NA(),COUNTIFS(Feb[Station],$B13))</f>
        <v>#N/A</v>
      </c>
      <c r="E13" s="76" t="e">
        <f>IF($B13="",NA(),COUNTIFS(Mar[Station],$B13))</f>
        <v>#N/A</v>
      </c>
      <c r="F13" s="76" t="e">
        <f>IF($B13="",NA(),COUNTIFS(Apr[Station],$B13))</f>
        <v>#N/A</v>
      </c>
      <c r="G13" s="76" t="e">
        <f>IF($B13="",NA(),COUNTIFS(May[Station],$B13))</f>
        <v>#N/A</v>
      </c>
      <c r="H13" s="76" t="e">
        <f>IF($B13="",NA(),COUNTIFS(June[Station],$B13))</f>
        <v>#N/A</v>
      </c>
      <c r="I13" s="76" t="e">
        <f>IF($B13="",NA(),COUNTIFS(July[Station],$B13))</f>
        <v>#N/A</v>
      </c>
      <c r="J13" s="76" t="e">
        <f>IF($B13="",NA(),COUNTIFS(Aug[Station],$B13))</f>
        <v>#N/A</v>
      </c>
      <c r="K13" s="76" t="e">
        <f>IF($B13="",NA(),COUNTIFS(Sept[Station],$B13))</f>
        <v>#N/A</v>
      </c>
      <c r="L13" s="76" t="e">
        <f>IF($B13="",NA(),COUNTIFS(Oct[Station],$B13))</f>
        <v>#N/A</v>
      </c>
      <c r="M13" s="76" t="e">
        <f>IF($B13="",NA(),COUNTIFS(Nov[Station],$B13))</f>
        <v>#N/A</v>
      </c>
      <c r="N13" s="76" t="e">
        <f>IF($B13="",NA(),COUNTIFS(Dec[Station],$B13))</f>
        <v>#N/A</v>
      </c>
      <c r="O13" s="85" t="str">
        <f t="shared" si="0"/>
        <v/>
      </c>
    </row>
    <row r="14" spans="2:15" x14ac:dyDescent="0.25">
      <c r="B14" s="85" t="str">
        <v/>
      </c>
      <c r="C14" s="76" t="e">
        <f>IF($B14="",NA(),COUNTIFS(Jan[Station],$B14))</f>
        <v>#N/A</v>
      </c>
      <c r="D14" s="76" t="e">
        <f>IF($B14="",NA(),COUNTIFS(Feb[Station],$B14))</f>
        <v>#N/A</v>
      </c>
      <c r="E14" s="76" t="e">
        <f>IF($B14="",NA(),COUNTIFS(Mar[Station],$B14))</f>
        <v>#N/A</v>
      </c>
      <c r="F14" s="76" t="e">
        <f>IF($B14="",NA(),COUNTIFS(Apr[Station],$B14))</f>
        <v>#N/A</v>
      </c>
      <c r="G14" s="76" t="e">
        <f>IF($B14="",NA(),COUNTIFS(May[Station],$B14))</f>
        <v>#N/A</v>
      </c>
      <c r="H14" s="76" t="e">
        <f>IF($B14="",NA(),COUNTIFS(June[Station],$B14))</f>
        <v>#N/A</v>
      </c>
      <c r="I14" s="76" t="e">
        <f>IF($B14="",NA(),COUNTIFS(July[Station],$B14))</f>
        <v>#N/A</v>
      </c>
      <c r="J14" s="76" t="e">
        <f>IF($B14="",NA(),COUNTIFS(Aug[Station],$B14))</f>
        <v>#N/A</v>
      </c>
      <c r="K14" s="76" t="e">
        <f>IF($B14="",NA(),COUNTIFS(Sept[Station],$B14))</f>
        <v>#N/A</v>
      </c>
      <c r="L14" s="76" t="e">
        <f>IF($B14="",NA(),COUNTIFS(Oct[Station],$B14))</f>
        <v>#N/A</v>
      </c>
      <c r="M14" s="76" t="e">
        <f>IF($B14="",NA(),COUNTIFS(Nov[Station],$B14))</f>
        <v>#N/A</v>
      </c>
      <c r="N14" s="76" t="e">
        <f>IF($B14="",NA(),COUNTIFS(Dec[Station],$B14))</f>
        <v>#N/A</v>
      </c>
      <c r="O14" s="85" t="str">
        <f t="shared" si="0"/>
        <v/>
      </c>
    </row>
    <row r="15" spans="2:15" x14ac:dyDescent="0.25">
      <c r="B15" s="85" t="s">
        <v>16</v>
      </c>
      <c r="C15" s="85">
        <f>_xlfn.AGGREGATE(9,6,C4:C14)</f>
        <v>0</v>
      </c>
      <c r="D15" s="85">
        <f t="shared" ref="D15:N15" si="1">_xlfn.AGGREGATE(9,6,D4:D14)</f>
        <v>0</v>
      </c>
      <c r="E15" s="85">
        <f t="shared" si="1"/>
        <v>0</v>
      </c>
      <c r="F15" s="85">
        <f t="shared" si="1"/>
        <v>0</v>
      </c>
      <c r="G15" s="85">
        <f t="shared" si="1"/>
        <v>0</v>
      </c>
      <c r="H15" s="85">
        <f t="shared" si="1"/>
        <v>0</v>
      </c>
      <c r="I15" s="85">
        <f t="shared" si="1"/>
        <v>0</v>
      </c>
      <c r="J15" s="85">
        <f t="shared" si="1"/>
        <v>0</v>
      </c>
      <c r="K15" s="85">
        <f t="shared" si="1"/>
        <v>0</v>
      </c>
      <c r="L15" s="85">
        <f t="shared" si="1"/>
        <v>0</v>
      </c>
      <c r="M15" s="85">
        <f t="shared" si="1"/>
        <v>0</v>
      </c>
      <c r="N15" s="85">
        <f t="shared" si="1"/>
        <v>0</v>
      </c>
      <c r="O15" s="85">
        <f>SUM(O4:O14)</f>
        <v>0</v>
      </c>
    </row>
    <row r="17" spans="2:3" x14ac:dyDescent="0.25">
      <c r="B17" s="75" t="s">
        <v>21</v>
      </c>
      <c r="C17" s="90"/>
    </row>
    <row r="18" spans="2:3" x14ac:dyDescent="0.25">
      <c r="B18" s="93" t="s">
        <v>2</v>
      </c>
      <c r="C18" s="82" t="s">
        <v>35</v>
      </c>
    </row>
    <row r="19" spans="2:3" x14ac:dyDescent="0.25">
      <c r="B19" s="85" cm="1">
        <f t="array" ref="B19:B29">IF(_xlfn._xlws.SORT(NS[Nurses Stations],1,1,TRUE)=0,"",(_xlfn._xlws.SORT(NS[Nurses Stations],1,1,TRUE)))</f>
        <v>1</v>
      </c>
      <c r="C19" s="76">
        <f>IF($O4="",NA(),$O4)</f>
        <v>0</v>
      </c>
    </row>
    <row r="20" spans="2:3" x14ac:dyDescent="0.25">
      <c r="B20" s="85">
        <v>2</v>
      </c>
      <c r="C20" s="76">
        <f t="shared" ref="C20:C29" si="2">IF($O5="",NA(),$O5)</f>
        <v>0</v>
      </c>
    </row>
    <row r="21" spans="2:3" x14ac:dyDescent="0.25">
      <c r="B21" s="85">
        <v>3</v>
      </c>
      <c r="C21" s="76">
        <f t="shared" si="2"/>
        <v>0</v>
      </c>
    </row>
    <row r="22" spans="2:3" x14ac:dyDescent="0.25">
      <c r="B22" s="85">
        <v>4</v>
      </c>
      <c r="C22" s="76">
        <f t="shared" si="2"/>
        <v>0</v>
      </c>
    </row>
    <row r="23" spans="2:3" x14ac:dyDescent="0.25">
      <c r="B23" s="85">
        <v>5</v>
      </c>
      <c r="C23" s="76">
        <f t="shared" si="2"/>
        <v>0</v>
      </c>
    </row>
    <row r="24" spans="2:3" x14ac:dyDescent="0.25">
      <c r="B24" s="85" t="str">
        <v/>
      </c>
      <c r="C24" s="76" t="e">
        <f t="shared" si="2"/>
        <v>#N/A</v>
      </c>
    </row>
    <row r="25" spans="2:3" x14ac:dyDescent="0.25">
      <c r="B25" s="85" t="str">
        <v/>
      </c>
      <c r="C25" s="76" t="e">
        <f t="shared" si="2"/>
        <v>#N/A</v>
      </c>
    </row>
    <row r="26" spans="2:3" x14ac:dyDescent="0.25">
      <c r="B26" s="85" t="str">
        <v/>
      </c>
      <c r="C26" s="76" t="e">
        <f t="shared" si="2"/>
        <v>#N/A</v>
      </c>
    </row>
    <row r="27" spans="2:3" x14ac:dyDescent="0.25">
      <c r="B27" s="85" t="str">
        <v/>
      </c>
      <c r="C27" s="76" t="e">
        <f t="shared" si="2"/>
        <v>#N/A</v>
      </c>
    </row>
    <row r="28" spans="2:3" x14ac:dyDescent="0.25">
      <c r="B28" s="85" t="str">
        <v/>
      </c>
      <c r="C28" s="76" t="e">
        <f t="shared" si="2"/>
        <v>#N/A</v>
      </c>
    </row>
    <row r="29" spans="2:3" x14ac:dyDescent="0.25">
      <c r="B29" s="85" t="str">
        <v/>
      </c>
      <c r="C29" s="76" t="e">
        <f t="shared" si="2"/>
        <v>#N/A</v>
      </c>
    </row>
    <row r="30" spans="2:3" x14ac:dyDescent="0.25">
      <c r="B30" s="93" t="s">
        <v>35</v>
      </c>
      <c r="C30" s="85">
        <f>_xlfn.AGGREGATE(9,6,C19:C29)</f>
        <v>0</v>
      </c>
    </row>
    <row r="32" spans="2:3" x14ac:dyDescent="0.25">
      <c r="B32" s="89"/>
      <c r="C32" s="89"/>
    </row>
    <row r="33" spans="2:15" ht="15" customHeight="1" x14ac:dyDescent="0.25">
      <c r="B33" s="75" t="str">
        <f>"Location of Falls by Month "&amp;IF(Jan!$C$1=0,"",Jan!$C$1)</f>
        <v xml:space="preserve">Location of Falls by Month </v>
      </c>
      <c r="C33" s="75"/>
      <c r="D33" s="75"/>
      <c r="E33" s="75"/>
      <c r="F33" s="75"/>
      <c r="G33" s="75"/>
      <c r="H33" s="75"/>
      <c r="I33" s="75"/>
      <c r="J33" s="75"/>
      <c r="K33" s="75"/>
      <c r="L33" s="75"/>
      <c r="M33" s="75"/>
      <c r="N33" s="75"/>
      <c r="O33" s="75"/>
    </row>
    <row r="34" spans="2:15" x14ac:dyDescent="0.25">
      <c r="B34" s="74" t="s">
        <v>20</v>
      </c>
      <c r="C34" s="82" t="s">
        <v>4</v>
      </c>
      <c r="D34" s="82" t="s">
        <v>5</v>
      </c>
      <c r="E34" s="82" t="s">
        <v>6</v>
      </c>
      <c r="F34" s="82" t="s">
        <v>7</v>
      </c>
      <c r="G34" s="82" t="s">
        <v>8</v>
      </c>
      <c r="H34" s="82" t="s">
        <v>9</v>
      </c>
      <c r="I34" s="82" t="s">
        <v>10</v>
      </c>
      <c r="J34" s="82" t="s">
        <v>11</v>
      </c>
      <c r="K34" s="82" t="s">
        <v>12</v>
      </c>
      <c r="L34" s="82" t="s">
        <v>13</v>
      </c>
      <c r="M34" s="82" t="s">
        <v>14</v>
      </c>
      <c r="N34" s="82" t="s">
        <v>15</v>
      </c>
      <c r="O34" s="82" t="s">
        <v>16</v>
      </c>
    </row>
    <row r="35" spans="2:15" x14ac:dyDescent="0.25">
      <c r="B35" s="131" t="str" cm="1">
        <f t="array" ref="B35:B45">IF(_xlfn._xlws.SORT(Location[Location],1,1,TRUE)=0,"",(_xlfn._xlws.SORT(Location[Location],1,1,TRUE)))</f>
        <v>Activity Room</v>
      </c>
      <c r="C35" s="76">
        <f>IF($B35="",NA(),COUNTIFS(Jan[Location],$B35))</f>
        <v>0</v>
      </c>
      <c r="D35" s="76">
        <f>IF($B35="",NA(),COUNTIFS(Feb[Location],$B35))</f>
        <v>0</v>
      </c>
      <c r="E35" s="76">
        <f>IF($B35="",NA(),COUNTIFS(Mar[Location],$B35))</f>
        <v>0</v>
      </c>
      <c r="F35" s="76">
        <f>IF($B35="",NA(),COUNTIFS(Apr[Location],$B35))</f>
        <v>0</v>
      </c>
      <c r="G35" s="76">
        <f>IF($B35="",NA(),COUNTIFS(May[Location],$B35))</f>
        <v>0</v>
      </c>
      <c r="H35" s="76">
        <f>IF($B35="",NA(),COUNTIFS(June[Location],$B35))</f>
        <v>0</v>
      </c>
      <c r="I35" s="76">
        <f>IF($B35="",NA(),COUNTIFS(July[Location],$B35))</f>
        <v>0</v>
      </c>
      <c r="J35" s="76">
        <f>IF($B35="",NA(),COUNTIFS(Aug[Location],$B35))</f>
        <v>0</v>
      </c>
      <c r="K35" s="76">
        <f>IF($B35="",NA(),COUNTIFS(Sept[Location],$B35))</f>
        <v>0</v>
      </c>
      <c r="L35" s="76">
        <f>IF($B35="",NA(),COUNTIFS(Oct[Location],$B35))</f>
        <v>0</v>
      </c>
      <c r="M35" s="76">
        <f>IF($B35="",NA(),COUNTIFS(Nov[Location],$B35))</f>
        <v>0</v>
      </c>
      <c r="N35" s="76">
        <f>IF($B35="",NA(),COUNTIFS(Dec[Location],$B35))</f>
        <v>0</v>
      </c>
      <c r="O35" s="85">
        <f>IF($B35="","",_xlfn.AGGREGATE(9,6,C35:N35))</f>
        <v>0</v>
      </c>
    </row>
    <row r="36" spans="2:15" x14ac:dyDescent="0.25">
      <c r="B36" s="131" t="str">
        <v>Bedroom</v>
      </c>
      <c r="C36" s="76">
        <f>IF($B36="",NA(),COUNTIFS(Jan[Location],$B36))</f>
        <v>0</v>
      </c>
      <c r="D36" s="76">
        <f>IF($B36="",NA(),COUNTIFS(Feb[Location],$B36))</f>
        <v>0</v>
      </c>
      <c r="E36" s="76">
        <f>IF($B36="",NA(),COUNTIFS(Mar[Location],$B36))</f>
        <v>0</v>
      </c>
      <c r="F36" s="76">
        <f>IF($B36="",NA(),COUNTIFS(Apr[Location],$B36))</f>
        <v>0</v>
      </c>
      <c r="G36" s="76">
        <f>IF($B36="",NA(),COUNTIFS(May[Location],$B36))</f>
        <v>0</v>
      </c>
      <c r="H36" s="76">
        <f>IF($B36="",NA(),COUNTIFS(June[Location],$B36))</f>
        <v>0</v>
      </c>
      <c r="I36" s="76">
        <f>IF($B36="",NA(),COUNTIFS(July[Location],$B36))</f>
        <v>0</v>
      </c>
      <c r="J36" s="76">
        <f>IF($B36="",NA(),COUNTIFS(Aug[Location],$B36))</f>
        <v>0</v>
      </c>
      <c r="K36" s="76">
        <f>IF($B36="",NA(),COUNTIFS(Sept[Location],$B36))</f>
        <v>0</v>
      </c>
      <c r="L36" s="76">
        <f>IF($B36="",NA(),COUNTIFS(Oct[Location],$B36))</f>
        <v>0</v>
      </c>
      <c r="M36" s="76">
        <f>IF($B36="",NA(),COUNTIFS(Nov[Location],$B36))</f>
        <v>0</v>
      </c>
      <c r="N36" s="76">
        <f>IF($B36="",NA(),COUNTIFS(Dec[Location],$B36))</f>
        <v>0</v>
      </c>
      <c r="O36" s="85">
        <f t="shared" ref="O36:O45" si="3">IF($B36="","",_xlfn.AGGREGATE(9,6,C36:N36))</f>
        <v>0</v>
      </c>
    </row>
    <row r="37" spans="2:15" x14ac:dyDescent="0.25">
      <c r="B37" s="131" t="str">
        <v>Bathroom</v>
      </c>
      <c r="C37" s="76">
        <f>IF($B37="",NA(),COUNTIFS(Jan[Location],$B37))</f>
        <v>0</v>
      </c>
      <c r="D37" s="76">
        <f>IF($B37="",NA(),COUNTIFS(Feb[Location],$B37))</f>
        <v>0</v>
      </c>
      <c r="E37" s="76">
        <f>IF($B37="",NA(),COUNTIFS(Mar[Location],$B37))</f>
        <v>0</v>
      </c>
      <c r="F37" s="76">
        <f>IF($B37="",NA(),COUNTIFS(Apr[Location],$B37))</f>
        <v>0</v>
      </c>
      <c r="G37" s="76">
        <f>IF($B37="",NA(),COUNTIFS(May[Location],$B37))</f>
        <v>0</v>
      </c>
      <c r="H37" s="76">
        <f>IF($B37="",NA(),COUNTIFS(June[Location],$B37))</f>
        <v>0</v>
      </c>
      <c r="I37" s="76">
        <f>IF($B37="",NA(),COUNTIFS(July[Location],$B37))</f>
        <v>0</v>
      </c>
      <c r="J37" s="76">
        <f>IF($B37="",NA(),COUNTIFS(Aug[Location],$B37))</f>
        <v>0</v>
      </c>
      <c r="K37" s="76">
        <f>IF($B37="",NA(),COUNTIFS(Sept[Location],$B37))</f>
        <v>0</v>
      </c>
      <c r="L37" s="76">
        <f>IF($B37="",NA(),COUNTIFS(Oct[Location],$B37))</f>
        <v>0</v>
      </c>
      <c r="M37" s="76">
        <f>IF($B37="",NA(),COUNTIFS(Nov[Location],$B37))</f>
        <v>0</v>
      </c>
      <c r="N37" s="76">
        <f>IF($B37="",NA(),COUNTIFS(Dec[Location],$B37))</f>
        <v>0</v>
      </c>
      <c r="O37" s="85">
        <f t="shared" si="3"/>
        <v>0</v>
      </c>
    </row>
    <row r="38" spans="2:15" x14ac:dyDescent="0.25">
      <c r="B38" s="131" t="str">
        <v>Hallway</v>
      </c>
      <c r="C38" s="76">
        <f>IF($B38="",NA(),COUNTIFS(Jan[Location],$B38))</f>
        <v>0</v>
      </c>
      <c r="D38" s="76">
        <f>IF($B38="",NA(),COUNTIFS(Feb[Location],$B38))</f>
        <v>0</v>
      </c>
      <c r="E38" s="76">
        <f>IF($B38="",NA(),COUNTIFS(Mar[Location],$B38))</f>
        <v>0</v>
      </c>
      <c r="F38" s="76">
        <f>IF($B38="",NA(),COUNTIFS(Apr[Location],$B38))</f>
        <v>0</v>
      </c>
      <c r="G38" s="76">
        <f>IF($B38="",NA(),COUNTIFS(May[Location],$B38))</f>
        <v>0</v>
      </c>
      <c r="H38" s="76">
        <f>IF($B38="",NA(),COUNTIFS(June[Location],$B38))</f>
        <v>0</v>
      </c>
      <c r="I38" s="76">
        <f>IF($B38="",NA(),COUNTIFS(July[Location],$B38))</f>
        <v>0</v>
      </c>
      <c r="J38" s="76">
        <f>IF($B38="",NA(),COUNTIFS(Aug[Location],$B38))</f>
        <v>0</v>
      </c>
      <c r="K38" s="76">
        <f>IF($B38="",NA(),COUNTIFS(Sept[Location],$B38))</f>
        <v>0</v>
      </c>
      <c r="L38" s="76">
        <f>IF($B38="",NA(),COUNTIFS(Oct[Location],$B38))</f>
        <v>0</v>
      </c>
      <c r="M38" s="76">
        <f>IF($B38="",NA(),COUNTIFS(Nov[Location],$B38))</f>
        <v>0</v>
      </c>
      <c r="N38" s="76">
        <f>IF($B38="",NA(),COUNTIFS(Dec[Location],$B38))</f>
        <v>0</v>
      </c>
      <c r="O38" s="85">
        <f t="shared" si="3"/>
        <v>0</v>
      </c>
    </row>
    <row r="39" spans="2:15" x14ac:dyDescent="0.25">
      <c r="B39" s="131" t="str">
        <v>Offsite</v>
      </c>
      <c r="C39" s="76">
        <f>IF($B39="",NA(),COUNTIFS(Jan[Location],$B39))</f>
        <v>0</v>
      </c>
      <c r="D39" s="76">
        <f>IF($B39="",NA(),COUNTIFS(Feb[Location],$B39))</f>
        <v>0</v>
      </c>
      <c r="E39" s="76">
        <f>IF($B39="",NA(),COUNTIFS(Mar[Location],$B39))</f>
        <v>0</v>
      </c>
      <c r="F39" s="76">
        <f>IF($B39="",NA(),COUNTIFS(Apr[Location],$B39))</f>
        <v>0</v>
      </c>
      <c r="G39" s="76">
        <f>IF($B39="",NA(),COUNTIFS(May[Location],$B39))</f>
        <v>0</v>
      </c>
      <c r="H39" s="76">
        <f>IF($B39="",NA(),COUNTIFS(June[Location],$B39))</f>
        <v>0</v>
      </c>
      <c r="I39" s="76">
        <f>IF($B39="",NA(),COUNTIFS(July[Location],$B39))</f>
        <v>0</v>
      </c>
      <c r="J39" s="76">
        <f>IF($B39="",NA(),COUNTIFS(Aug[Location],$B39))</f>
        <v>0</v>
      </c>
      <c r="K39" s="76">
        <f>IF($B39="",NA(),COUNTIFS(Sept[Location],$B39))</f>
        <v>0</v>
      </c>
      <c r="L39" s="76">
        <f>IF($B39="",NA(),COUNTIFS(Oct[Location],$B39))</f>
        <v>0</v>
      </c>
      <c r="M39" s="76">
        <f>IF($B39="",NA(),COUNTIFS(Nov[Location],$B39))</f>
        <v>0</v>
      </c>
      <c r="N39" s="76">
        <f>IF($B39="",NA(),COUNTIFS(Dec[Location],$B39))</f>
        <v>0</v>
      </c>
      <c r="O39" s="85">
        <f t="shared" si="3"/>
        <v>0</v>
      </c>
    </row>
    <row r="40" spans="2:15" x14ac:dyDescent="0.25">
      <c r="B40" s="131" t="str">
        <v>Shower Room</v>
      </c>
      <c r="C40" s="76">
        <f>IF($B40="",NA(),COUNTIFS(Jan[Location],$B40))</f>
        <v>0</v>
      </c>
      <c r="D40" s="76">
        <f>IF($B40="",NA(),COUNTIFS(Feb[Location],$B40))</f>
        <v>0</v>
      </c>
      <c r="E40" s="76">
        <f>IF($B40="",NA(),COUNTIFS(Mar[Location],$B40))</f>
        <v>0</v>
      </c>
      <c r="F40" s="76">
        <f>IF($B40="",NA(),COUNTIFS(Apr[Location],$B40))</f>
        <v>0</v>
      </c>
      <c r="G40" s="76">
        <f>IF($B40="",NA(),COUNTIFS(May[Location],$B40))</f>
        <v>0</v>
      </c>
      <c r="H40" s="76">
        <f>IF($B40="",NA(),COUNTIFS(June[Location],$B40))</f>
        <v>0</v>
      </c>
      <c r="I40" s="76">
        <f>IF($B40="",NA(),COUNTIFS(July[Location],$B40))</f>
        <v>0</v>
      </c>
      <c r="J40" s="76">
        <f>IF($B40="",NA(),COUNTIFS(Aug[Location],$B40))</f>
        <v>0</v>
      </c>
      <c r="K40" s="76">
        <f>IF($B40="",NA(),COUNTIFS(Sept[Location],$B40))</f>
        <v>0</v>
      </c>
      <c r="L40" s="76">
        <f>IF($B40="",NA(),COUNTIFS(Oct[Location],$B40))</f>
        <v>0</v>
      </c>
      <c r="M40" s="76">
        <f>IF($B40="",NA(),COUNTIFS(Nov[Location],$B40))</f>
        <v>0</v>
      </c>
      <c r="N40" s="76">
        <f>IF($B40="",NA(),COUNTIFS(Dec[Location],$B40))</f>
        <v>0</v>
      </c>
      <c r="O40" s="85">
        <f t="shared" si="3"/>
        <v>0</v>
      </c>
    </row>
    <row r="41" spans="2:15" x14ac:dyDescent="0.25">
      <c r="B41" s="131" t="str">
        <v>Dining Room</v>
      </c>
      <c r="C41" s="76">
        <f>IF($B41="",NA(),COUNTIFS(Jan[Location],$B41))</f>
        <v>0</v>
      </c>
      <c r="D41" s="76">
        <f>IF($B41="",NA(),COUNTIFS(Feb[Location],$B41))</f>
        <v>0</v>
      </c>
      <c r="E41" s="76">
        <f>IF($B41="",NA(),COUNTIFS(Mar[Location],$B41))</f>
        <v>0</v>
      </c>
      <c r="F41" s="76">
        <f>IF($B41="",NA(),COUNTIFS(Apr[Location],$B41))</f>
        <v>0</v>
      </c>
      <c r="G41" s="76">
        <f>IF($B41="",NA(),COUNTIFS(May[Location],$B41))</f>
        <v>0</v>
      </c>
      <c r="H41" s="76">
        <f>IF($B41="",NA(),COUNTIFS(June[Location],$B41))</f>
        <v>0</v>
      </c>
      <c r="I41" s="76">
        <f>IF($B41="",NA(),COUNTIFS(July[Location],$B41))</f>
        <v>0</v>
      </c>
      <c r="J41" s="76">
        <f>IF($B41="",NA(),COUNTIFS(Aug[Location],$B41))</f>
        <v>0</v>
      </c>
      <c r="K41" s="76">
        <f>IF($B41="",NA(),COUNTIFS(Sept[Location],$B41))</f>
        <v>0</v>
      </c>
      <c r="L41" s="76">
        <f>IF($B41="",NA(),COUNTIFS(Oct[Location],$B41))</f>
        <v>0</v>
      </c>
      <c r="M41" s="76">
        <f>IF($B41="",NA(),COUNTIFS(Nov[Location],$B41))</f>
        <v>0</v>
      </c>
      <c r="N41" s="76">
        <f>IF($B41="",NA(),COUNTIFS(Dec[Location],$B41))</f>
        <v>0</v>
      </c>
      <c r="O41" s="85">
        <f t="shared" si="3"/>
        <v>0</v>
      </c>
    </row>
    <row r="42" spans="2:15" x14ac:dyDescent="0.25">
      <c r="B42" s="131" t="str">
        <v/>
      </c>
      <c r="C42" s="76" t="e">
        <f>IF($B42="",NA(),COUNTIFS(Jan[Location],$B42))</f>
        <v>#N/A</v>
      </c>
      <c r="D42" s="76" t="e">
        <f>IF($B42="",NA(),COUNTIFS(Feb[Location],$B42))</f>
        <v>#N/A</v>
      </c>
      <c r="E42" s="76" t="e">
        <f>IF($B42="",NA(),COUNTIFS(Mar[Location],$B42))</f>
        <v>#N/A</v>
      </c>
      <c r="F42" s="76" t="e">
        <f>IF($B42="",NA(),COUNTIFS(Apr[Location],$B42))</f>
        <v>#N/A</v>
      </c>
      <c r="G42" s="76" t="e">
        <f>IF($B42="",NA(),COUNTIFS(May[Location],$B42))</f>
        <v>#N/A</v>
      </c>
      <c r="H42" s="76" t="e">
        <f>IF($B42="",NA(),COUNTIFS(June[Location],$B42))</f>
        <v>#N/A</v>
      </c>
      <c r="I42" s="76" t="e">
        <f>IF($B42="",NA(),COUNTIFS(July[Location],$B42))</f>
        <v>#N/A</v>
      </c>
      <c r="J42" s="76" t="e">
        <f>IF($B42="",NA(),COUNTIFS(Aug[Location],$B42))</f>
        <v>#N/A</v>
      </c>
      <c r="K42" s="76" t="e">
        <f>IF($B42="",NA(),COUNTIFS(Sept[Location],$B42))</f>
        <v>#N/A</v>
      </c>
      <c r="L42" s="76" t="e">
        <f>IF($B42="",NA(),COUNTIFS(Oct[Location],$B42))</f>
        <v>#N/A</v>
      </c>
      <c r="M42" s="76" t="e">
        <f>IF($B42="",NA(),COUNTIFS(Nov[Location],$B42))</f>
        <v>#N/A</v>
      </c>
      <c r="N42" s="76" t="e">
        <f>IF($B42="",NA(),COUNTIFS(Dec[Location],$B42))</f>
        <v>#N/A</v>
      </c>
      <c r="O42" s="85" t="str">
        <f t="shared" si="3"/>
        <v/>
      </c>
    </row>
    <row r="43" spans="2:15" x14ac:dyDescent="0.25">
      <c r="B43" s="131" t="str">
        <v/>
      </c>
      <c r="C43" s="76" t="e">
        <f>IF($B43="",NA(),COUNTIFS(Jan[Location],$B43))</f>
        <v>#N/A</v>
      </c>
      <c r="D43" s="76" t="e">
        <f>IF($B43="",NA(),COUNTIFS(Feb[Location],$B43))</f>
        <v>#N/A</v>
      </c>
      <c r="E43" s="76" t="e">
        <f>IF($B43="",NA(),COUNTIFS(Mar[Location],$B43))</f>
        <v>#N/A</v>
      </c>
      <c r="F43" s="76" t="e">
        <f>IF($B43="",NA(),COUNTIFS(Apr[Location],$B43))</f>
        <v>#N/A</v>
      </c>
      <c r="G43" s="76" t="e">
        <f>IF($B43="",NA(),COUNTIFS(May[Location],$B43))</f>
        <v>#N/A</v>
      </c>
      <c r="H43" s="76" t="e">
        <f>IF($B43="",NA(),COUNTIFS(June[Location],$B43))</f>
        <v>#N/A</v>
      </c>
      <c r="I43" s="76" t="e">
        <f>IF($B43="",NA(),COUNTIFS(July[Location],$B43))</f>
        <v>#N/A</v>
      </c>
      <c r="J43" s="76" t="e">
        <f>IF($B43="",NA(),COUNTIFS(Aug[Location],$B43))</f>
        <v>#N/A</v>
      </c>
      <c r="K43" s="76" t="e">
        <f>IF($B43="",NA(),COUNTIFS(Sept[Location],$B43))</f>
        <v>#N/A</v>
      </c>
      <c r="L43" s="76" t="e">
        <f>IF($B43="",NA(),COUNTIFS(Oct[Location],$B43))</f>
        <v>#N/A</v>
      </c>
      <c r="M43" s="76" t="e">
        <f>IF($B43="",NA(),COUNTIFS(Nov[Location],$B43))</f>
        <v>#N/A</v>
      </c>
      <c r="N43" s="76" t="e">
        <f>IF($B43="",NA(),COUNTIFS(Dec[Location],$B43))</f>
        <v>#N/A</v>
      </c>
      <c r="O43" s="85" t="str">
        <f t="shared" si="3"/>
        <v/>
      </c>
    </row>
    <row r="44" spans="2:15" x14ac:dyDescent="0.25">
      <c r="B44" s="131" t="str">
        <v/>
      </c>
      <c r="C44" s="76" t="e">
        <f>IF($B44="",NA(),COUNTIFS(Jan[Location],$B44))</f>
        <v>#N/A</v>
      </c>
      <c r="D44" s="76" t="e">
        <f>IF($B44="",NA(),COUNTIFS(Feb[Location],$B44))</f>
        <v>#N/A</v>
      </c>
      <c r="E44" s="76" t="e">
        <f>IF($B44="",NA(),COUNTIFS(Mar[Location],$B44))</f>
        <v>#N/A</v>
      </c>
      <c r="F44" s="76" t="e">
        <f>IF($B44="",NA(),COUNTIFS(Apr[Location],$B44))</f>
        <v>#N/A</v>
      </c>
      <c r="G44" s="76" t="e">
        <f>IF($B44="",NA(),COUNTIFS(May[Location],$B44))</f>
        <v>#N/A</v>
      </c>
      <c r="H44" s="76" t="e">
        <f>IF($B44="",NA(),COUNTIFS(June[Location],$B44))</f>
        <v>#N/A</v>
      </c>
      <c r="I44" s="76" t="e">
        <f>IF($B44="",NA(),COUNTIFS(July[Location],$B44))</f>
        <v>#N/A</v>
      </c>
      <c r="J44" s="76" t="e">
        <f>IF($B44="",NA(),COUNTIFS(Aug[Location],$B44))</f>
        <v>#N/A</v>
      </c>
      <c r="K44" s="76" t="e">
        <f>IF($B44="",NA(),COUNTIFS(Sept[Location],$B44))</f>
        <v>#N/A</v>
      </c>
      <c r="L44" s="76" t="e">
        <f>IF($B44="",NA(),COUNTIFS(Oct[Location],$B44))</f>
        <v>#N/A</v>
      </c>
      <c r="M44" s="76" t="e">
        <f>IF($B44="",NA(),COUNTIFS(Nov[Location],$B44))</f>
        <v>#N/A</v>
      </c>
      <c r="N44" s="76" t="e">
        <f>IF($B44="",NA(),COUNTIFS(Dec[Location],$B44))</f>
        <v>#N/A</v>
      </c>
      <c r="O44" s="85" t="str">
        <f t="shared" si="3"/>
        <v/>
      </c>
    </row>
    <row r="45" spans="2:15" x14ac:dyDescent="0.25">
      <c r="B45" s="131" t="str">
        <v/>
      </c>
      <c r="C45" s="76" t="e">
        <f>IF($B45="",NA(),COUNTIFS(Jan[Location],$B45))</f>
        <v>#N/A</v>
      </c>
      <c r="D45" s="76" t="e">
        <f>IF($B45="",NA(),COUNTIFS(Feb[Location],$B45))</f>
        <v>#N/A</v>
      </c>
      <c r="E45" s="76" t="e">
        <f>IF($B45="",NA(),COUNTIFS(Mar[Location],$B45))</f>
        <v>#N/A</v>
      </c>
      <c r="F45" s="76" t="e">
        <f>IF($B45="",NA(),COUNTIFS(Apr[Location],$B45))</f>
        <v>#N/A</v>
      </c>
      <c r="G45" s="76" t="e">
        <f>IF($B45="",NA(),COUNTIFS(May[Location],$B45))</f>
        <v>#N/A</v>
      </c>
      <c r="H45" s="76" t="e">
        <f>IF($B45="",NA(),COUNTIFS(June[Location],$B45))</f>
        <v>#N/A</v>
      </c>
      <c r="I45" s="76" t="e">
        <f>IF($B45="",NA(),COUNTIFS(July[Location],$B45))</f>
        <v>#N/A</v>
      </c>
      <c r="J45" s="76" t="e">
        <f>IF($B45="",NA(),COUNTIFS(Aug[Location],$B45))</f>
        <v>#N/A</v>
      </c>
      <c r="K45" s="76" t="e">
        <f>IF($B45="",NA(),COUNTIFS(Sept[Location],$B45))</f>
        <v>#N/A</v>
      </c>
      <c r="L45" s="76" t="e">
        <f>IF($B45="",NA(),COUNTIFS(Oct[Location],$B45))</f>
        <v>#N/A</v>
      </c>
      <c r="M45" s="76" t="e">
        <f>IF($B45="",NA(),COUNTIFS(Nov[Location],$B45))</f>
        <v>#N/A</v>
      </c>
      <c r="N45" s="76" t="e">
        <f>IF($B45="",NA(),COUNTIFS(Dec[Location],$B45))</f>
        <v>#N/A</v>
      </c>
      <c r="O45" s="85" t="str">
        <f t="shared" si="3"/>
        <v/>
      </c>
    </row>
    <row r="46" spans="2:15" x14ac:dyDescent="0.25">
      <c r="B46" s="131" t="s">
        <v>16</v>
      </c>
      <c r="C46" s="85">
        <f>_xlfn.AGGREGATE(9,6,C35:C45)</f>
        <v>0</v>
      </c>
      <c r="D46" s="85">
        <f t="shared" ref="D46:N46" si="4">_xlfn.AGGREGATE(9,6,D35:D45)</f>
        <v>0</v>
      </c>
      <c r="E46" s="85">
        <f t="shared" si="4"/>
        <v>0</v>
      </c>
      <c r="F46" s="85">
        <f t="shared" si="4"/>
        <v>0</v>
      </c>
      <c r="G46" s="85">
        <f t="shared" si="4"/>
        <v>0</v>
      </c>
      <c r="H46" s="85">
        <f t="shared" si="4"/>
        <v>0</v>
      </c>
      <c r="I46" s="85">
        <f t="shared" si="4"/>
        <v>0</v>
      </c>
      <c r="J46" s="85">
        <f t="shared" si="4"/>
        <v>0</v>
      </c>
      <c r="K46" s="85">
        <f t="shared" si="4"/>
        <v>0</v>
      </c>
      <c r="L46" s="85">
        <f t="shared" si="4"/>
        <v>0</v>
      </c>
      <c r="M46" s="85">
        <f t="shared" si="4"/>
        <v>0</v>
      </c>
      <c r="N46" s="85">
        <f t="shared" si="4"/>
        <v>0</v>
      </c>
      <c r="O46" s="85">
        <f>SUM(O35:O45)</f>
        <v>0</v>
      </c>
    </row>
    <row r="47" spans="2:15" ht="6.95" customHeight="1" x14ac:dyDescent="0.25"/>
    <row r="48" spans="2:15" ht="15" customHeight="1" x14ac:dyDescent="0.25">
      <c r="B48" s="77" t="str">
        <f>"Location of Falls "&amp;IF(Jan!$C$1=0,"",Jan!$C$1)</f>
        <v xml:space="preserve">Location of Falls </v>
      </c>
      <c r="C48" s="90"/>
    </row>
    <row r="49" spans="2:15" x14ac:dyDescent="0.25">
      <c r="B49" s="132" t="s">
        <v>1</v>
      </c>
      <c r="C49" s="71" t="s">
        <v>35</v>
      </c>
    </row>
    <row r="50" spans="2:15" x14ac:dyDescent="0.25">
      <c r="B50" s="132" t="str" cm="1">
        <f t="array" ref="B50:B60">IF(_xlfn._xlws.SORT(Location[Location],1,1,TRUE)=0,"",(_xlfn._xlws.SORT(Location[Location],1,1,TRUE)))</f>
        <v>Activity Room</v>
      </c>
      <c r="C50" s="76">
        <f>IF($O35="",NA(),$O35)</f>
        <v>0</v>
      </c>
    </row>
    <row r="51" spans="2:15" x14ac:dyDescent="0.25">
      <c r="B51" s="132" t="str">
        <v>Bedroom</v>
      </c>
      <c r="C51" s="76">
        <f t="shared" ref="C51:C60" si="5">IF($O36="",NA(),$O36)</f>
        <v>0</v>
      </c>
    </row>
    <row r="52" spans="2:15" x14ac:dyDescent="0.25">
      <c r="B52" s="132" t="str">
        <v>Bathroom</v>
      </c>
      <c r="C52" s="76">
        <f t="shared" si="5"/>
        <v>0</v>
      </c>
    </row>
    <row r="53" spans="2:15" x14ac:dyDescent="0.25">
      <c r="B53" s="132" t="str">
        <v>Hallway</v>
      </c>
      <c r="C53" s="76">
        <f t="shared" si="5"/>
        <v>0</v>
      </c>
    </row>
    <row r="54" spans="2:15" x14ac:dyDescent="0.25">
      <c r="B54" s="132" t="str">
        <v>Offsite</v>
      </c>
      <c r="C54" s="76">
        <f t="shared" si="5"/>
        <v>0</v>
      </c>
    </row>
    <row r="55" spans="2:15" x14ac:dyDescent="0.25">
      <c r="B55" s="132" t="str">
        <v>Shower Room</v>
      </c>
      <c r="C55" s="76">
        <f t="shared" si="5"/>
        <v>0</v>
      </c>
    </row>
    <row r="56" spans="2:15" x14ac:dyDescent="0.25">
      <c r="B56" s="132" t="str">
        <v>Dining Room</v>
      </c>
      <c r="C56" s="76">
        <f t="shared" si="5"/>
        <v>0</v>
      </c>
    </row>
    <row r="57" spans="2:15" x14ac:dyDescent="0.25">
      <c r="B57" s="132" t="str">
        <v/>
      </c>
      <c r="C57" s="76" t="e">
        <f t="shared" si="5"/>
        <v>#N/A</v>
      </c>
    </row>
    <row r="58" spans="2:15" x14ac:dyDescent="0.25">
      <c r="B58" s="132" t="str">
        <v/>
      </c>
      <c r="C58" s="76" t="e">
        <f t="shared" si="5"/>
        <v>#N/A</v>
      </c>
    </row>
    <row r="59" spans="2:15" x14ac:dyDescent="0.25">
      <c r="B59" s="132" t="str">
        <v/>
      </c>
      <c r="C59" s="76" t="e">
        <f t="shared" si="5"/>
        <v>#N/A</v>
      </c>
    </row>
    <row r="60" spans="2:15" x14ac:dyDescent="0.25">
      <c r="B60" s="132" t="str">
        <v/>
      </c>
      <c r="C60" s="76" t="e">
        <f t="shared" si="5"/>
        <v>#N/A</v>
      </c>
    </row>
    <row r="61" spans="2:15" x14ac:dyDescent="0.25">
      <c r="B61" s="71" t="s">
        <v>16</v>
      </c>
      <c r="C61" s="85">
        <f>_xlfn.AGGREGATE(9,6,C50:C60)</f>
        <v>0</v>
      </c>
    </row>
    <row r="62" spans="2:15" ht="7.15" customHeight="1" x14ac:dyDescent="0.25">
      <c r="B62" s="10"/>
      <c r="C62" s="10"/>
      <c r="D62" s="10"/>
      <c r="E62" s="10"/>
      <c r="F62" s="10"/>
      <c r="G62" s="10"/>
      <c r="H62" s="10"/>
      <c r="I62" s="133"/>
    </row>
    <row r="63" spans="2:15" ht="15" customHeight="1" x14ac:dyDescent="0.25">
      <c r="B63" s="134" t="str">
        <f>"Falls by Day of the Week "&amp;IF(Jan!$C$1=0,"",Jan!$C$1)</f>
        <v xml:space="preserve">Falls by Day of the Week </v>
      </c>
      <c r="C63" s="69"/>
      <c r="D63" s="69"/>
      <c r="E63" s="69"/>
      <c r="F63" s="69"/>
      <c r="G63" s="69"/>
      <c r="H63" s="69"/>
      <c r="I63" s="69"/>
      <c r="J63" s="69"/>
      <c r="K63" s="69"/>
      <c r="L63" s="69"/>
      <c r="M63" s="69"/>
      <c r="N63" s="69"/>
      <c r="O63" s="70"/>
    </row>
    <row r="64" spans="2:15" x14ac:dyDescent="0.25">
      <c r="B64" s="93" t="s">
        <v>22</v>
      </c>
      <c r="C64" s="82" t="s">
        <v>4</v>
      </c>
      <c r="D64" s="82" t="s">
        <v>5</v>
      </c>
      <c r="E64" s="82" t="s">
        <v>6</v>
      </c>
      <c r="F64" s="82" t="s">
        <v>7</v>
      </c>
      <c r="G64" s="82" t="s">
        <v>8</v>
      </c>
      <c r="H64" s="82" t="s">
        <v>9</v>
      </c>
      <c r="I64" s="82" t="s">
        <v>10</v>
      </c>
      <c r="J64" s="82" t="s">
        <v>11</v>
      </c>
      <c r="K64" s="82" t="s">
        <v>12</v>
      </c>
      <c r="L64" s="82" t="s">
        <v>13</v>
      </c>
      <c r="M64" s="82" t="s">
        <v>14</v>
      </c>
      <c r="N64" s="82" t="s">
        <v>15</v>
      </c>
      <c r="O64" s="82" t="s">
        <v>16</v>
      </c>
    </row>
    <row r="65" spans="2:15" x14ac:dyDescent="0.25">
      <c r="B65" s="131" t="s">
        <v>46</v>
      </c>
      <c r="C65" s="135">
        <f>COUNTIFS(Jan[Day],$B65)</f>
        <v>0</v>
      </c>
      <c r="D65" s="135">
        <f>COUNTIFS(Feb[Day],$B65)</f>
        <v>0</v>
      </c>
      <c r="E65" s="135">
        <f>COUNTIFS(Mar[Day],$B65)</f>
        <v>0</v>
      </c>
      <c r="F65" s="135">
        <f>COUNTIFS(Apr[Day],$B65)</f>
        <v>0</v>
      </c>
      <c r="G65" s="135">
        <f>COUNTIFS(May[Day],$B65)</f>
        <v>0</v>
      </c>
      <c r="H65" s="135">
        <f>COUNTIFS(June[Day],$B65)</f>
        <v>0</v>
      </c>
      <c r="I65" s="135">
        <f>COUNTIFS(July[Day],$B65)</f>
        <v>0</v>
      </c>
      <c r="J65" s="135">
        <f>COUNTIFS(Aug[Day],$B65)</f>
        <v>0</v>
      </c>
      <c r="K65" s="135">
        <f>COUNTIFS(Sept[Day],$B65)</f>
        <v>0</v>
      </c>
      <c r="L65" s="135">
        <f>COUNTIFS(Oct[Day],$B65)</f>
        <v>0</v>
      </c>
      <c r="M65" s="135">
        <f>COUNTIFS(Nov[Day],$B65)</f>
        <v>0</v>
      </c>
      <c r="N65" s="135">
        <f>COUNTIFS(Dec[Day],$B65)</f>
        <v>0</v>
      </c>
      <c r="O65" s="85">
        <f>_xlfn.AGGREGATE(9,6,C65:N65)</f>
        <v>0</v>
      </c>
    </row>
    <row r="66" spans="2:15" x14ac:dyDescent="0.25">
      <c r="B66" s="131" t="s">
        <v>47</v>
      </c>
      <c r="C66" s="135">
        <f>COUNTIFS(Jan[Day],$B66)</f>
        <v>0</v>
      </c>
      <c r="D66" s="135">
        <f>COUNTIFS(Feb[Day],$B66)</f>
        <v>0</v>
      </c>
      <c r="E66" s="135">
        <f>COUNTIFS(Mar[Day],$B66)</f>
        <v>0</v>
      </c>
      <c r="F66" s="135">
        <f>COUNTIFS(Apr[Day],$B66)</f>
        <v>0</v>
      </c>
      <c r="G66" s="135">
        <f>COUNTIFS(May[Day],$B66)</f>
        <v>0</v>
      </c>
      <c r="H66" s="135">
        <f>COUNTIFS(June[Day],$B66)</f>
        <v>0</v>
      </c>
      <c r="I66" s="135">
        <f>COUNTIFS(July[Day],$B66)</f>
        <v>0</v>
      </c>
      <c r="J66" s="135">
        <f>COUNTIFS(Aug[Day],$B66)</f>
        <v>0</v>
      </c>
      <c r="K66" s="135">
        <f>COUNTIFS(Sept[Day],$B66)</f>
        <v>0</v>
      </c>
      <c r="L66" s="135">
        <f>COUNTIFS(Oct[Day],$B66)</f>
        <v>0</v>
      </c>
      <c r="M66" s="135">
        <f>COUNTIFS(Nov[Day],$B66)</f>
        <v>0</v>
      </c>
      <c r="N66" s="135">
        <f>COUNTIFS(Dec[Day],$B66)</f>
        <v>0</v>
      </c>
      <c r="O66" s="85">
        <f>_xlfn.AGGREGATE(9,6,C66:N66)</f>
        <v>0</v>
      </c>
    </row>
    <row r="67" spans="2:15" x14ac:dyDescent="0.25">
      <c r="B67" s="131" t="s">
        <v>52</v>
      </c>
      <c r="C67" s="135">
        <f>COUNTIFS(Jan[Day],$B67)</f>
        <v>0</v>
      </c>
      <c r="D67" s="135">
        <f>COUNTIFS(Feb[Day],$B67)</f>
        <v>0</v>
      </c>
      <c r="E67" s="135">
        <f>COUNTIFS(Mar[Day],$B67)</f>
        <v>0</v>
      </c>
      <c r="F67" s="135">
        <f>COUNTIFS(Apr[Day],$B67)</f>
        <v>0</v>
      </c>
      <c r="G67" s="135">
        <f>COUNTIFS(May[Day],$B67)</f>
        <v>0</v>
      </c>
      <c r="H67" s="135">
        <f>COUNTIFS(June[Day],$B67)</f>
        <v>0</v>
      </c>
      <c r="I67" s="135">
        <f>COUNTIFS(July[Day],$B67)</f>
        <v>0</v>
      </c>
      <c r="J67" s="135">
        <f>COUNTIFS(Aug[Day],$B67)</f>
        <v>0</v>
      </c>
      <c r="K67" s="135">
        <f>COUNTIFS(Sept[Day],$B67)</f>
        <v>0</v>
      </c>
      <c r="L67" s="135">
        <f>COUNTIFS(Oct[Day],$B67)</f>
        <v>0</v>
      </c>
      <c r="M67" s="135">
        <f>COUNTIFS(Nov[Day],$B67)</f>
        <v>0</v>
      </c>
      <c r="N67" s="135">
        <f>COUNTIFS(Dec[Day],$B67)</f>
        <v>0</v>
      </c>
      <c r="O67" s="85">
        <f t="shared" ref="O67:O71" si="6">_xlfn.AGGREGATE(9,6,C67:N67)</f>
        <v>0</v>
      </c>
    </row>
    <row r="68" spans="2:15" x14ac:dyDescent="0.25">
      <c r="B68" s="131" t="s">
        <v>48</v>
      </c>
      <c r="C68" s="135">
        <f>COUNTIFS(Jan[Day],$B68)</f>
        <v>0</v>
      </c>
      <c r="D68" s="135">
        <f>COUNTIFS(Feb[Day],$B68)</f>
        <v>0</v>
      </c>
      <c r="E68" s="135">
        <f>COUNTIFS(Mar[Day],$B68)</f>
        <v>0</v>
      </c>
      <c r="F68" s="135">
        <f>COUNTIFS(Apr[Day],$B68)</f>
        <v>0</v>
      </c>
      <c r="G68" s="135">
        <f>COUNTIFS(May[Day],$B68)</f>
        <v>0</v>
      </c>
      <c r="H68" s="135">
        <f>COUNTIFS(June[Day],$B68)</f>
        <v>0</v>
      </c>
      <c r="I68" s="135">
        <f>COUNTIFS(July[Day],$B68)</f>
        <v>0</v>
      </c>
      <c r="J68" s="135">
        <f>COUNTIFS(Aug[Day],$B68)</f>
        <v>0</v>
      </c>
      <c r="K68" s="135">
        <f>COUNTIFS(Sept[Day],$B68)</f>
        <v>0</v>
      </c>
      <c r="L68" s="135">
        <f>COUNTIFS(Oct[Day],$B68)</f>
        <v>0</v>
      </c>
      <c r="M68" s="135">
        <f>COUNTIFS(Nov[Day],$B68)</f>
        <v>0</v>
      </c>
      <c r="N68" s="135">
        <f>COUNTIFS(Dec[Day],$B68)</f>
        <v>0</v>
      </c>
      <c r="O68" s="85">
        <f t="shared" si="6"/>
        <v>0</v>
      </c>
    </row>
    <row r="69" spans="2:15" x14ac:dyDescent="0.25">
      <c r="B69" s="131" t="s">
        <v>51</v>
      </c>
      <c r="C69" s="135">
        <f>COUNTIFS(Jan[Day],$B69)</f>
        <v>0</v>
      </c>
      <c r="D69" s="135">
        <f>COUNTIFS(Feb[Day],$B69)</f>
        <v>0</v>
      </c>
      <c r="E69" s="135">
        <f>COUNTIFS(Mar[Day],$B69)</f>
        <v>0</v>
      </c>
      <c r="F69" s="135">
        <f>COUNTIFS(Apr[Day],$B69)</f>
        <v>0</v>
      </c>
      <c r="G69" s="135">
        <f>COUNTIFS(May[Day],$B69)</f>
        <v>0</v>
      </c>
      <c r="H69" s="135">
        <f>COUNTIFS(June[Day],$B69)</f>
        <v>0</v>
      </c>
      <c r="I69" s="135">
        <f>COUNTIFS(July[Day],$B69)</f>
        <v>0</v>
      </c>
      <c r="J69" s="135">
        <f>COUNTIFS(Aug[Day],$B69)</f>
        <v>0</v>
      </c>
      <c r="K69" s="135">
        <f>COUNTIFS(Sept[Day],$B69)</f>
        <v>0</v>
      </c>
      <c r="L69" s="135">
        <f>COUNTIFS(Oct[Day],$B69)</f>
        <v>0</v>
      </c>
      <c r="M69" s="135">
        <f>COUNTIFS(Nov[Day],$B69)</f>
        <v>0</v>
      </c>
      <c r="N69" s="135">
        <f>COUNTIFS(Dec[Day],$B69)</f>
        <v>0</v>
      </c>
      <c r="O69" s="85">
        <f t="shared" si="6"/>
        <v>0</v>
      </c>
    </row>
    <row r="70" spans="2:15" x14ac:dyDescent="0.25">
      <c r="B70" s="131" t="s">
        <v>49</v>
      </c>
      <c r="C70" s="135">
        <f>COUNTIFS(Jan[Day],$B70)</f>
        <v>0</v>
      </c>
      <c r="D70" s="135">
        <f>COUNTIFS(Feb[Day],$B70)</f>
        <v>0</v>
      </c>
      <c r="E70" s="135">
        <f>COUNTIFS(Mar[Day],$B70)</f>
        <v>0</v>
      </c>
      <c r="F70" s="135">
        <f>COUNTIFS(Apr[Day],$B70)</f>
        <v>0</v>
      </c>
      <c r="G70" s="135">
        <f>COUNTIFS(May[Day],$B70)</f>
        <v>0</v>
      </c>
      <c r="H70" s="135">
        <f>COUNTIFS(June[Day],$B70)</f>
        <v>0</v>
      </c>
      <c r="I70" s="135">
        <f>COUNTIFS(July[Day],$B70)</f>
        <v>0</v>
      </c>
      <c r="J70" s="135">
        <f>COUNTIFS(Aug[Day],$B70)</f>
        <v>0</v>
      </c>
      <c r="K70" s="135">
        <f>COUNTIFS(Sept[Day],$B70)</f>
        <v>0</v>
      </c>
      <c r="L70" s="135">
        <f>COUNTIFS(Oct[Day],$B70)</f>
        <v>0</v>
      </c>
      <c r="M70" s="135">
        <f>COUNTIFS(Nov[Day],$B70)</f>
        <v>0</v>
      </c>
      <c r="N70" s="135">
        <f>COUNTIFS(Dec[Day],$B70)</f>
        <v>0</v>
      </c>
      <c r="O70" s="85">
        <f t="shared" si="6"/>
        <v>0</v>
      </c>
    </row>
    <row r="71" spans="2:15" x14ac:dyDescent="0.25">
      <c r="B71" s="131" t="s">
        <v>50</v>
      </c>
      <c r="C71" s="135">
        <f>COUNTIFS(Jan[Day],$B71)</f>
        <v>0</v>
      </c>
      <c r="D71" s="135">
        <f>COUNTIFS(Feb[Day],$B71)</f>
        <v>0</v>
      </c>
      <c r="E71" s="135">
        <f>COUNTIFS(Mar[Day],$B71)</f>
        <v>0</v>
      </c>
      <c r="F71" s="135">
        <f>COUNTIFS(Apr[Day],$B71)</f>
        <v>0</v>
      </c>
      <c r="G71" s="135">
        <f>COUNTIFS(May[Day],$B71)</f>
        <v>0</v>
      </c>
      <c r="H71" s="135">
        <f>COUNTIFS(June[Day],$B71)</f>
        <v>0</v>
      </c>
      <c r="I71" s="135">
        <f>COUNTIFS(July[Day],$B71)</f>
        <v>0</v>
      </c>
      <c r="J71" s="135">
        <f>COUNTIFS(Aug[Day],$B71)</f>
        <v>0</v>
      </c>
      <c r="K71" s="135">
        <f>COUNTIFS(Sept[Day],$B71)</f>
        <v>0</v>
      </c>
      <c r="L71" s="135">
        <f>COUNTIFS(Oct[Day],$B71)</f>
        <v>0</v>
      </c>
      <c r="M71" s="135">
        <f>COUNTIFS(Nov[Day],$B71)</f>
        <v>0</v>
      </c>
      <c r="N71" s="135">
        <f>COUNTIFS(Dec[Day],$B71)</f>
        <v>0</v>
      </c>
      <c r="O71" s="85">
        <f t="shared" si="6"/>
        <v>0</v>
      </c>
    </row>
    <row r="72" spans="2:15" x14ac:dyDescent="0.25">
      <c r="B72" s="131" t="s">
        <v>16</v>
      </c>
      <c r="C72" s="85">
        <f>_xlfn.AGGREGATE(9,6,C65:C71)</f>
        <v>0</v>
      </c>
      <c r="D72" s="85">
        <f t="shared" ref="D72:N72" si="7">_xlfn.AGGREGATE(9,6,D65:D71)</f>
        <v>0</v>
      </c>
      <c r="E72" s="85">
        <f t="shared" si="7"/>
        <v>0</v>
      </c>
      <c r="F72" s="85">
        <f t="shared" si="7"/>
        <v>0</v>
      </c>
      <c r="G72" s="85">
        <f t="shared" si="7"/>
        <v>0</v>
      </c>
      <c r="H72" s="85">
        <f t="shared" si="7"/>
        <v>0</v>
      </c>
      <c r="I72" s="85">
        <f t="shared" si="7"/>
        <v>0</v>
      </c>
      <c r="J72" s="85">
        <f t="shared" si="7"/>
        <v>0</v>
      </c>
      <c r="K72" s="85">
        <f t="shared" si="7"/>
        <v>0</v>
      </c>
      <c r="L72" s="85">
        <f t="shared" si="7"/>
        <v>0</v>
      </c>
      <c r="M72" s="85">
        <f t="shared" si="7"/>
        <v>0</v>
      </c>
      <c r="N72" s="85">
        <f t="shared" si="7"/>
        <v>0</v>
      </c>
      <c r="O72" s="85">
        <f>SUM(O65:O71)</f>
        <v>0</v>
      </c>
    </row>
    <row r="74" spans="2:15" ht="15.6" customHeight="1" x14ac:dyDescent="0.25">
      <c r="B74" s="136" t="str">
        <f>"Falls by Day of the Week "</f>
        <v xml:space="preserve">Falls by Day of the Week </v>
      </c>
      <c r="C74" s="90"/>
    </row>
    <row r="75" spans="2:15" ht="15.75" x14ac:dyDescent="0.25">
      <c r="B75" s="137" t="s">
        <v>3</v>
      </c>
      <c r="C75" s="138" t="s">
        <v>35</v>
      </c>
    </row>
    <row r="76" spans="2:15" x14ac:dyDescent="0.25">
      <c r="B76" s="139" t="s">
        <v>46</v>
      </c>
      <c r="C76" s="76">
        <f>$O$65</f>
        <v>0</v>
      </c>
    </row>
    <row r="77" spans="2:15" ht="15.75" x14ac:dyDescent="0.25">
      <c r="B77" s="139" t="s">
        <v>47</v>
      </c>
      <c r="C77" s="76">
        <f>$O$66</f>
        <v>0</v>
      </c>
      <c r="D77" s="140"/>
      <c r="E77" s="140"/>
      <c r="F77" s="140"/>
      <c r="G77" s="140"/>
      <c r="H77" s="140"/>
      <c r="I77" s="141"/>
    </row>
    <row r="78" spans="2:15" x14ac:dyDescent="0.25">
      <c r="B78" s="139" t="s">
        <v>52</v>
      </c>
      <c r="C78" s="142">
        <f>$O$67</f>
        <v>0</v>
      </c>
      <c r="D78" s="10"/>
      <c r="E78" s="10"/>
      <c r="F78" s="10"/>
      <c r="G78" s="10"/>
      <c r="H78" s="10"/>
      <c r="I78" s="133"/>
    </row>
    <row r="79" spans="2:15" x14ac:dyDescent="0.25">
      <c r="B79" s="139" t="s">
        <v>48</v>
      </c>
      <c r="C79" s="142">
        <f>$O$68</f>
        <v>0</v>
      </c>
      <c r="D79" s="10"/>
      <c r="E79" s="10"/>
      <c r="F79" s="10"/>
      <c r="G79" s="10"/>
      <c r="H79" s="10"/>
      <c r="I79" s="133"/>
    </row>
    <row r="80" spans="2:15" x14ac:dyDescent="0.25">
      <c r="B80" s="139" t="s">
        <v>51</v>
      </c>
      <c r="C80" s="142">
        <f>$O$69</f>
        <v>0</v>
      </c>
      <c r="D80" s="10"/>
      <c r="E80" s="10"/>
      <c r="F80" s="10"/>
      <c r="G80" s="10"/>
      <c r="H80" s="10"/>
      <c r="I80" s="133"/>
    </row>
    <row r="81" spans="2:15" x14ac:dyDescent="0.25">
      <c r="B81" s="139" t="s">
        <v>49</v>
      </c>
      <c r="C81" s="142">
        <f>$O$70</f>
        <v>0</v>
      </c>
      <c r="D81" s="10"/>
      <c r="E81" s="10"/>
      <c r="F81" s="10"/>
      <c r="G81" s="10"/>
      <c r="H81" s="10"/>
      <c r="I81" s="133"/>
    </row>
    <row r="82" spans="2:15" x14ac:dyDescent="0.25">
      <c r="B82" s="139" t="s">
        <v>50</v>
      </c>
      <c r="C82" s="142">
        <f>$O$71</f>
        <v>0</v>
      </c>
      <c r="D82" s="10"/>
      <c r="E82" s="10"/>
      <c r="F82" s="10"/>
      <c r="G82" s="10"/>
      <c r="H82" s="10"/>
      <c r="I82" s="133"/>
    </row>
    <row r="83" spans="2:15" x14ac:dyDescent="0.25">
      <c r="B83" s="139" t="s">
        <v>16</v>
      </c>
      <c r="C83" s="85">
        <f>_xlfn.AGGREGATE(9,6,C76:C82)</f>
        <v>0</v>
      </c>
      <c r="D83" s="10"/>
      <c r="E83" s="10"/>
      <c r="F83" s="10"/>
      <c r="G83" s="10"/>
      <c r="H83" s="10"/>
      <c r="I83" s="133"/>
    </row>
    <row r="85" spans="2:15" ht="15" customHeight="1" x14ac:dyDescent="0.25">
      <c r="B85" s="143" t="str">
        <f>"Number of Falls by Shift "&amp;IF(Jan!$C$1=0,"",Jan!$C$1)</f>
        <v xml:space="preserve">Number of Falls by Shift </v>
      </c>
      <c r="C85" s="144"/>
      <c r="D85" s="144"/>
      <c r="E85" s="144"/>
      <c r="F85" s="144"/>
      <c r="G85" s="144"/>
      <c r="H85" s="144"/>
      <c r="I85" s="144"/>
      <c r="J85" s="144"/>
      <c r="K85" s="144"/>
      <c r="L85" s="144"/>
      <c r="M85" s="144"/>
      <c r="N85" s="144"/>
      <c r="O85" s="145"/>
    </row>
    <row r="86" spans="2:15" x14ac:dyDescent="0.25">
      <c r="B86" s="146" t="s">
        <v>23</v>
      </c>
      <c r="C86" s="147" t="s">
        <v>4</v>
      </c>
      <c r="D86" s="147" t="s">
        <v>5</v>
      </c>
      <c r="E86" s="147" t="s">
        <v>6</v>
      </c>
      <c r="F86" s="147" t="s">
        <v>7</v>
      </c>
      <c r="G86" s="147" t="s">
        <v>8</v>
      </c>
      <c r="H86" s="147" t="s">
        <v>9</v>
      </c>
      <c r="I86" s="147" t="s">
        <v>10</v>
      </c>
      <c r="J86" s="147" t="s">
        <v>11</v>
      </c>
      <c r="K86" s="147" t="s">
        <v>12</v>
      </c>
      <c r="L86" s="147" t="s">
        <v>13</v>
      </c>
      <c r="M86" s="147" t="s">
        <v>14</v>
      </c>
      <c r="N86" s="147" t="s">
        <v>15</v>
      </c>
      <c r="O86" s="147" t="s">
        <v>16</v>
      </c>
    </row>
    <row r="87" spans="2:15" x14ac:dyDescent="0.25">
      <c r="B87" s="146" t="str" cm="1">
        <f t="array" ref="B87:B91">IF(_xlfn._xlws.SORT('Data Validation'!P3:P7,1,1,TRUE)=0,"",(_xlfn._xlws.SORT('Data Validation'!P3:P7,1,1,TRUE)))</f>
        <v>11-7</v>
      </c>
      <c r="C87" s="76">
        <f>IF($B87="",NA(),COUNTIFS(Jan[Shift],$B87))</f>
        <v>0</v>
      </c>
      <c r="D87" s="76">
        <f>IF($B87="",NA(),COUNTIFS(Feb[Shift],$B87))</f>
        <v>0</v>
      </c>
      <c r="E87" s="76">
        <f>IF($B87="",NA(),COUNTIFS(Mar[Shift],$B87))</f>
        <v>0</v>
      </c>
      <c r="F87" s="76">
        <f>IF($B87="",NA(),COUNTIFS(Apr[Shift],$B87))</f>
        <v>0</v>
      </c>
      <c r="G87" s="76">
        <f>IF($B87="",NA(),COUNTIFS(May[Shift],$B87))</f>
        <v>0</v>
      </c>
      <c r="H87" s="76">
        <f>IF($B87="",NA(),COUNTIFS(June[Shift],$B87))</f>
        <v>0</v>
      </c>
      <c r="I87" s="76">
        <f>IF($B87="",NA(),COUNTIFS(July[Shift],$B87))</f>
        <v>0</v>
      </c>
      <c r="J87" s="76">
        <f>IF($B87="",NA(),COUNTIFS(Aug[Shift],$B87))</f>
        <v>0</v>
      </c>
      <c r="K87" s="76">
        <f>IF($B87="",NA(),COUNTIFS(Sept[Shift],$B87))</f>
        <v>0</v>
      </c>
      <c r="L87" s="76">
        <f>IF($B87="",NA(),COUNTIFS(Oct[Shift],$B87))</f>
        <v>0</v>
      </c>
      <c r="M87" s="76">
        <f>IF($B87="",NA(),COUNTIFS(Nov[Shift],$B87))</f>
        <v>0</v>
      </c>
      <c r="N87" s="76">
        <f>IF($B87="",NA(),COUNTIFS(Dec[Shift],$B87))</f>
        <v>0</v>
      </c>
      <c r="O87" s="85">
        <f t="shared" ref="O87:O89" si="8">IF($B87="",NA(),_xlfn.AGGREGATE(9,6,C87:N87))</f>
        <v>0</v>
      </c>
    </row>
    <row r="88" spans="2:15" x14ac:dyDescent="0.25">
      <c r="B88" s="131" t="str">
        <v>11–7</v>
      </c>
      <c r="C88" s="76">
        <f>IF($B88="",NA(),COUNTIFS(Jan[Shift],$B88))</f>
        <v>0</v>
      </c>
      <c r="D88" s="76">
        <f>IF($B88="",NA(),COUNTIFS(Feb[Shift],$B88))</f>
        <v>0</v>
      </c>
      <c r="E88" s="76">
        <f>IF($B88="",NA(),COUNTIFS(Mar[Shift],$B88))</f>
        <v>0</v>
      </c>
      <c r="F88" s="76">
        <f>IF($B88="",NA(),COUNTIFS(Apr[Shift],$B88))</f>
        <v>0</v>
      </c>
      <c r="G88" s="76">
        <f>IF($B88="",NA(),COUNTIFS(May[Shift],$B88))</f>
        <v>0</v>
      </c>
      <c r="H88" s="76">
        <f>IF($B88="",NA(),COUNTIFS(June[Shift],$B88))</f>
        <v>0</v>
      </c>
      <c r="I88" s="76">
        <f>IF($B88="",NA(),COUNTIFS(July[Shift],$B88))</f>
        <v>0</v>
      </c>
      <c r="J88" s="76">
        <f>IF($B88="",NA(),COUNTIFS(Aug[Shift],$B88))</f>
        <v>0</v>
      </c>
      <c r="K88" s="76">
        <f>IF($B88="",NA(),COUNTIFS(Sept[Shift],$B88))</f>
        <v>0</v>
      </c>
      <c r="L88" s="76">
        <f>IF($B88="",NA(),COUNTIFS(Oct[Shift],$B88))</f>
        <v>0</v>
      </c>
      <c r="M88" s="76">
        <f>IF($B88="",NA(),COUNTIFS(Nov[Shift],$B88))</f>
        <v>0</v>
      </c>
      <c r="N88" s="76">
        <f>IF($B88="",NA(),COUNTIFS(Dec[Shift],$B88))</f>
        <v>0</v>
      </c>
      <c r="O88" s="85">
        <f t="shared" si="8"/>
        <v>0</v>
      </c>
    </row>
    <row r="89" spans="2:15" x14ac:dyDescent="0.25">
      <c r="B89" s="131" t="str">
        <v>7–3</v>
      </c>
      <c r="C89" s="76">
        <f>IF($B89="",NA(),COUNTIFS(Jan[Shift],$B89))</f>
        <v>0</v>
      </c>
      <c r="D89" s="76">
        <f>IF($B89="",NA(),COUNTIFS(Feb[Shift],$B89))</f>
        <v>0</v>
      </c>
      <c r="E89" s="76">
        <f>IF($B89="",NA(),COUNTIFS(Mar[Shift],$B89))</f>
        <v>0</v>
      </c>
      <c r="F89" s="76">
        <f>IF($B89="",NA(),COUNTIFS(Apr[Shift],$B89))</f>
        <v>0</v>
      </c>
      <c r="G89" s="76">
        <f>IF($B89="",NA(),COUNTIFS(May[Shift],$B89))</f>
        <v>0</v>
      </c>
      <c r="H89" s="76">
        <f>IF($B89="",NA(),COUNTIFS(June[Shift],$B89))</f>
        <v>0</v>
      </c>
      <c r="I89" s="76">
        <f>IF($B89="",NA(),COUNTIFS(July[Shift],$B89))</f>
        <v>0</v>
      </c>
      <c r="J89" s="76">
        <f>IF($B89="",NA(),COUNTIFS(Aug[Shift],$B89))</f>
        <v>0</v>
      </c>
      <c r="K89" s="76">
        <f>IF($B89="",NA(),COUNTIFS(Sept[Shift],$B89))</f>
        <v>0</v>
      </c>
      <c r="L89" s="76">
        <f>IF($B89="",NA(),COUNTIFS(Oct[Shift],$B89))</f>
        <v>0</v>
      </c>
      <c r="M89" s="76">
        <f>IF($B89="",NA(),COUNTIFS(Nov[Shift],$B89))</f>
        <v>0</v>
      </c>
      <c r="N89" s="76">
        <f>IF($B89="",NA(),COUNTIFS(Dec[Shift],$B89))</f>
        <v>0</v>
      </c>
      <c r="O89" s="85">
        <f t="shared" si="8"/>
        <v>0</v>
      </c>
    </row>
    <row r="90" spans="2:15" x14ac:dyDescent="0.25">
      <c r="B90" s="131" t="str">
        <v>3–11</v>
      </c>
      <c r="C90" s="76">
        <f>IF($B90="",NA(),COUNTIFS(Jan[Shift],$B90))</f>
        <v>0</v>
      </c>
      <c r="D90" s="76">
        <f>IF($B90="",NA(),COUNTIFS(Feb[Shift],$B90))</f>
        <v>0</v>
      </c>
      <c r="E90" s="76">
        <f>IF($B90="",NA(),COUNTIFS(Mar[Shift],$B90))</f>
        <v>0</v>
      </c>
      <c r="F90" s="76">
        <f>IF($B90="",NA(),COUNTIFS(Apr[Shift],$B90))</f>
        <v>0</v>
      </c>
      <c r="G90" s="76">
        <f>IF($B90="",NA(),COUNTIFS(May[Shift],$B90))</f>
        <v>0</v>
      </c>
      <c r="H90" s="76">
        <f>IF($B90="",NA(),COUNTIFS(June[Shift],$B90))</f>
        <v>0</v>
      </c>
      <c r="I90" s="76">
        <f>IF($B90="",NA(),COUNTIFS(July[Shift],$B90))</f>
        <v>0</v>
      </c>
      <c r="J90" s="76">
        <f>IF($B90="",NA(),COUNTIFS(Aug[Shift],$B90))</f>
        <v>0</v>
      </c>
      <c r="K90" s="76">
        <f>IF($B90="",NA(),COUNTIFS(Sept[Shift],$B90))</f>
        <v>0</v>
      </c>
      <c r="L90" s="76">
        <f>IF($B90="",NA(),COUNTIFS(Oct[Shift],$B90))</f>
        <v>0</v>
      </c>
      <c r="M90" s="76">
        <f>IF($B90="",NA(),COUNTIFS(Nov[Shift],$B90))</f>
        <v>0</v>
      </c>
      <c r="N90" s="76">
        <f>IF($B90="",NA(),COUNTIFS(Dec[Shift],$B90))</f>
        <v>0</v>
      </c>
      <c r="O90" s="85">
        <f>IF($B90="",NA(),_xlfn.AGGREGATE(9,6,C90:N90))</f>
        <v>0</v>
      </c>
    </row>
    <row r="91" spans="2:15" x14ac:dyDescent="0.25">
      <c r="B91" s="131" t="str">
        <v/>
      </c>
      <c r="C91" s="76" t="e">
        <f>IF($B91="",NA(),COUNTIFS(Jan[Shift],$B91))</f>
        <v>#N/A</v>
      </c>
      <c r="D91" s="76" t="e">
        <f>IF($B91="",NA(),COUNTIFS(Feb[Shift],$B91))</f>
        <v>#N/A</v>
      </c>
      <c r="E91" s="76" t="e">
        <f>IF($B91="",NA(),COUNTIFS(Mar[Shift],$B91))</f>
        <v>#N/A</v>
      </c>
      <c r="F91" s="76" t="e">
        <f>IF($B91="",NA(),COUNTIFS(Apr[Shift],$B91))</f>
        <v>#N/A</v>
      </c>
      <c r="G91" s="76" t="e">
        <f>IF($B91="",NA(),COUNTIFS(May[Shift],$B91))</f>
        <v>#N/A</v>
      </c>
      <c r="H91" s="76" t="e">
        <f>IF($B91="",NA(),COUNTIFS(June[Shift],$B91))</f>
        <v>#N/A</v>
      </c>
      <c r="I91" s="76" t="e">
        <f>IF($B91="",NA(),COUNTIFS(July[Shift],$B91))</f>
        <v>#N/A</v>
      </c>
      <c r="J91" s="76" t="e">
        <f>IF($B91="",NA(),COUNTIFS(Aug[Shift],$B91))</f>
        <v>#N/A</v>
      </c>
      <c r="K91" s="76" t="e">
        <f>IF($B91="",NA(),COUNTIFS(Sept[Shift],$B91))</f>
        <v>#N/A</v>
      </c>
      <c r="L91" s="76" t="e">
        <f>IF($B91="",NA(),COUNTIFS(Oct[Shift],$B91))</f>
        <v>#N/A</v>
      </c>
      <c r="M91" s="76" t="e">
        <f>IF($B91="",NA(),COUNTIFS(Nov[Shift],$B91))</f>
        <v>#N/A</v>
      </c>
      <c r="N91" s="76" t="e">
        <f>IF($B91="",NA(),COUNTIFS(Dec[Shift],$B91))</f>
        <v>#N/A</v>
      </c>
      <c r="O91" s="85" t="e">
        <f>IF($B91="",NA(),_xlfn.AGGREGATE(9,6,C91:N91))</f>
        <v>#N/A</v>
      </c>
    </row>
    <row r="92" spans="2:15" x14ac:dyDescent="0.25">
      <c r="B92" s="131" t="s">
        <v>16</v>
      </c>
      <c r="C92" s="85">
        <f>_xlfn.AGGREGATE(9,6,C87:C91)</f>
        <v>0</v>
      </c>
      <c r="D92" s="85">
        <f t="shared" ref="D92:O92" si="9">_xlfn.AGGREGATE(9,6,D87:D91)</f>
        <v>0</v>
      </c>
      <c r="E92" s="85">
        <f t="shared" si="9"/>
        <v>0</v>
      </c>
      <c r="F92" s="85">
        <f t="shared" si="9"/>
        <v>0</v>
      </c>
      <c r="G92" s="85">
        <f t="shared" si="9"/>
        <v>0</v>
      </c>
      <c r="H92" s="85">
        <f t="shared" si="9"/>
        <v>0</v>
      </c>
      <c r="I92" s="85">
        <f t="shared" si="9"/>
        <v>0</v>
      </c>
      <c r="J92" s="85">
        <f t="shared" si="9"/>
        <v>0</v>
      </c>
      <c r="K92" s="85">
        <f t="shared" si="9"/>
        <v>0</v>
      </c>
      <c r="L92" s="85">
        <f t="shared" si="9"/>
        <v>0</v>
      </c>
      <c r="M92" s="85">
        <f t="shared" si="9"/>
        <v>0</v>
      </c>
      <c r="N92" s="85">
        <f t="shared" si="9"/>
        <v>0</v>
      </c>
      <c r="O92" s="85">
        <f t="shared" si="9"/>
        <v>0</v>
      </c>
    </row>
    <row r="93" spans="2:15" x14ac:dyDescent="0.25">
      <c r="C93" s="10"/>
      <c r="D93" s="10"/>
      <c r="E93" s="10"/>
      <c r="F93" s="10"/>
      <c r="G93" s="10"/>
      <c r="H93" s="10"/>
      <c r="I93" s="10"/>
      <c r="J93" s="10"/>
      <c r="K93" s="10"/>
      <c r="L93" s="10"/>
      <c r="M93" s="10"/>
      <c r="N93" s="10"/>
      <c r="O93" s="10"/>
    </row>
    <row r="94" spans="2:15" ht="30" x14ac:dyDescent="0.25">
      <c r="B94" s="143" t="s">
        <v>170</v>
      </c>
      <c r="C94" s="148"/>
      <c r="D94" s="10"/>
      <c r="E94" s="10"/>
      <c r="F94" s="10"/>
      <c r="G94" s="10"/>
      <c r="H94" s="10"/>
      <c r="I94" s="10"/>
      <c r="J94" s="10"/>
      <c r="K94" s="10"/>
      <c r="L94" s="10"/>
      <c r="M94" s="10"/>
      <c r="N94" s="10"/>
      <c r="O94" s="10"/>
    </row>
    <row r="95" spans="2:15" x14ac:dyDescent="0.25">
      <c r="B95" s="146" t="s">
        <v>23</v>
      </c>
      <c r="C95" s="147" t="s">
        <v>16</v>
      </c>
      <c r="D95" s="10"/>
      <c r="E95" s="10"/>
      <c r="F95" s="10"/>
      <c r="G95" s="10"/>
      <c r="H95" s="10"/>
      <c r="I95" s="10"/>
      <c r="J95" s="10"/>
      <c r="K95" s="10"/>
      <c r="L95" s="10"/>
      <c r="M95" s="10"/>
      <c r="N95" s="10"/>
      <c r="O95" s="10"/>
    </row>
    <row r="96" spans="2:15" x14ac:dyDescent="0.25">
      <c r="B96" s="146" t="str" cm="1">
        <f t="array" ref="B96:B100">IF(_xlfn._xlws.SORT('Data Validation'!P3:P7,1,1,TRUE)=0,"",(_xlfn._xlws.SORT('Data Validation'!P3:P7,1,1,TRUE)))</f>
        <v>11-7</v>
      </c>
      <c r="C96" s="149">
        <f>$O87</f>
        <v>0</v>
      </c>
      <c r="D96" s="10"/>
      <c r="E96" s="10"/>
      <c r="F96" s="10"/>
      <c r="G96" s="10"/>
      <c r="H96" s="10"/>
      <c r="I96" s="10"/>
      <c r="J96" s="10"/>
      <c r="K96" s="10"/>
      <c r="L96" s="10"/>
      <c r="M96" s="10"/>
      <c r="N96" s="10"/>
      <c r="O96" s="10"/>
    </row>
    <row r="97" spans="2:15" x14ac:dyDescent="0.25">
      <c r="B97" s="146" t="str">
        <v>11–7</v>
      </c>
      <c r="C97" s="149">
        <f t="shared" ref="C97:C98" si="10">$O88</f>
        <v>0</v>
      </c>
      <c r="D97" s="10"/>
      <c r="E97" s="10"/>
      <c r="F97" s="10"/>
      <c r="G97" s="10"/>
      <c r="H97" s="10"/>
      <c r="I97" s="10"/>
      <c r="J97" s="10"/>
      <c r="K97" s="10"/>
      <c r="L97" s="10"/>
      <c r="M97" s="10"/>
      <c r="N97" s="10"/>
      <c r="O97" s="10"/>
    </row>
    <row r="98" spans="2:15" x14ac:dyDescent="0.25">
      <c r="B98" s="131" t="str">
        <v>7–3</v>
      </c>
      <c r="C98" s="149">
        <f t="shared" si="10"/>
        <v>0</v>
      </c>
      <c r="D98" s="10"/>
      <c r="E98" s="10"/>
      <c r="F98" s="10"/>
      <c r="G98" s="10"/>
      <c r="H98" s="10"/>
      <c r="I98" s="10"/>
      <c r="J98" s="10"/>
      <c r="K98" s="10"/>
      <c r="L98" s="10"/>
      <c r="M98" s="10"/>
      <c r="N98" s="10"/>
      <c r="O98" s="10"/>
    </row>
    <row r="99" spans="2:15" x14ac:dyDescent="0.25">
      <c r="B99" s="131" t="str">
        <v>3–11</v>
      </c>
      <c r="C99" s="149">
        <f>$O90</f>
        <v>0</v>
      </c>
      <c r="D99" s="10"/>
      <c r="E99" s="10"/>
      <c r="F99" s="10"/>
      <c r="G99" s="10"/>
      <c r="H99" s="10"/>
      <c r="I99" s="10"/>
      <c r="J99" s="10"/>
      <c r="K99" s="10"/>
      <c r="L99" s="10"/>
      <c r="M99" s="10"/>
      <c r="N99" s="10"/>
      <c r="O99" s="10"/>
    </row>
    <row r="100" spans="2:15" x14ac:dyDescent="0.25">
      <c r="B100" s="131" t="str">
        <v/>
      </c>
      <c r="C100" s="149" t="e">
        <f>$O91</f>
        <v>#N/A</v>
      </c>
    </row>
    <row r="101" spans="2:15" x14ac:dyDescent="0.25">
      <c r="B101" s="139" t="s">
        <v>16</v>
      </c>
      <c r="C101" s="85">
        <f>_xlfn.AGGREGATE(9,6,C96:C100)</f>
        <v>0</v>
      </c>
    </row>
    <row r="102" spans="2:15" ht="7.15" customHeight="1" x14ac:dyDescent="0.25"/>
    <row r="104" spans="2:15" ht="15" customHeight="1" x14ac:dyDescent="0.25">
      <c r="B104" s="75" t="str">
        <f>"Number of Falls by Hour "&amp;IF(Jan!$C$1=0,"",Jan!$C$1)</f>
        <v xml:space="preserve">Number of Falls by Hour </v>
      </c>
      <c r="C104" s="79"/>
      <c r="D104" s="79"/>
      <c r="E104" s="79"/>
      <c r="F104" s="79"/>
      <c r="G104" s="79"/>
      <c r="H104" s="79"/>
      <c r="I104" s="79"/>
      <c r="J104" s="79"/>
      <c r="K104" s="79"/>
      <c r="L104" s="79"/>
      <c r="M104" s="79"/>
      <c r="N104" s="79"/>
      <c r="O104" s="79"/>
    </row>
    <row r="105" spans="2:15" x14ac:dyDescent="0.25">
      <c r="B105" s="85" t="s">
        <v>23</v>
      </c>
      <c r="C105" s="82" t="s">
        <v>4</v>
      </c>
      <c r="D105" s="82" t="s">
        <v>5</v>
      </c>
      <c r="E105" s="82" t="s">
        <v>6</v>
      </c>
      <c r="F105" s="82" t="s">
        <v>7</v>
      </c>
      <c r="G105" s="82" t="s">
        <v>8</v>
      </c>
      <c r="H105" s="82" t="s">
        <v>9</v>
      </c>
      <c r="I105" s="82" t="s">
        <v>10</v>
      </c>
      <c r="J105" s="82" t="s">
        <v>11</v>
      </c>
      <c r="K105" s="82" t="s">
        <v>12</v>
      </c>
      <c r="L105" s="82" t="s">
        <v>13</v>
      </c>
      <c r="M105" s="82" t="s">
        <v>14</v>
      </c>
      <c r="N105" s="82" t="s">
        <v>15</v>
      </c>
      <c r="O105" s="82" t="s">
        <v>16</v>
      </c>
    </row>
    <row r="106" spans="2:15" x14ac:dyDescent="0.25">
      <c r="B106" s="73" t="s">
        <v>115</v>
      </c>
      <c r="C106" s="72">
        <f>COUNTIFS(Jan[Hour],'Loc Hr'!$B106)</f>
        <v>0</v>
      </c>
      <c r="D106" s="72">
        <f>COUNTIFS(Feb[Hour],'Loc Hr'!$B106)</f>
        <v>0</v>
      </c>
      <c r="E106" s="72">
        <f>COUNTIFS(Mar[Hour],'Loc Hr'!$B106)</f>
        <v>0</v>
      </c>
      <c r="F106" s="72">
        <f>COUNTIFS(Apr[Hour],'Loc Hr'!$B106)</f>
        <v>0</v>
      </c>
      <c r="G106" s="72">
        <f>COUNTIFS(May[Hour],'Loc Hr'!$B106)</f>
        <v>0</v>
      </c>
      <c r="H106" s="72">
        <f>COUNTIFS(June[Hour],'Loc Hr'!$B106)</f>
        <v>0</v>
      </c>
      <c r="I106" s="72">
        <f>COUNTIFS(July[Hour],'Loc Hr'!$B106)</f>
        <v>0</v>
      </c>
      <c r="J106" s="72">
        <f>COUNTIFS(Aug[Hour],'Loc Hr'!$B106)</f>
        <v>0</v>
      </c>
      <c r="K106" s="72">
        <f>COUNTIFS(Sept[Hour],'Loc Hr'!$B106)</f>
        <v>0</v>
      </c>
      <c r="L106" s="72">
        <f>COUNTIFS(Oct[Hour],'Loc Hr'!$B106)</f>
        <v>0</v>
      </c>
      <c r="M106" s="72">
        <f>COUNTIFS(Nov[Hour],'Loc Hr'!$B106)</f>
        <v>0</v>
      </c>
      <c r="N106" s="72">
        <f>COUNTIFS(Dec[Hour],'Loc Hr'!$B106)</f>
        <v>0</v>
      </c>
      <c r="O106" s="85">
        <f>_xlfn.AGGREGATE(9,6,C106:N106)</f>
        <v>0</v>
      </c>
    </row>
    <row r="107" spans="2:15" x14ac:dyDescent="0.25">
      <c r="B107" s="73" t="s">
        <v>116</v>
      </c>
      <c r="C107" s="72">
        <f>COUNTIFS(Jan[Hour],'Loc Hr'!$B107)</f>
        <v>0</v>
      </c>
      <c r="D107" s="72">
        <f>COUNTIFS(Feb[Hour],'Loc Hr'!$B107)</f>
        <v>0</v>
      </c>
      <c r="E107" s="72">
        <f>COUNTIFS(Mar[Hour],'Loc Hr'!$B107)</f>
        <v>0</v>
      </c>
      <c r="F107" s="72">
        <f>COUNTIFS(Apr[Hour],'Loc Hr'!$B107)</f>
        <v>0</v>
      </c>
      <c r="G107" s="72">
        <f>COUNTIFS(May[Hour],'Loc Hr'!$B107)</f>
        <v>0</v>
      </c>
      <c r="H107" s="72">
        <f>COUNTIFS(June[Hour],'Loc Hr'!$B107)</f>
        <v>0</v>
      </c>
      <c r="I107" s="72">
        <f>COUNTIFS(July[Hour],'Loc Hr'!$B107)</f>
        <v>0</v>
      </c>
      <c r="J107" s="72">
        <f>COUNTIFS(Aug[Hour],'Loc Hr'!$B107)</f>
        <v>0</v>
      </c>
      <c r="K107" s="72">
        <f>COUNTIFS(Sept[Hour],'Loc Hr'!$B107)</f>
        <v>0</v>
      </c>
      <c r="L107" s="72">
        <f>COUNTIFS(Oct[Hour],'Loc Hr'!$B107)</f>
        <v>0</v>
      </c>
      <c r="M107" s="72">
        <f>COUNTIFS(Nov[Hour],'Loc Hr'!$B107)</f>
        <v>0</v>
      </c>
      <c r="N107" s="72">
        <f>COUNTIFS(Dec[Hour],'Loc Hr'!$B107)</f>
        <v>0</v>
      </c>
      <c r="O107" s="85">
        <f t="shared" ref="O107:O129" si="11">_xlfn.AGGREGATE(9,6,C107:N107)</f>
        <v>0</v>
      </c>
    </row>
    <row r="108" spans="2:15" x14ac:dyDescent="0.25">
      <c r="B108" s="73" t="s">
        <v>117</v>
      </c>
      <c r="C108" s="72">
        <f>COUNTIFS(Jan[Hour],'Loc Hr'!$B108)</f>
        <v>0</v>
      </c>
      <c r="D108" s="72">
        <f>COUNTIFS(Feb[Hour],'Loc Hr'!$B108)</f>
        <v>0</v>
      </c>
      <c r="E108" s="72">
        <f>COUNTIFS(Mar[Hour],'Loc Hr'!$B108)</f>
        <v>0</v>
      </c>
      <c r="F108" s="72">
        <f>COUNTIFS(Apr[Hour],'Loc Hr'!$B108)</f>
        <v>0</v>
      </c>
      <c r="G108" s="72">
        <f>COUNTIFS(May[Hour],'Loc Hr'!$B108)</f>
        <v>0</v>
      </c>
      <c r="H108" s="72">
        <f>COUNTIFS(June[Hour],'Loc Hr'!$B108)</f>
        <v>0</v>
      </c>
      <c r="I108" s="72">
        <f>COUNTIFS(July[Hour],'Loc Hr'!$B108)</f>
        <v>0</v>
      </c>
      <c r="J108" s="72">
        <f>COUNTIFS(Aug[Hour],'Loc Hr'!$B108)</f>
        <v>0</v>
      </c>
      <c r="K108" s="72">
        <f>COUNTIFS(Sept[Hour],'Loc Hr'!$B108)</f>
        <v>0</v>
      </c>
      <c r="L108" s="72">
        <f>COUNTIFS(Oct[Hour],'Loc Hr'!$B108)</f>
        <v>0</v>
      </c>
      <c r="M108" s="72">
        <f>COUNTIFS(Nov[Hour],'Loc Hr'!$B108)</f>
        <v>0</v>
      </c>
      <c r="N108" s="72">
        <f>COUNTIFS(Dec[Hour],'Loc Hr'!$B108)</f>
        <v>0</v>
      </c>
      <c r="O108" s="85">
        <f t="shared" si="11"/>
        <v>0</v>
      </c>
    </row>
    <row r="109" spans="2:15" x14ac:dyDescent="0.25">
      <c r="B109" s="73" t="s">
        <v>118</v>
      </c>
      <c r="C109" s="72">
        <f>COUNTIFS(Jan[Hour],'Loc Hr'!$B109)</f>
        <v>0</v>
      </c>
      <c r="D109" s="72">
        <f>COUNTIFS(Feb[Hour],'Loc Hr'!$B109)</f>
        <v>0</v>
      </c>
      <c r="E109" s="72">
        <f>COUNTIFS(Mar[Hour],'Loc Hr'!$B109)</f>
        <v>0</v>
      </c>
      <c r="F109" s="72">
        <f>COUNTIFS(Apr[Hour],'Loc Hr'!$B109)</f>
        <v>0</v>
      </c>
      <c r="G109" s="72">
        <f>COUNTIFS(May[Hour],'Loc Hr'!$B109)</f>
        <v>0</v>
      </c>
      <c r="H109" s="72">
        <f>COUNTIFS(June[Hour],'Loc Hr'!$B109)</f>
        <v>0</v>
      </c>
      <c r="I109" s="72">
        <f>COUNTIFS(July[Hour],'Loc Hr'!$B109)</f>
        <v>0</v>
      </c>
      <c r="J109" s="72">
        <f>COUNTIFS(Aug[Hour],'Loc Hr'!$B109)</f>
        <v>0</v>
      </c>
      <c r="K109" s="72">
        <f>COUNTIFS(Sept[Hour],'Loc Hr'!$B109)</f>
        <v>0</v>
      </c>
      <c r="L109" s="72">
        <f>COUNTIFS(Oct[Hour],'Loc Hr'!$B109)</f>
        <v>0</v>
      </c>
      <c r="M109" s="72">
        <f>COUNTIFS(Nov[Hour],'Loc Hr'!$B109)</f>
        <v>0</v>
      </c>
      <c r="N109" s="72">
        <f>COUNTIFS(Dec[Hour],'Loc Hr'!$B109)</f>
        <v>0</v>
      </c>
      <c r="O109" s="85">
        <f t="shared" si="11"/>
        <v>0</v>
      </c>
    </row>
    <row r="110" spans="2:15" x14ac:dyDescent="0.25">
      <c r="B110" s="73" t="s">
        <v>119</v>
      </c>
      <c r="C110" s="72">
        <f>COUNTIFS(Jan[Hour],'Loc Hr'!$B110)</f>
        <v>0</v>
      </c>
      <c r="D110" s="72">
        <f>COUNTIFS(Feb[Hour],'Loc Hr'!$B110)</f>
        <v>0</v>
      </c>
      <c r="E110" s="72">
        <f>COUNTIFS(Mar[Hour],'Loc Hr'!$B110)</f>
        <v>0</v>
      </c>
      <c r="F110" s="72">
        <f>COUNTIFS(Apr[Hour],'Loc Hr'!$B110)</f>
        <v>0</v>
      </c>
      <c r="G110" s="72">
        <f>COUNTIFS(May[Hour],'Loc Hr'!$B110)</f>
        <v>0</v>
      </c>
      <c r="H110" s="72">
        <f>COUNTIFS(June[Hour],'Loc Hr'!$B110)</f>
        <v>0</v>
      </c>
      <c r="I110" s="72">
        <f>COUNTIFS(July[Hour],'Loc Hr'!$B110)</f>
        <v>0</v>
      </c>
      <c r="J110" s="72">
        <f>COUNTIFS(Aug[Hour],'Loc Hr'!$B110)</f>
        <v>0</v>
      </c>
      <c r="K110" s="72">
        <f>COUNTIFS(Sept[Hour],'Loc Hr'!$B110)</f>
        <v>0</v>
      </c>
      <c r="L110" s="72">
        <f>COUNTIFS(Oct[Hour],'Loc Hr'!$B110)</f>
        <v>0</v>
      </c>
      <c r="M110" s="72">
        <f>COUNTIFS(Nov[Hour],'Loc Hr'!$B110)</f>
        <v>0</v>
      </c>
      <c r="N110" s="72">
        <f>COUNTIFS(Dec[Hour],'Loc Hr'!$B110)</f>
        <v>0</v>
      </c>
      <c r="O110" s="85">
        <f t="shared" si="11"/>
        <v>0</v>
      </c>
    </row>
    <row r="111" spans="2:15" x14ac:dyDescent="0.25">
      <c r="B111" s="73" t="s">
        <v>120</v>
      </c>
      <c r="C111" s="72">
        <f>COUNTIFS(Jan[Hour],'Loc Hr'!$B111)</f>
        <v>0</v>
      </c>
      <c r="D111" s="72">
        <f>COUNTIFS(Feb[Hour],'Loc Hr'!$B111)</f>
        <v>0</v>
      </c>
      <c r="E111" s="72">
        <f>COUNTIFS(Mar[Hour],'Loc Hr'!$B111)</f>
        <v>0</v>
      </c>
      <c r="F111" s="72">
        <f>COUNTIFS(Apr[Hour],'Loc Hr'!$B111)</f>
        <v>0</v>
      </c>
      <c r="G111" s="72">
        <f>COUNTIFS(May[Hour],'Loc Hr'!$B111)</f>
        <v>0</v>
      </c>
      <c r="H111" s="72">
        <f>COUNTIFS(June[Hour],'Loc Hr'!$B111)</f>
        <v>0</v>
      </c>
      <c r="I111" s="72">
        <f>COUNTIFS(July[Hour],'Loc Hr'!$B111)</f>
        <v>0</v>
      </c>
      <c r="J111" s="72">
        <f>COUNTIFS(Aug[Hour],'Loc Hr'!$B111)</f>
        <v>0</v>
      </c>
      <c r="K111" s="72">
        <f>COUNTIFS(Sept[Hour],'Loc Hr'!$B111)</f>
        <v>0</v>
      </c>
      <c r="L111" s="72">
        <f>COUNTIFS(Oct[Hour],'Loc Hr'!$B111)</f>
        <v>0</v>
      </c>
      <c r="M111" s="72">
        <f>COUNTIFS(Nov[Hour],'Loc Hr'!$B111)</f>
        <v>0</v>
      </c>
      <c r="N111" s="72">
        <f>COUNTIFS(Dec[Hour],'Loc Hr'!$B111)</f>
        <v>0</v>
      </c>
      <c r="O111" s="85">
        <f t="shared" si="11"/>
        <v>0</v>
      </c>
    </row>
    <row r="112" spans="2:15" x14ac:dyDescent="0.25">
      <c r="B112" s="73" t="s">
        <v>121</v>
      </c>
      <c r="C112" s="72">
        <f>COUNTIFS(Jan[Hour],'Loc Hr'!$B112)</f>
        <v>0</v>
      </c>
      <c r="D112" s="72">
        <f>COUNTIFS(Feb[Hour],'Loc Hr'!$B112)</f>
        <v>0</v>
      </c>
      <c r="E112" s="72">
        <f>COUNTIFS(Mar[Hour],'Loc Hr'!$B112)</f>
        <v>0</v>
      </c>
      <c r="F112" s="72">
        <f>COUNTIFS(Apr[Hour],'Loc Hr'!$B112)</f>
        <v>0</v>
      </c>
      <c r="G112" s="72">
        <f>COUNTIFS(May[Hour],'Loc Hr'!$B112)</f>
        <v>0</v>
      </c>
      <c r="H112" s="72">
        <f>COUNTIFS(June[Hour],'Loc Hr'!$B112)</f>
        <v>0</v>
      </c>
      <c r="I112" s="72">
        <f>COUNTIFS(July[Hour],'Loc Hr'!$B112)</f>
        <v>0</v>
      </c>
      <c r="J112" s="72">
        <f>COUNTIFS(Aug[Hour],'Loc Hr'!$B112)</f>
        <v>0</v>
      </c>
      <c r="K112" s="72">
        <f>COUNTIFS(Sept[Hour],'Loc Hr'!$B112)</f>
        <v>0</v>
      </c>
      <c r="L112" s="72">
        <f>COUNTIFS(Oct[Hour],'Loc Hr'!$B112)</f>
        <v>0</v>
      </c>
      <c r="M112" s="72">
        <f>COUNTIFS(Nov[Hour],'Loc Hr'!$B112)</f>
        <v>0</v>
      </c>
      <c r="N112" s="72">
        <f>COUNTIFS(Dec[Hour],'Loc Hr'!$B112)</f>
        <v>0</v>
      </c>
      <c r="O112" s="85">
        <f t="shared" si="11"/>
        <v>0</v>
      </c>
    </row>
    <row r="113" spans="2:15" x14ac:dyDescent="0.25">
      <c r="B113" s="73" t="s">
        <v>122</v>
      </c>
      <c r="C113" s="72">
        <f>COUNTIFS(Jan[Hour],'Loc Hr'!$B113)</f>
        <v>0</v>
      </c>
      <c r="D113" s="72">
        <f>COUNTIFS(Feb[Hour],'Loc Hr'!$B113)</f>
        <v>0</v>
      </c>
      <c r="E113" s="72">
        <f>COUNTIFS(Mar[Hour],'Loc Hr'!$B113)</f>
        <v>0</v>
      </c>
      <c r="F113" s="72">
        <f>COUNTIFS(Apr[Hour],'Loc Hr'!$B113)</f>
        <v>0</v>
      </c>
      <c r="G113" s="72">
        <f>COUNTIFS(May[Hour],'Loc Hr'!$B113)</f>
        <v>0</v>
      </c>
      <c r="H113" s="72">
        <f>COUNTIFS(June[Hour],'Loc Hr'!$B113)</f>
        <v>0</v>
      </c>
      <c r="I113" s="72">
        <f>COUNTIFS(July[Hour],'Loc Hr'!$B113)</f>
        <v>0</v>
      </c>
      <c r="J113" s="72">
        <f>COUNTIFS(Aug[Hour],'Loc Hr'!$B113)</f>
        <v>0</v>
      </c>
      <c r="K113" s="72">
        <f>COUNTIFS(Sept[Hour],'Loc Hr'!$B113)</f>
        <v>0</v>
      </c>
      <c r="L113" s="72">
        <f>COUNTIFS(Oct[Hour],'Loc Hr'!$B113)</f>
        <v>0</v>
      </c>
      <c r="M113" s="72">
        <f>COUNTIFS(Nov[Hour],'Loc Hr'!$B113)</f>
        <v>0</v>
      </c>
      <c r="N113" s="72">
        <f>COUNTIFS(Dec[Hour],'Loc Hr'!$B113)</f>
        <v>0</v>
      </c>
      <c r="O113" s="85">
        <f t="shared" si="11"/>
        <v>0</v>
      </c>
    </row>
    <row r="114" spans="2:15" x14ac:dyDescent="0.25">
      <c r="B114" s="73" t="s">
        <v>123</v>
      </c>
      <c r="C114" s="72">
        <f>COUNTIFS(Jan[Hour],'Loc Hr'!$B114)</f>
        <v>0</v>
      </c>
      <c r="D114" s="72">
        <f>COUNTIFS(Feb[Hour],'Loc Hr'!$B114)</f>
        <v>0</v>
      </c>
      <c r="E114" s="72">
        <f>COUNTIFS(Mar[Hour],'Loc Hr'!$B114)</f>
        <v>0</v>
      </c>
      <c r="F114" s="72">
        <f>COUNTIFS(Apr[Hour],'Loc Hr'!$B114)</f>
        <v>0</v>
      </c>
      <c r="G114" s="72">
        <f>COUNTIFS(May[Hour],'Loc Hr'!$B114)</f>
        <v>0</v>
      </c>
      <c r="H114" s="72">
        <f>COUNTIFS(June[Hour],'Loc Hr'!$B114)</f>
        <v>0</v>
      </c>
      <c r="I114" s="72">
        <f>COUNTIFS(July[Hour],'Loc Hr'!$B114)</f>
        <v>0</v>
      </c>
      <c r="J114" s="72">
        <f>COUNTIFS(Aug[Hour],'Loc Hr'!$B114)</f>
        <v>0</v>
      </c>
      <c r="K114" s="72">
        <f>COUNTIFS(Sept[Hour],'Loc Hr'!$B114)</f>
        <v>0</v>
      </c>
      <c r="L114" s="72">
        <f>COUNTIFS(Oct[Hour],'Loc Hr'!$B114)</f>
        <v>0</v>
      </c>
      <c r="M114" s="72">
        <f>COUNTIFS(Nov[Hour],'Loc Hr'!$B114)</f>
        <v>0</v>
      </c>
      <c r="N114" s="72">
        <f>COUNTIFS(Dec[Hour],'Loc Hr'!$B114)</f>
        <v>0</v>
      </c>
      <c r="O114" s="85">
        <f t="shared" si="11"/>
        <v>0</v>
      </c>
    </row>
    <row r="115" spans="2:15" x14ac:dyDescent="0.25">
      <c r="B115" s="73" t="s">
        <v>124</v>
      </c>
      <c r="C115" s="72">
        <f>COUNTIFS(Jan[Hour],'Loc Hr'!$B115)</f>
        <v>0</v>
      </c>
      <c r="D115" s="72">
        <f>COUNTIFS(Feb[Hour],'Loc Hr'!$B115)</f>
        <v>0</v>
      </c>
      <c r="E115" s="72">
        <f>COUNTIFS(Mar[Hour],'Loc Hr'!$B115)</f>
        <v>0</v>
      </c>
      <c r="F115" s="72">
        <f>COUNTIFS(Apr[Hour],'Loc Hr'!$B115)</f>
        <v>0</v>
      </c>
      <c r="G115" s="72">
        <f>COUNTIFS(May[Hour],'Loc Hr'!$B115)</f>
        <v>0</v>
      </c>
      <c r="H115" s="72">
        <f>COUNTIFS(June[Hour],'Loc Hr'!$B115)</f>
        <v>0</v>
      </c>
      <c r="I115" s="72">
        <f>COUNTIFS(July[Hour],'Loc Hr'!$B115)</f>
        <v>0</v>
      </c>
      <c r="J115" s="72">
        <f>COUNTIFS(Aug[Hour],'Loc Hr'!$B115)</f>
        <v>0</v>
      </c>
      <c r="K115" s="72">
        <f>COUNTIFS(Sept[Hour],'Loc Hr'!$B115)</f>
        <v>0</v>
      </c>
      <c r="L115" s="72">
        <f>COUNTIFS(Oct[Hour],'Loc Hr'!$B115)</f>
        <v>0</v>
      </c>
      <c r="M115" s="72">
        <f>COUNTIFS(Nov[Hour],'Loc Hr'!$B115)</f>
        <v>0</v>
      </c>
      <c r="N115" s="72">
        <f>COUNTIFS(Dec[Hour],'Loc Hr'!$B115)</f>
        <v>0</v>
      </c>
      <c r="O115" s="85">
        <f t="shared" si="11"/>
        <v>0</v>
      </c>
    </row>
    <row r="116" spans="2:15" x14ac:dyDescent="0.25">
      <c r="B116" s="73" t="s">
        <v>125</v>
      </c>
      <c r="C116" s="72">
        <f>COUNTIFS(Jan[Hour],'Loc Hr'!$B116)</f>
        <v>0</v>
      </c>
      <c r="D116" s="72">
        <f>COUNTIFS(Feb[Hour],'Loc Hr'!$B116)</f>
        <v>0</v>
      </c>
      <c r="E116" s="72">
        <f>COUNTIFS(Mar[Hour],'Loc Hr'!$B116)</f>
        <v>0</v>
      </c>
      <c r="F116" s="72">
        <f>COUNTIFS(Apr[Hour],'Loc Hr'!$B116)</f>
        <v>0</v>
      </c>
      <c r="G116" s="72">
        <f>COUNTIFS(May[Hour],'Loc Hr'!$B116)</f>
        <v>0</v>
      </c>
      <c r="H116" s="72">
        <f>COUNTIFS(June[Hour],'Loc Hr'!$B116)</f>
        <v>0</v>
      </c>
      <c r="I116" s="72">
        <f>COUNTIFS(July[Hour],'Loc Hr'!$B116)</f>
        <v>0</v>
      </c>
      <c r="J116" s="72">
        <f>COUNTIFS(Aug[Hour],'Loc Hr'!$B116)</f>
        <v>0</v>
      </c>
      <c r="K116" s="72">
        <f>COUNTIFS(Sept[Hour],'Loc Hr'!$B116)</f>
        <v>0</v>
      </c>
      <c r="L116" s="72">
        <f>COUNTIFS(Oct[Hour],'Loc Hr'!$B116)</f>
        <v>0</v>
      </c>
      <c r="M116" s="72">
        <f>COUNTIFS(Nov[Hour],'Loc Hr'!$B116)</f>
        <v>0</v>
      </c>
      <c r="N116" s="72">
        <f>COUNTIFS(Dec[Hour],'Loc Hr'!$B116)</f>
        <v>0</v>
      </c>
      <c r="O116" s="85">
        <f t="shared" si="11"/>
        <v>0</v>
      </c>
    </row>
    <row r="117" spans="2:15" x14ac:dyDescent="0.25">
      <c r="B117" s="73" t="s">
        <v>126</v>
      </c>
      <c r="C117" s="72">
        <f>COUNTIFS(Jan[Hour],'Loc Hr'!$B117)</f>
        <v>0</v>
      </c>
      <c r="D117" s="72">
        <f>COUNTIFS(Feb[Hour],'Loc Hr'!$B117)</f>
        <v>0</v>
      </c>
      <c r="E117" s="72">
        <f>COUNTIFS(Mar[Hour],'Loc Hr'!$B117)</f>
        <v>0</v>
      </c>
      <c r="F117" s="72">
        <f>COUNTIFS(Apr[Hour],'Loc Hr'!$B117)</f>
        <v>0</v>
      </c>
      <c r="G117" s="72">
        <f>COUNTIFS(May[Hour],'Loc Hr'!$B117)</f>
        <v>0</v>
      </c>
      <c r="H117" s="72">
        <f>COUNTIFS(June[Hour],'Loc Hr'!$B117)</f>
        <v>0</v>
      </c>
      <c r="I117" s="72">
        <f>COUNTIFS(July[Hour],'Loc Hr'!$B117)</f>
        <v>0</v>
      </c>
      <c r="J117" s="72">
        <f>COUNTIFS(Aug[Hour],'Loc Hr'!$B117)</f>
        <v>0</v>
      </c>
      <c r="K117" s="72">
        <f>COUNTIFS(Sept[Hour],'Loc Hr'!$B117)</f>
        <v>0</v>
      </c>
      <c r="L117" s="72">
        <f>COUNTIFS(Oct[Hour],'Loc Hr'!$B117)</f>
        <v>0</v>
      </c>
      <c r="M117" s="72">
        <f>COUNTIFS(Nov[Hour],'Loc Hr'!$B117)</f>
        <v>0</v>
      </c>
      <c r="N117" s="72">
        <f>COUNTIFS(Dec[Hour],'Loc Hr'!$B117)</f>
        <v>0</v>
      </c>
      <c r="O117" s="85">
        <f t="shared" si="11"/>
        <v>0</v>
      </c>
    </row>
    <row r="118" spans="2:15" x14ac:dyDescent="0.25">
      <c r="B118" s="150" t="s">
        <v>127</v>
      </c>
      <c r="C118" s="72">
        <f>COUNTIFS(Jan[Hour],'Loc Hr'!$B118)</f>
        <v>0</v>
      </c>
      <c r="D118" s="72">
        <f>COUNTIFS(Feb[Hour],'Loc Hr'!$B118)</f>
        <v>0</v>
      </c>
      <c r="E118" s="72">
        <f>COUNTIFS(Mar[Hour],'Loc Hr'!$B118)</f>
        <v>0</v>
      </c>
      <c r="F118" s="72">
        <f>COUNTIFS(Apr[Hour],'Loc Hr'!$B118)</f>
        <v>0</v>
      </c>
      <c r="G118" s="72">
        <f>COUNTIFS(May[Hour],'Loc Hr'!$B118)</f>
        <v>0</v>
      </c>
      <c r="H118" s="72">
        <f>COUNTIFS(June[Hour],'Loc Hr'!$B118)</f>
        <v>0</v>
      </c>
      <c r="I118" s="72">
        <f>COUNTIFS(July[Hour],'Loc Hr'!$B118)</f>
        <v>0</v>
      </c>
      <c r="J118" s="72">
        <f>COUNTIFS(Aug[Hour],'Loc Hr'!$B118)</f>
        <v>0</v>
      </c>
      <c r="K118" s="72">
        <f>COUNTIFS(Sept[Hour],'Loc Hr'!$B118)</f>
        <v>0</v>
      </c>
      <c r="L118" s="72">
        <f>COUNTIFS(Oct[Hour],'Loc Hr'!$B118)</f>
        <v>0</v>
      </c>
      <c r="M118" s="72">
        <f>COUNTIFS(Nov[Hour],'Loc Hr'!$B118)</f>
        <v>0</v>
      </c>
      <c r="N118" s="72">
        <f>COUNTIFS(Dec[Hour],'Loc Hr'!$B118)</f>
        <v>0</v>
      </c>
      <c r="O118" s="85">
        <f t="shared" si="11"/>
        <v>0</v>
      </c>
    </row>
    <row r="119" spans="2:15" x14ac:dyDescent="0.25">
      <c r="B119" s="150" t="s">
        <v>128</v>
      </c>
      <c r="C119" s="72">
        <f>COUNTIFS(Jan[Hour],'Loc Hr'!$B119)</f>
        <v>0</v>
      </c>
      <c r="D119" s="72">
        <f>COUNTIFS(Feb[Hour],'Loc Hr'!$B119)</f>
        <v>0</v>
      </c>
      <c r="E119" s="72">
        <f>COUNTIFS(Mar[Hour],'Loc Hr'!$B119)</f>
        <v>0</v>
      </c>
      <c r="F119" s="72">
        <f>COUNTIFS(Apr[Hour],'Loc Hr'!$B119)</f>
        <v>0</v>
      </c>
      <c r="G119" s="72">
        <f>COUNTIFS(May[Hour],'Loc Hr'!$B119)</f>
        <v>0</v>
      </c>
      <c r="H119" s="72">
        <f>COUNTIFS(June[Hour],'Loc Hr'!$B119)</f>
        <v>0</v>
      </c>
      <c r="I119" s="72">
        <f>COUNTIFS(July[Hour],'Loc Hr'!$B119)</f>
        <v>0</v>
      </c>
      <c r="J119" s="72">
        <f>COUNTIFS(Aug[Hour],'Loc Hr'!$B119)</f>
        <v>0</v>
      </c>
      <c r="K119" s="72">
        <f>COUNTIFS(Sept[Hour],'Loc Hr'!$B119)</f>
        <v>0</v>
      </c>
      <c r="L119" s="72">
        <f>COUNTIFS(Oct[Hour],'Loc Hr'!$B119)</f>
        <v>0</v>
      </c>
      <c r="M119" s="72">
        <f>COUNTIFS(Nov[Hour],'Loc Hr'!$B119)</f>
        <v>0</v>
      </c>
      <c r="N119" s="72">
        <f>COUNTIFS(Dec[Hour],'Loc Hr'!$B119)</f>
        <v>0</v>
      </c>
      <c r="O119" s="85">
        <f t="shared" si="11"/>
        <v>0</v>
      </c>
    </row>
    <row r="120" spans="2:15" x14ac:dyDescent="0.25">
      <c r="B120" s="73" t="s">
        <v>129</v>
      </c>
      <c r="C120" s="72">
        <f>COUNTIFS(Jan[Hour],'Loc Hr'!$B120)</f>
        <v>0</v>
      </c>
      <c r="D120" s="72">
        <f>COUNTIFS(Feb[Hour],'Loc Hr'!$B120)</f>
        <v>0</v>
      </c>
      <c r="E120" s="72">
        <f>COUNTIFS(Mar[Hour],'Loc Hr'!$B120)</f>
        <v>0</v>
      </c>
      <c r="F120" s="72">
        <f>COUNTIFS(Apr[Hour],'Loc Hr'!$B120)</f>
        <v>0</v>
      </c>
      <c r="G120" s="72">
        <f>COUNTIFS(May[Hour],'Loc Hr'!$B120)</f>
        <v>0</v>
      </c>
      <c r="H120" s="72">
        <f>COUNTIFS(June[Hour],'Loc Hr'!$B120)</f>
        <v>0</v>
      </c>
      <c r="I120" s="72">
        <f>COUNTIFS(July[Hour],'Loc Hr'!$B120)</f>
        <v>0</v>
      </c>
      <c r="J120" s="72">
        <f>COUNTIFS(Aug[Hour],'Loc Hr'!$B120)</f>
        <v>0</v>
      </c>
      <c r="K120" s="72">
        <f>COUNTIFS(Sept[Hour],'Loc Hr'!$B120)</f>
        <v>0</v>
      </c>
      <c r="L120" s="72">
        <f>COUNTIFS(Oct[Hour],'Loc Hr'!$B120)</f>
        <v>0</v>
      </c>
      <c r="M120" s="72">
        <f>COUNTIFS(Nov[Hour],'Loc Hr'!$B120)</f>
        <v>0</v>
      </c>
      <c r="N120" s="72">
        <f>COUNTIFS(Dec[Hour],'Loc Hr'!$B120)</f>
        <v>0</v>
      </c>
      <c r="O120" s="85">
        <f t="shared" si="11"/>
        <v>0</v>
      </c>
    </row>
    <row r="121" spans="2:15" x14ac:dyDescent="0.25">
      <c r="B121" s="73" t="s">
        <v>130</v>
      </c>
      <c r="C121" s="72">
        <f>COUNTIFS(Jan[Hour],'Loc Hr'!$B121)</f>
        <v>0</v>
      </c>
      <c r="D121" s="72">
        <f>COUNTIFS(Feb[Hour],'Loc Hr'!$B121)</f>
        <v>0</v>
      </c>
      <c r="E121" s="72">
        <f>COUNTIFS(Mar[Hour],'Loc Hr'!$B121)</f>
        <v>0</v>
      </c>
      <c r="F121" s="72">
        <f>COUNTIFS(Apr[Hour],'Loc Hr'!$B121)</f>
        <v>0</v>
      </c>
      <c r="G121" s="72">
        <f>COUNTIFS(May[Hour],'Loc Hr'!$B121)</f>
        <v>0</v>
      </c>
      <c r="H121" s="72">
        <f>COUNTIFS(June[Hour],'Loc Hr'!$B121)</f>
        <v>0</v>
      </c>
      <c r="I121" s="72">
        <f>COUNTIFS(July[Hour],'Loc Hr'!$B121)</f>
        <v>0</v>
      </c>
      <c r="J121" s="72">
        <f>COUNTIFS(Aug[Hour],'Loc Hr'!$B121)</f>
        <v>0</v>
      </c>
      <c r="K121" s="72">
        <f>COUNTIFS(Sept[Hour],'Loc Hr'!$B121)</f>
        <v>0</v>
      </c>
      <c r="L121" s="72">
        <f>COUNTIFS(Oct[Hour],'Loc Hr'!$B121)</f>
        <v>0</v>
      </c>
      <c r="M121" s="72">
        <f>COUNTIFS(Nov[Hour],'Loc Hr'!$B121)</f>
        <v>0</v>
      </c>
      <c r="N121" s="72">
        <f>COUNTIFS(Dec[Hour],'Loc Hr'!$B121)</f>
        <v>0</v>
      </c>
      <c r="O121" s="85">
        <f t="shared" si="11"/>
        <v>0</v>
      </c>
    </row>
    <row r="122" spans="2:15" x14ac:dyDescent="0.25">
      <c r="B122" s="73" t="s">
        <v>131</v>
      </c>
      <c r="C122" s="72">
        <f>COUNTIFS(Jan[Hour],'Loc Hr'!$B122)</f>
        <v>0</v>
      </c>
      <c r="D122" s="72">
        <f>COUNTIFS(Feb[Hour],'Loc Hr'!$B122)</f>
        <v>0</v>
      </c>
      <c r="E122" s="72">
        <f>COUNTIFS(Mar[Hour],'Loc Hr'!$B122)</f>
        <v>0</v>
      </c>
      <c r="F122" s="72">
        <f>COUNTIFS(Apr[Hour],'Loc Hr'!$B122)</f>
        <v>0</v>
      </c>
      <c r="G122" s="72">
        <f>COUNTIFS(May[Hour],'Loc Hr'!$B122)</f>
        <v>0</v>
      </c>
      <c r="H122" s="72">
        <f>COUNTIFS(June[Hour],'Loc Hr'!$B122)</f>
        <v>0</v>
      </c>
      <c r="I122" s="72">
        <f>COUNTIFS(July[Hour],'Loc Hr'!$B122)</f>
        <v>0</v>
      </c>
      <c r="J122" s="72">
        <f>COUNTIFS(Aug[Hour],'Loc Hr'!$B122)</f>
        <v>0</v>
      </c>
      <c r="K122" s="72">
        <f>COUNTIFS(Sept[Hour],'Loc Hr'!$B122)</f>
        <v>0</v>
      </c>
      <c r="L122" s="72">
        <f>COUNTIFS(Oct[Hour],'Loc Hr'!$B122)</f>
        <v>0</v>
      </c>
      <c r="M122" s="72">
        <f>COUNTIFS(Nov[Hour],'Loc Hr'!$B122)</f>
        <v>0</v>
      </c>
      <c r="N122" s="72">
        <f>COUNTIFS(Dec[Hour],'Loc Hr'!$B122)</f>
        <v>0</v>
      </c>
      <c r="O122" s="85">
        <f t="shared" si="11"/>
        <v>0</v>
      </c>
    </row>
    <row r="123" spans="2:15" x14ac:dyDescent="0.25">
      <c r="B123" s="73" t="s">
        <v>132</v>
      </c>
      <c r="C123" s="72">
        <f>COUNTIFS(Jan[Hour],'Loc Hr'!$B123)</f>
        <v>0</v>
      </c>
      <c r="D123" s="72">
        <f>COUNTIFS(Feb[Hour],'Loc Hr'!$B123)</f>
        <v>0</v>
      </c>
      <c r="E123" s="72">
        <f>COUNTIFS(Mar[Hour],'Loc Hr'!$B123)</f>
        <v>0</v>
      </c>
      <c r="F123" s="72">
        <f>COUNTIFS(Apr[Hour],'Loc Hr'!$B123)</f>
        <v>0</v>
      </c>
      <c r="G123" s="72">
        <f>COUNTIFS(May[Hour],'Loc Hr'!$B123)</f>
        <v>0</v>
      </c>
      <c r="H123" s="72">
        <f>COUNTIFS(June[Hour],'Loc Hr'!$B123)</f>
        <v>0</v>
      </c>
      <c r="I123" s="72">
        <f>COUNTIFS(July[Hour],'Loc Hr'!$B123)</f>
        <v>0</v>
      </c>
      <c r="J123" s="72">
        <f>COUNTIFS(Aug[Hour],'Loc Hr'!$B123)</f>
        <v>0</v>
      </c>
      <c r="K123" s="72">
        <f>COUNTIFS(Sept[Hour],'Loc Hr'!$B123)</f>
        <v>0</v>
      </c>
      <c r="L123" s="72">
        <f>COUNTIFS(Oct[Hour],'Loc Hr'!$B123)</f>
        <v>0</v>
      </c>
      <c r="M123" s="72">
        <f>COUNTIFS(Nov[Hour],'Loc Hr'!$B123)</f>
        <v>0</v>
      </c>
      <c r="N123" s="72">
        <f>COUNTIFS(Dec[Hour],'Loc Hr'!$B123)</f>
        <v>0</v>
      </c>
      <c r="O123" s="85">
        <f t="shared" si="11"/>
        <v>0</v>
      </c>
    </row>
    <row r="124" spans="2:15" x14ac:dyDescent="0.25">
      <c r="B124" s="73" t="s">
        <v>133</v>
      </c>
      <c r="C124" s="72">
        <f>COUNTIFS(Jan[Hour],'Loc Hr'!$B124)</f>
        <v>0</v>
      </c>
      <c r="D124" s="72">
        <f>COUNTIFS(Feb[Hour],'Loc Hr'!$B124)</f>
        <v>0</v>
      </c>
      <c r="E124" s="72">
        <f>COUNTIFS(Mar[Hour],'Loc Hr'!$B124)</f>
        <v>0</v>
      </c>
      <c r="F124" s="72">
        <f>COUNTIFS(Apr[Hour],'Loc Hr'!$B124)</f>
        <v>0</v>
      </c>
      <c r="G124" s="72">
        <f>COUNTIFS(May[Hour],'Loc Hr'!$B124)</f>
        <v>0</v>
      </c>
      <c r="H124" s="72">
        <f>COUNTIFS(June[Hour],'Loc Hr'!$B124)</f>
        <v>0</v>
      </c>
      <c r="I124" s="72">
        <f>COUNTIFS(July[Hour],'Loc Hr'!$B124)</f>
        <v>0</v>
      </c>
      <c r="J124" s="72">
        <f>COUNTIFS(Aug[Hour],'Loc Hr'!$B124)</f>
        <v>0</v>
      </c>
      <c r="K124" s="72">
        <f>COUNTIFS(Sept[Hour],'Loc Hr'!$B124)</f>
        <v>0</v>
      </c>
      <c r="L124" s="72">
        <f>COUNTIFS(Oct[Hour],'Loc Hr'!$B124)</f>
        <v>0</v>
      </c>
      <c r="M124" s="72">
        <f>COUNTIFS(Nov[Hour],'Loc Hr'!$B124)</f>
        <v>0</v>
      </c>
      <c r="N124" s="72">
        <f>COUNTIFS(Dec[Hour],'Loc Hr'!$B124)</f>
        <v>0</v>
      </c>
      <c r="O124" s="85">
        <f t="shared" si="11"/>
        <v>0</v>
      </c>
    </row>
    <row r="125" spans="2:15" x14ac:dyDescent="0.25">
      <c r="B125" s="73" t="s">
        <v>134</v>
      </c>
      <c r="C125" s="72">
        <f>COUNTIFS(Jan[Hour],'Loc Hr'!$B125)</f>
        <v>0</v>
      </c>
      <c r="D125" s="72">
        <f>COUNTIFS(Feb[Hour],'Loc Hr'!$B125)</f>
        <v>0</v>
      </c>
      <c r="E125" s="72">
        <f>COUNTIFS(Mar[Hour],'Loc Hr'!$B125)</f>
        <v>0</v>
      </c>
      <c r="F125" s="72">
        <f>COUNTIFS(Apr[Hour],'Loc Hr'!$B125)</f>
        <v>0</v>
      </c>
      <c r="G125" s="72">
        <f>COUNTIFS(May[Hour],'Loc Hr'!$B125)</f>
        <v>0</v>
      </c>
      <c r="H125" s="72">
        <f>COUNTIFS(June[Hour],'Loc Hr'!$B125)</f>
        <v>0</v>
      </c>
      <c r="I125" s="72">
        <f>COUNTIFS(July[Hour],'Loc Hr'!$B125)</f>
        <v>0</v>
      </c>
      <c r="J125" s="72">
        <f>COUNTIFS(Aug[Hour],'Loc Hr'!$B125)</f>
        <v>0</v>
      </c>
      <c r="K125" s="72">
        <f>COUNTIFS(Sept[Hour],'Loc Hr'!$B125)</f>
        <v>0</v>
      </c>
      <c r="L125" s="72">
        <f>COUNTIFS(Oct[Hour],'Loc Hr'!$B125)</f>
        <v>0</v>
      </c>
      <c r="M125" s="72">
        <f>COUNTIFS(Nov[Hour],'Loc Hr'!$B125)</f>
        <v>0</v>
      </c>
      <c r="N125" s="72">
        <f>COUNTIFS(Dec[Hour],'Loc Hr'!$B125)</f>
        <v>0</v>
      </c>
      <c r="O125" s="85">
        <f t="shared" si="11"/>
        <v>0</v>
      </c>
    </row>
    <row r="126" spans="2:15" x14ac:dyDescent="0.25">
      <c r="B126" s="73" t="s">
        <v>135</v>
      </c>
      <c r="C126" s="72">
        <f>COUNTIFS(Jan[Hour],'Loc Hr'!$B126)</f>
        <v>0</v>
      </c>
      <c r="D126" s="72">
        <f>COUNTIFS(Feb[Hour],'Loc Hr'!$B126)</f>
        <v>0</v>
      </c>
      <c r="E126" s="72">
        <f>COUNTIFS(Mar[Hour],'Loc Hr'!$B126)</f>
        <v>0</v>
      </c>
      <c r="F126" s="72">
        <f>COUNTIFS(Apr[Hour],'Loc Hr'!$B126)</f>
        <v>0</v>
      </c>
      <c r="G126" s="72">
        <f>COUNTIFS(May[Hour],'Loc Hr'!$B126)</f>
        <v>0</v>
      </c>
      <c r="H126" s="72">
        <f>COUNTIFS(June[Hour],'Loc Hr'!$B126)</f>
        <v>0</v>
      </c>
      <c r="I126" s="72">
        <f>COUNTIFS(July[Hour],'Loc Hr'!$B126)</f>
        <v>0</v>
      </c>
      <c r="J126" s="72">
        <f>COUNTIFS(Aug[Hour],'Loc Hr'!$B126)</f>
        <v>0</v>
      </c>
      <c r="K126" s="72">
        <f>COUNTIFS(Sept[Hour],'Loc Hr'!$B126)</f>
        <v>0</v>
      </c>
      <c r="L126" s="72">
        <f>COUNTIFS(Oct[Hour],'Loc Hr'!$B126)</f>
        <v>0</v>
      </c>
      <c r="M126" s="72">
        <f>COUNTIFS(Nov[Hour],'Loc Hr'!$B126)</f>
        <v>0</v>
      </c>
      <c r="N126" s="72">
        <f>COUNTIFS(Dec[Hour],'Loc Hr'!$B126)</f>
        <v>0</v>
      </c>
      <c r="O126" s="85">
        <f t="shared" si="11"/>
        <v>0</v>
      </c>
    </row>
    <row r="127" spans="2:15" x14ac:dyDescent="0.25">
      <c r="B127" s="73" t="s">
        <v>136</v>
      </c>
      <c r="C127" s="72">
        <f>COUNTIFS(Jan[Hour],'Loc Hr'!$B127)</f>
        <v>0</v>
      </c>
      <c r="D127" s="72">
        <f>COUNTIFS(Feb[Hour],'Loc Hr'!$B127)</f>
        <v>0</v>
      </c>
      <c r="E127" s="72">
        <f>COUNTIFS(Mar[Hour],'Loc Hr'!$B127)</f>
        <v>0</v>
      </c>
      <c r="F127" s="72">
        <f>COUNTIFS(Apr[Hour],'Loc Hr'!$B127)</f>
        <v>0</v>
      </c>
      <c r="G127" s="72">
        <f>COUNTIFS(May[Hour],'Loc Hr'!$B127)</f>
        <v>0</v>
      </c>
      <c r="H127" s="72">
        <f>COUNTIFS(June[Hour],'Loc Hr'!$B127)</f>
        <v>0</v>
      </c>
      <c r="I127" s="72">
        <f>COUNTIFS(July[Hour],'Loc Hr'!$B127)</f>
        <v>0</v>
      </c>
      <c r="J127" s="72">
        <f>COUNTIFS(Aug[Hour],'Loc Hr'!$B127)</f>
        <v>0</v>
      </c>
      <c r="K127" s="72">
        <f>COUNTIFS(Sept[Hour],'Loc Hr'!$B127)</f>
        <v>0</v>
      </c>
      <c r="L127" s="72">
        <f>COUNTIFS(Oct[Hour],'Loc Hr'!$B127)</f>
        <v>0</v>
      </c>
      <c r="M127" s="72">
        <f>COUNTIFS(Nov[Hour],'Loc Hr'!$B127)</f>
        <v>0</v>
      </c>
      <c r="N127" s="72">
        <f>COUNTIFS(Dec[Hour],'Loc Hr'!$B127)</f>
        <v>0</v>
      </c>
      <c r="O127" s="85">
        <f t="shared" si="11"/>
        <v>0</v>
      </c>
    </row>
    <row r="128" spans="2:15" x14ac:dyDescent="0.25">
      <c r="B128" s="73" t="s">
        <v>137</v>
      </c>
      <c r="C128" s="72">
        <f>COUNTIFS(Jan[Hour],'Loc Hr'!$B128)</f>
        <v>0</v>
      </c>
      <c r="D128" s="72">
        <f>COUNTIFS(Feb[Hour],'Loc Hr'!$B128)</f>
        <v>0</v>
      </c>
      <c r="E128" s="72">
        <f>COUNTIFS(Mar[Hour],'Loc Hr'!$B128)</f>
        <v>0</v>
      </c>
      <c r="F128" s="72">
        <f>COUNTIFS(Apr[Hour],'Loc Hr'!$B128)</f>
        <v>0</v>
      </c>
      <c r="G128" s="72">
        <f>COUNTIFS(May[Hour],'Loc Hr'!$B128)</f>
        <v>0</v>
      </c>
      <c r="H128" s="72">
        <f>COUNTIFS(June[Hour],'Loc Hr'!$B128)</f>
        <v>0</v>
      </c>
      <c r="I128" s="72">
        <f>COUNTIFS(July[Hour],'Loc Hr'!$B128)</f>
        <v>0</v>
      </c>
      <c r="J128" s="72">
        <f>COUNTIFS(Aug[Hour],'Loc Hr'!$B128)</f>
        <v>0</v>
      </c>
      <c r="K128" s="72">
        <f>COUNTIFS(Sept[Hour],'Loc Hr'!$B128)</f>
        <v>0</v>
      </c>
      <c r="L128" s="72">
        <f>COUNTIFS(Oct[Hour],'Loc Hr'!$B128)</f>
        <v>0</v>
      </c>
      <c r="M128" s="72">
        <f>COUNTIFS(Nov[Hour],'Loc Hr'!$B128)</f>
        <v>0</v>
      </c>
      <c r="N128" s="72">
        <f>COUNTIFS(Dec[Hour],'Loc Hr'!$B128)</f>
        <v>0</v>
      </c>
      <c r="O128" s="85">
        <f t="shared" si="11"/>
        <v>0</v>
      </c>
    </row>
    <row r="129" spans="2:15" x14ac:dyDescent="0.25">
      <c r="B129" s="73" t="s">
        <v>138</v>
      </c>
      <c r="C129" s="72">
        <f>COUNTIFS(Jan[Hour],'Loc Hr'!$B129)</f>
        <v>0</v>
      </c>
      <c r="D129" s="72">
        <f>COUNTIFS(Feb[Hour],'Loc Hr'!$B129)</f>
        <v>0</v>
      </c>
      <c r="E129" s="72">
        <f>COUNTIFS(Mar[Hour],'Loc Hr'!$B129)</f>
        <v>0</v>
      </c>
      <c r="F129" s="72">
        <f>COUNTIFS(Apr[Hour],'Loc Hr'!$B129)</f>
        <v>0</v>
      </c>
      <c r="G129" s="72">
        <f>COUNTIFS(May[Hour],'Loc Hr'!$B129)</f>
        <v>0</v>
      </c>
      <c r="H129" s="72">
        <f>COUNTIFS(June[Hour],'Loc Hr'!$B129)</f>
        <v>0</v>
      </c>
      <c r="I129" s="72">
        <f>COUNTIFS(July[Hour],'Loc Hr'!$B129)</f>
        <v>0</v>
      </c>
      <c r="J129" s="72">
        <f>COUNTIFS(Aug[Hour],'Loc Hr'!$B129)</f>
        <v>0</v>
      </c>
      <c r="K129" s="72">
        <f>COUNTIFS(Sept[Hour],'Loc Hr'!$B129)</f>
        <v>0</v>
      </c>
      <c r="L129" s="72">
        <f>COUNTIFS(Oct[Hour],'Loc Hr'!$B129)</f>
        <v>0</v>
      </c>
      <c r="M129" s="72">
        <f>COUNTIFS(Nov[Hour],'Loc Hr'!$B129)</f>
        <v>0</v>
      </c>
      <c r="N129" s="72">
        <f>COUNTIFS(Dec[Hour],'Loc Hr'!$B129)</f>
        <v>0</v>
      </c>
      <c r="O129" s="85">
        <f t="shared" si="11"/>
        <v>0</v>
      </c>
    </row>
    <row r="130" spans="2:15" x14ac:dyDescent="0.25">
      <c r="B130" s="73" t="s">
        <v>16</v>
      </c>
      <c r="C130" s="85">
        <f>_xlfn.AGGREGATE(9,6,C106:C129)</f>
        <v>0</v>
      </c>
      <c r="D130" s="85">
        <f t="shared" ref="D130:N130" si="12">_xlfn.AGGREGATE(9,6,D106:D129)</f>
        <v>0</v>
      </c>
      <c r="E130" s="85">
        <f t="shared" si="12"/>
        <v>0</v>
      </c>
      <c r="F130" s="85">
        <f t="shared" si="12"/>
        <v>0</v>
      </c>
      <c r="G130" s="85">
        <f t="shared" si="12"/>
        <v>0</v>
      </c>
      <c r="H130" s="85">
        <f t="shared" si="12"/>
        <v>0</v>
      </c>
      <c r="I130" s="85">
        <f t="shared" si="12"/>
        <v>0</v>
      </c>
      <c r="J130" s="85">
        <f t="shared" si="12"/>
        <v>0</v>
      </c>
      <c r="K130" s="85">
        <f t="shared" si="12"/>
        <v>0</v>
      </c>
      <c r="L130" s="85">
        <f t="shared" si="12"/>
        <v>0</v>
      </c>
      <c r="M130" s="85">
        <f t="shared" si="12"/>
        <v>0</v>
      </c>
      <c r="N130" s="85">
        <f t="shared" si="12"/>
        <v>0</v>
      </c>
      <c r="O130" s="85">
        <f>SUM(O106:O129)</f>
        <v>0</v>
      </c>
    </row>
    <row r="132" spans="2:15" x14ac:dyDescent="0.25">
      <c r="B132" s="151" t="s">
        <v>171</v>
      </c>
      <c r="C132" s="152"/>
    </row>
    <row r="133" spans="2:15" x14ac:dyDescent="0.25">
      <c r="B133" s="85" t="s">
        <v>23</v>
      </c>
      <c r="C133" s="82" t="s">
        <v>16</v>
      </c>
    </row>
    <row r="134" spans="2:15" x14ac:dyDescent="0.25">
      <c r="B134" s="73" t="s">
        <v>115</v>
      </c>
      <c r="C134" s="135">
        <f>$O$106</f>
        <v>0</v>
      </c>
    </row>
    <row r="135" spans="2:15" x14ac:dyDescent="0.25">
      <c r="B135" s="73" t="s">
        <v>116</v>
      </c>
      <c r="C135" s="135">
        <f>O107</f>
        <v>0</v>
      </c>
    </row>
    <row r="136" spans="2:15" x14ac:dyDescent="0.25">
      <c r="B136" s="73" t="s">
        <v>117</v>
      </c>
      <c r="C136" s="135">
        <f>$O$108</f>
        <v>0</v>
      </c>
    </row>
    <row r="137" spans="2:15" x14ac:dyDescent="0.25">
      <c r="B137" s="73" t="s">
        <v>118</v>
      </c>
      <c r="C137" s="135">
        <f>$O$109</f>
        <v>0</v>
      </c>
    </row>
    <row r="138" spans="2:15" x14ac:dyDescent="0.25">
      <c r="B138" s="73" t="s">
        <v>119</v>
      </c>
      <c r="C138" s="135">
        <f>$O$110</f>
        <v>0</v>
      </c>
    </row>
    <row r="139" spans="2:15" x14ac:dyDescent="0.25">
      <c r="B139" s="73" t="s">
        <v>120</v>
      </c>
      <c r="C139" s="135">
        <f>$O$111</f>
        <v>0</v>
      </c>
    </row>
    <row r="140" spans="2:15" x14ac:dyDescent="0.25">
      <c r="B140" s="73" t="s">
        <v>121</v>
      </c>
      <c r="C140" s="135">
        <f>$O$112</f>
        <v>0</v>
      </c>
    </row>
    <row r="141" spans="2:15" x14ac:dyDescent="0.25">
      <c r="B141" s="73" t="s">
        <v>122</v>
      </c>
      <c r="C141" s="135">
        <f>$O$113</f>
        <v>0</v>
      </c>
    </row>
    <row r="142" spans="2:15" x14ac:dyDescent="0.25">
      <c r="B142" s="73" t="s">
        <v>123</v>
      </c>
      <c r="C142" s="135">
        <f>$O$114</f>
        <v>0</v>
      </c>
    </row>
    <row r="143" spans="2:15" x14ac:dyDescent="0.25">
      <c r="B143" s="73" t="s">
        <v>124</v>
      </c>
      <c r="C143" s="135">
        <f>$O$115</f>
        <v>0</v>
      </c>
    </row>
    <row r="144" spans="2:15" x14ac:dyDescent="0.25">
      <c r="B144" s="73" t="s">
        <v>125</v>
      </c>
      <c r="C144" s="135">
        <f>$O$116</f>
        <v>0</v>
      </c>
    </row>
    <row r="145" spans="2:3" x14ac:dyDescent="0.25">
      <c r="B145" s="73" t="s">
        <v>126</v>
      </c>
      <c r="C145" s="135">
        <f>$O$117</f>
        <v>0</v>
      </c>
    </row>
    <row r="146" spans="2:3" x14ac:dyDescent="0.25">
      <c r="B146" s="150" t="s">
        <v>127</v>
      </c>
      <c r="C146" s="135">
        <f>$O$118</f>
        <v>0</v>
      </c>
    </row>
    <row r="147" spans="2:3" x14ac:dyDescent="0.25">
      <c r="B147" s="150" t="s">
        <v>128</v>
      </c>
      <c r="C147" s="135">
        <f>$O$119</f>
        <v>0</v>
      </c>
    </row>
    <row r="148" spans="2:3" x14ac:dyDescent="0.25">
      <c r="B148" s="73" t="s">
        <v>129</v>
      </c>
      <c r="C148" s="135">
        <f>$O$120</f>
        <v>0</v>
      </c>
    </row>
    <row r="149" spans="2:3" x14ac:dyDescent="0.25">
      <c r="B149" s="73" t="s">
        <v>130</v>
      </c>
      <c r="C149" s="135">
        <f>$O$121</f>
        <v>0</v>
      </c>
    </row>
    <row r="150" spans="2:3" x14ac:dyDescent="0.25">
      <c r="B150" s="73" t="s">
        <v>131</v>
      </c>
      <c r="C150" s="135">
        <f>$O$122</f>
        <v>0</v>
      </c>
    </row>
    <row r="151" spans="2:3" x14ac:dyDescent="0.25">
      <c r="B151" s="73" t="s">
        <v>132</v>
      </c>
      <c r="C151" s="135">
        <f>$O$123</f>
        <v>0</v>
      </c>
    </row>
    <row r="152" spans="2:3" x14ac:dyDescent="0.25">
      <c r="B152" s="73" t="s">
        <v>133</v>
      </c>
      <c r="C152" s="135">
        <f>$O$124</f>
        <v>0</v>
      </c>
    </row>
    <row r="153" spans="2:3" x14ac:dyDescent="0.25">
      <c r="B153" s="73" t="s">
        <v>134</v>
      </c>
      <c r="C153" s="135">
        <f>$O$125</f>
        <v>0</v>
      </c>
    </row>
    <row r="154" spans="2:3" x14ac:dyDescent="0.25">
      <c r="B154" s="73" t="s">
        <v>135</v>
      </c>
      <c r="C154" s="135">
        <f>$O$126</f>
        <v>0</v>
      </c>
    </row>
    <row r="155" spans="2:3" x14ac:dyDescent="0.25">
      <c r="B155" s="73" t="s">
        <v>136</v>
      </c>
      <c r="C155" s="135">
        <f>$O$127</f>
        <v>0</v>
      </c>
    </row>
    <row r="156" spans="2:3" x14ac:dyDescent="0.25">
      <c r="B156" s="73" t="s">
        <v>137</v>
      </c>
      <c r="C156" s="135">
        <f>$O$128</f>
        <v>0</v>
      </c>
    </row>
    <row r="157" spans="2:3" x14ac:dyDescent="0.25">
      <c r="B157" s="153" t="s">
        <v>138</v>
      </c>
      <c r="C157" s="135">
        <f>$O$129</f>
        <v>0</v>
      </c>
    </row>
    <row r="158" spans="2:3" x14ac:dyDescent="0.25">
      <c r="B158" s="154" t="s">
        <v>35</v>
      </c>
      <c r="C158" s="122">
        <f>_xlfn.AGGREGATE(9,6,C134:C157)</f>
        <v>0</v>
      </c>
    </row>
  </sheetData>
  <sheetProtection algorithmName="SHA-512" hashValue="Iu1ns3US0E1frwUyeJrr4rp9iwiKwJ0W4HD9GcFkEnkKPC50Xod/xv4p+WAwds6K7jC0sPqY9a5CZp81gZ25/w==" saltValue="T9o8OTJqhzRd5qfaA5heSg==" spinCount="100000" sheet="1" formatCells="0" formatColumns="0" formatRows="0"/>
  <conditionalFormatting sqref="C19:C29">
    <cfRule type="expression" dxfId="16" priority="6">
      <formula>ISERROR(C19)</formula>
    </cfRule>
  </conditionalFormatting>
  <conditionalFormatting sqref="C50:C60">
    <cfRule type="expression" dxfId="15" priority="4">
      <formula>ISERROR(C50)</formula>
    </cfRule>
  </conditionalFormatting>
  <conditionalFormatting sqref="C96:C100">
    <cfRule type="expression" dxfId="14" priority="1">
      <formula>ISERROR(C96)</formula>
    </cfRule>
  </conditionalFormatting>
  <conditionalFormatting sqref="C4:N14">
    <cfRule type="expression" dxfId="13" priority="7">
      <formula>ISERROR(C4)</formula>
    </cfRule>
  </conditionalFormatting>
  <conditionalFormatting sqref="C87:N91">
    <cfRule type="expression" dxfId="12" priority="3">
      <formula>ISERROR(C87)</formula>
    </cfRule>
  </conditionalFormatting>
  <conditionalFormatting sqref="O87:O91">
    <cfRule type="expression" dxfId="11" priority="2">
      <formula>ISERROR(O87)</formula>
    </cfRule>
  </conditionalFormatting>
  <conditionalFormatting sqref="Q28 C35:N45">
    <cfRule type="expression" dxfId="10" priority="5">
      <formula>ISERROR(C28)</formula>
    </cfRule>
  </conditionalFormatting>
  <printOptions horizontalCentered="1"/>
  <pageMargins left="0.25" right="0.25" top="0.25" bottom="0.25" header="0.3" footer="0.3"/>
  <pageSetup scale="85" fitToHeight="0" orientation="landscape" r:id="rId1"/>
  <rowBreaks count="3" manualBreakCount="3">
    <brk id="46" max="16383" man="1"/>
    <brk id="92" max="16383" man="1"/>
    <brk id="130" max="16383" man="1"/>
  </rowBreaks>
  <ignoredErrors>
    <ignoredError sqref="C99:C100" evalError="1"/>
  </ignoredError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D1117D-78A4-4B9A-ADEA-67964D5EBEE2}">
  <sheetPr>
    <pageSetUpPr autoPageBreaks="0" fitToPage="1"/>
  </sheetPr>
  <dimension ref="B1:U172"/>
  <sheetViews>
    <sheetView showGridLines="0" zoomScaleNormal="100" workbookViewId="0">
      <pane ySplit="4" topLeftCell="A5" activePane="bottomLeft" state="frozen"/>
      <selection pane="bottomLeft" activeCell="Z9" sqref="Z9"/>
    </sheetView>
  </sheetViews>
  <sheetFormatPr defaultRowHeight="15" x14ac:dyDescent="0.25"/>
  <cols>
    <col min="1" max="1" width="2.85546875" customWidth="1"/>
    <col min="2" max="2" width="18.7109375" customWidth="1"/>
    <col min="3" max="3" width="8.28515625" bestFit="1" customWidth="1"/>
    <col min="4" max="4" width="9" bestFit="1" customWidth="1"/>
    <col min="5" max="9" width="6.7109375" customWidth="1"/>
    <col min="10" max="10" width="7.28515625" bestFit="1" customWidth="1"/>
    <col min="11" max="11" width="11" bestFit="1" customWidth="1"/>
    <col min="12" max="12" width="8.28515625" bestFit="1" customWidth="1"/>
    <col min="13" max="13" width="10.42578125" bestFit="1" customWidth="1"/>
    <col min="14" max="14" width="10.28515625" bestFit="1" customWidth="1"/>
    <col min="15" max="15" width="6.7109375" bestFit="1" customWidth="1"/>
    <col min="16" max="16" width="3.140625" customWidth="1"/>
    <col min="17" max="17" width="1.85546875" customWidth="1"/>
    <col min="18" max="18" width="19.42578125" customWidth="1"/>
    <col min="19" max="19" width="6.140625" customWidth="1"/>
    <col min="20" max="20" width="4.28515625" customWidth="1"/>
    <col min="21" max="21" width="23.7109375" customWidth="1"/>
    <col min="22" max="22" width="1.28515625" customWidth="1"/>
    <col min="25" max="25" width="10.7109375" bestFit="1" customWidth="1"/>
    <col min="27" max="27" width="10.42578125" bestFit="1" customWidth="1"/>
    <col min="28" max="28" width="10.28515625" bestFit="1" customWidth="1"/>
  </cols>
  <sheetData>
    <row r="1" spans="2:21" x14ac:dyDescent="0.25">
      <c r="O1" s="164"/>
    </row>
    <row r="2" spans="2:21" x14ac:dyDescent="0.25">
      <c r="B2" s="151" t="s">
        <v>53</v>
      </c>
      <c r="C2" s="152"/>
      <c r="D2" s="90"/>
      <c r="E2" s="90"/>
      <c r="F2" s="90"/>
      <c r="G2" s="90"/>
      <c r="H2" s="90"/>
      <c r="I2" s="90"/>
      <c r="J2" s="90"/>
      <c r="K2" s="90"/>
      <c r="L2" s="90"/>
      <c r="M2" s="90"/>
      <c r="N2" s="165"/>
      <c r="O2" s="166"/>
      <c r="P2" s="16"/>
      <c r="R2" s="151" t="s">
        <v>53</v>
      </c>
      <c r="S2" s="90"/>
      <c r="U2" s="151" t="s">
        <v>54</v>
      </c>
    </row>
    <row r="3" spans="2:21" x14ac:dyDescent="0.25">
      <c r="B3" s="146" t="s">
        <v>38</v>
      </c>
      <c r="C3" s="155">
        <f t="shared" ref="C3:O3" si="0">SUM(C5:C172)</f>
        <v>0</v>
      </c>
      <c r="D3" s="155">
        <f t="shared" si="0"/>
        <v>0</v>
      </c>
      <c r="E3" s="155">
        <f t="shared" si="0"/>
        <v>0</v>
      </c>
      <c r="F3" s="155">
        <f t="shared" si="0"/>
        <v>0</v>
      </c>
      <c r="G3" s="155">
        <f t="shared" si="0"/>
        <v>0</v>
      </c>
      <c r="H3" s="155">
        <f t="shared" si="0"/>
        <v>0</v>
      </c>
      <c r="I3" s="155">
        <f t="shared" si="0"/>
        <v>0</v>
      </c>
      <c r="J3" s="155">
        <f t="shared" si="0"/>
        <v>0</v>
      </c>
      <c r="K3" s="155">
        <f t="shared" si="0"/>
        <v>0</v>
      </c>
      <c r="L3" s="155">
        <f t="shared" si="0"/>
        <v>0</v>
      </c>
      <c r="M3" s="155">
        <f t="shared" si="0"/>
        <v>0</v>
      </c>
      <c r="N3" s="155">
        <f t="shared" si="0"/>
        <v>0</v>
      </c>
      <c r="O3" s="163">
        <f t="shared" si="0"/>
        <v>0</v>
      </c>
      <c r="P3" s="156"/>
      <c r="R3" s="157" t="s">
        <v>43</v>
      </c>
      <c r="S3" s="158"/>
      <c r="U3" s="157" t="s">
        <v>25</v>
      </c>
    </row>
    <row r="4" spans="2:21" x14ac:dyDescent="0.25">
      <c r="B4" s="131" t="s">
        <v>37</v>
      </c>
      <c r="C4" s="159" t="s">
        <v>4</v>
      </c>
      <c r="D4" s="159" t="s">
        <v>5</v>
      </c>
      <c r="E4" s="159" t="s">
        <v>6</v>
      </c>
      <c r="F4" s="159" t="s">
        <v>7</v>
      </c>
      <c r="G4" s="159" t="s">
        <v>8</v>
      </c>
      <c r="H4" s="159" t="s">
        <v>9</v>
      </c>
      <c r="I4" s="159" t="s">
        <v>10</v>
      </c>
      <c r="J4" s="159" t="s">
        <v>11</v>
      </c>
      <c r="K4" s="159" t="s">
        <v>12</v>
      </c>
      <c r="L4" s="159" t="s">
        <v>13</v>
      </c>
      <c r="M4" s="159" t="s">
        <v>14</v>
      </c>
      <c r="N4" s="159" t="s">
        <v>15</v>
      </c>
      <c r="O4" s="82" t="s">
        <v>16</v>
      </c>
      <c r="P4" s="156"/>
      <c r="R4" s="139" t="s">
        <v>37</v>
      </c>
      <c r="S4" s="85" t="s">
        <v>35</v>
      </c>
      <c r="U4" s="139" t="s">
        <v>37</v>
      </c>
    </row>
    <row r="5" spans="2:21" x14ac:dyDescent="0.25">
      <c r="B5" s="160" t="str" cm="1">
        <f t="array" ref="B5">_xlfn.LET(_xlpm.allNames,_xlfn.VSTACK(Jan[Resident Name],Feb[Resident Name],Mar[Resident Name],Apr[Resident Name],May[Resident Name],June[Resident Name],July[Resident Name],Aug[Resident Name],Sept[Resident Name],Oct[Resident Name],Nov[Resident Name],Dec[Resident Name]),_xlpm.nonblank,_xlfn._xlws.FILTER(_xlpm.allNames,_xlpm.allNames&lt;&gt;""),IFERROR(_xlfn.LET(_xlpm.names,_xlfn._xlws.SORT(_xlfn.UNIQUE(_xlpm.nonblank)),_xlpm.jan,COUNTIFS(Jan[Resident Name],_xlpm.names,Jan[Resident Name],"&lt;&gt;"),_xlpm.feb,COUNTIFS(Feb[Resident Name],_xlpm.names,Feb[Resident Name],"&lt;&gt;"),_xlpm.mar,COUNTIFS(Mar[Resident Name],_xlpm.names,Mar[Resident Name],"&lt;&gt;"),_xlpm.apr,COUNTIFS(Apr[Resident Name],_xlpm.names,Apr[Resident Name],"&lt;&gt;"),_xlpm.may,COUNTIFS(May[Resident Name],_xlpm.names,May[Resident Name],"&lt;&gt;"),_xlpm.jun,COUNTIFS(June[Resident Name],_xlpm.names,June[Resident Name],"&lt;&gt;"),_xlpm.jul,COUNTIFS(July[Resident Name],_xlpm.names,July[Resident Name],"&lt;&gt;"),_xlpm.aug,COUNTIFS(Aug[Resident Name],_xlpm.names,Aug[Resident Name],"&lt;&gt;"),_xlpm.sep,COUNTIFS(Sept[Resident Name],_xlpm.names,Sept[Resident Name],"&lt;&gt;"),_xlpm.oct,COUNTIFS(Oct[Resident Name],_xlpm.names,Oct[Resident Name],"&lt;&gt;"),_xlpm.nov,COUNTIFS(Nov[Resident Name],_xlpm.names,Nov[Resident Name],"&lt;&gt;"),_xlpm.dece,COUNTIFS(Dec[Resident Name],_xlpm.names,Dec[Resident Name],"&lt;&gt;"),_xlpm.total,_xlpm.jan+_xlpm.feb+_xlpm.mar+_xlpm.apr+_xlpm.may+_xlpm.jun+_xlpm.jul+_xlpm.aug+_xlpm.sep+_xlpm.oct+_xlpm.nov+_xlpm.dece,_xlfn.HSTACK(_xlpm.names,_xlpm.jan,_xlpm.feb,_xlpm.mar,_xlpm.apr,_xlpm.may,_xlpm.jun,_xlpm.jul,_xlpm.aug,_xlpm.sep,_xlpm.oct,_xlpm.nov,_xlpm.dece,_xlpm.total)),""))</f>
        <v/>
      </c>
      <c r="C5" s="265"/>
      <c r="D5" s="265"/>
      <c r="E5" s="265"/>
      <c r="F5" s="265"/>
      <c r="G5" s="265"/>
      <c r="H5" s="265"/>
      <c r="I5" s="265"/>
      <c r="J5" s="265"/>
      <c r="K5" s="265"/>
      <c r="L5" s="265"/>
      <c r="M5" s="265"/>
      <c r="N5" s="265"/>
      <c r="O5" s="265"/>
      <c r="P5" s="11"/>
      <c r="R5" s="160" t="str" cm="1">
        <f t="array" ref="R5">_xlfn.SORTBY(_xlfn._xlws.FILTER(_xlfn.HSTACK(B5:B172,O5:O172),(B5:B172&lt;&gt;"")*(O5:O172&gt;0),""),_xlfn._xlws.FILTER(O5:O172,(B5:B172&lt;&gt;"")*(O5:O172&gt;0),""),-1)</f>
        <v/>
      </c>
      <c r="S5" s="76"/>
      <c r="U5" s="160" t="str" cm="1">
        <f t="array" ref="U5">_xlfn.LET(_xlpm.names,_xlfn.VSTACK(_xlfn._xlws.FILTER(Jan[Resident Name],Jan[Injury Type]="Major Injury",""),_xlfn._xlws.FILTER(Feb[Resident Name],Feb[Injury Type]="Major Injury",""),_xlfn._xlws.FILTER(Mar[Resident Name],Mar[Injury Type]="Major Injury",""),_xlfn._xlws.FILTER(Apr[Resident Name],Apr[Injury Type]="Major Injury",""),_xlfn._xlws.FILTER(May[Resident Name],May[Injury Type]="Major Injury",""),_xlfn._xlws.FILTER(June[Resident Name],June[Injury Type]="Major Injury",""),_xlfn._xlws.FILTER(July[Resident Name],July[Injury Type]="Major Injury",""),_xlfn._xlws.FILTER(Aug[Resident Name],Aug[Injury Type]="Major Injury",""),_xlfn._xlws.FILTER(Sept[Resident Name],Sept[Injury Type]="Major Injury",""),_xlfn._xlws.FILTER(Oct[Resident Name],Oct[Injury Type]="Major Injury",""),_xlfn._xlws.FILTER(Nov[Resident Name],Nov[Injury Type]="Major Injury",""),_xlfn._xlws.FILTER(Dec[Resident Name],Dec[Injury Type]="Major Injury","")),_xlfn._xlws.SORT(_xlfn.UNIQUE(_xlfn._xlws.FILTER(_xlpm.names,_xlpm.names&lt;&gt;"",""))))</f>
        <v/>
      </c>
    </row>
    <row r="6" spans="2:21" x14ac:dyDescent="0.25">
      <c r="B6" s="160"/>
      <c r="C6" s="265"/>
      <c r="D6" s="265"/>
      <c r="E6" s="265"/>
      <c r="F6" s="265"/>
      <c r="G6" s="265"/>
      <c r="H6" s="265"/>
      <c r="I6" s="265"/>
      <c r="J6" s="265"/>
      <c r="K6" s="265"/>
      <c r="L6" s="265"/>
      <c r="M6" s="265"/>
      <c r="N6" s="265"/>
      <c r="O6" s="265"/>
      <c r="P6" s="11"/>
      <c r="R6" s="160"/>
      <c r="S6" s="76"/>
      <c r="U6" s="160"/>
    </row>
    <row r="7" spans="2:21" x14ac:dyDescent="0.25">
      <c r="B7" s="160"/>
      <c r="C7" s="265"/>
      <c r="D7" s="265"/>
      <c r="E7" s="265"/>
      <c r="F7" s="265"/>
      <c r="G7" s="265"/>
      <c r="H7" s="265"/>
      <c r="I7" s="265"/>
      <c r="J7" s="265"/>
      <c r="K7" s="265"/>
      <c r="L7" s="265"/>
      <c r="M7" s="265"/>
      <c r="N7" s="265"/>
      <c r="O7" s="265"/>
      <c r="P7" s="11"/>
      <c r="R7" s="160"/>
      <c r="S7" s="76"/>
      <c r="U7" s="160"/>
    </row>
    <row r="8" spans="2:21" x14ac:dyDescent="0.25">
      <c r="B8" s="160"/>
      <c r="C8" s="265"/>
      <c r="D8" s="265"/>
      <c r="E8" s="265"/>
      <c r="F8" s="265"/>
      <c r="G8" s="265"/>
      <c r="H8" s="265"/>
      <c r="I8" s="265"/>
      <c r="J8" s="265"/>
      <c r="K8" s="265"/>
      <c r="L8" s="265"/>
      <c r="M8" s="265"/>
      <c r="N8" s="265"/>
      <c r="O8" s="265"/>
      <c r="P8" s="11"/>
      <c r="R8" s="160"/>
      <c r="S8" s="76"/>
      <c r="U8" s="160"/>
    </row>
    <row r="9" spans="2:21" x14ac:dyDescent="0.25">
      <c r="B9" s="160"/>
      <c r="C9" s="265"/>
      <c r="D9" s="265"/>
      <c r="E9" s="265"/>
      <c r="F9" s="265"/>
      <c r="G9" s="265"/>
      <c r="H9" s="265"/>
      <c r="I9" s="265"/>
      <c r="J9" s="265"/>
      <c r="K9" s="265"/>
      <c r="L9" s="265"/>
      <c r="M9" s="265"/>
      <c r="N9" s="265"/>
      <c r="O9" s="265"/>
      <c r="P9" s="11"/>
      <c r="R9" s="160"/>
      <c r="S9" s="76"/>
      <c r="U9" s="160"/>
    </row>
    <row r="10" spans="2:21" x14ac:dyDescent="0.25">
      <c r="B10" s="160"/>
      <c r="C10" s="265"/>
      <c r="D10" s="265"/>
      <c r="E10" s="265"/>
      <c r="F10" s="265"/>
      <c r="G10" s="265"/>
      <c r="H10" s="265"/>
      <c r="I10" s="265"/>
      <c r="J10" s="265"/>
      <c r="K10" s="265"/>
      <c r="L10" s="265"/>
      <c r="M10" s="265"/>
      <c r="N10" s="265"/>
      <c r="O10" s="265"/>
      <c r="P10" s="11"/>
      <c r="R10" s="160"/>
      <c r="S10" s="76"/>
      <c r="U10" s="160"/>
    </row>
    <row r="11" spans="2:21" x14ac:dyDescent="0.25">
      <c r="B11" s="160"/>
      <c r="C11" s="265"/>
      <c r="D11" s="265"/>
      <c r="E11" s="265"/>
      <c r="F11" s="265"/>
      <c r="G11" s="265"/>
      <c r="H11" s="265"/>
      <c r="I11" s="265"/>
      <c r="J11" s="265"/>
      <c r="K11" s="265"/>
      <c r="L11" s="265"/>
      <c r="M11" s="265"/>
      <c r="N11" s="265"/>
      <c r="O11" s="265"/>
      <c r="P11" s="11"/>
      <c r="R11" s="160"/>
      <c r="S11" s="76"/>
      <c r="U11" s="160"/>
    </row>
    <row r="12" spans="2:21" x14ac:dyDescent="0.25">
      <c r="B12" s="160"/>
      <c r="C12" s="265"/>
      <c r="D12" s="265"/>
      <c r="E12" s="265"/>
      <c r="F12" s="265"/>
      <c r="G12" s="265"/>
      <c r="H12" s="265"/>
      <c r="I12" s="265"/>
      <c r="J12" s="265"/>
      <c r="K12" s="265"/>
      <c r="L12" s="265"/>
      <c r="M12" s="265"/>
      <c r="N12" s="265"/>
      <c r="O12" s="265"/>
      <c r="P12" s="11"/>
      <c r="R12" s="160"/>
      <c r="S12" s="76"/>
      <c r="U12" s="160"/>
    </row>
    <row r="13" spans="2:21" x14ac:dyDescent="0.25">
      <c r="B13" s="160"/>
      <c r="C13" s="265"/>
      <c r="D13" s="265"/>
      <c r="E13" s="265"/>
      <c r="F13" s="265"/>
      <c r="G13" s="265"/>
      <c r="H13" s="265"/>
      <c r="I13" s="265"/>
      <c r="J13" s="265"/>
      <c r="K13" s="265"/>
      <c r="L13" s="265"/>
      <c r="M13" s="265"/>
      <c r="N13" s="265"/>
      <c r="O13" s="265"/>
      <c r="P13" s="11"/>
      <c r="R13" s="160"/>
      <c r="S13" s="76"/>
      <c r="U13" s="160"/>
    </row>
    <row r="14" spans="2:21" x14ac:dyDescent="0.25">
      <c r="B14" s="160"/>
      <c r="C14" s="265"/>
      <c r="D14" s="265"/>
      <c r="E14" s="265"/>
      <c r="F14" s="265"/>
      <c r="G14" s="265"/>
      <c r="H14" s="265"/>
      <c r="I14" s="265"/>
      <c r="J14" s="265"/>
      <c r="K14" s="265"/>
      <c r="L14" s="265"/>
      <c r="M14" s="265"/>
      <c r="N14" s="265"/>
      <c r="O14" s="265"/>
      <c r="P14" s="11"/>
      <c r="R14" s="160"/>
      <c r="S14" s="76"/>
      <c r="U14" s="160"/>
    </row>
    <row r="15" spans="2:21" x14ac:dyDescent="0.25">
      <c r="B15" s="160"/>
      <c r="C15" s="265"/>
      <c r="D15" s="265"/>
      <c r="E15" s="265"/>
      <c r="F15" s="265"/>
      <c r="G15" s="265"/>
      <c r="H15" s="265"/>
      <c r="I15" s="265"/>
      <c r="J15" s="265"/>
      <c r="K15" s="265"/>
      <c r="L15" s="265"/>
      <c r="M15" s="265"/>
      <c r="N15" s="265"/>
      <c r="O15" s="265"/>
      <c r="P15" s="11"/>
      <c r="R15" s="160"/>
      <c r="S15" s="76"/>
      <c r="U15" s="160"/>
    </row>
    <row r="16" spans="2:21" x14ac:dyDescent="0.25">
      <c r="B16" s="160"/>
      <c r="C16" s="265"/>
      <c r="D16" s="265"/>
      <c r="E16" s="265"/>
      <c r="F16" s="265"/>
      <c r="G16" s="265"/>
      <c r="H16" s="265"/>
      <c r="I16" s="265"/>
      <c r="J16" s="265"/>
      <c r="K16" s="265"/>
      <c r="L16" s="265"/>
      <c r="M16" s="265"/>
      <c r="N16" s="265"/>
      <c r="O16" s="265"/>
      <c r="P16" s="11"/>
      <c r="R16" s="160"/>
      <c r="S16" s="76"/>
      <c r="U16" s="160"/>
    </row>
    <row r="17" spans="2:21" x14ac:dyDescent="0.25">
      <c r="B17" s="160"/>
      <c r="C17" s="265"/>
      <c r="D17" s="265"/>
      <c r="E17" s="265"/>
      <c r="F17" s="265"/>
      <c r="G17" s="265"/>
      <c r="H17" s="265"/>
      <c r="I17" s="265"/>
      <c r="J17" s="265"/>
      <c r="K17" s="265"/>
      <c r="L17" s="265"/>
      <c r="M17" s="265"/>
      <c r="N17" s="265"/>
      <c r="O17" s="265"/>
      <c r="P17" s="11"/>
      <c r="R17" s="160"/>
      <c r="S17" s="76"/>
      <c r="U17" s="160"/>
    </row>
    <row r="18" spans="2:21" x14ac:dyDescent="0.25">
      <c r="B18" s="160"/>
      <c r="C18" s="265"/>
      <c r="D18" s="265"/>
      <c r="E18" s="265"/>
      <c r="F18" s="265"/>
      <c r="G18" s="265"/>
      <c r="H18" s="265"/>
      <c r="I18" s="265"/>
      <c r="J18" s="265"/>
      <c r="K18" s="265"/>
      <c r="L18" s="265"/>
      <c r="M18" s="265"/>
      <c r="N18" s="265"/>
      <c r="O18" s="265"/>
      <c r="P18" s="11"/>
      <c r="R18" s="160"/>
      <c r="S18" s="76"/>
      <c r="U18" s="160"/>
    </row>
    <row r="19" spans="2:21" x14ac:dyDescent="0.25">
      <c r="B19" s="160"/>
      <c r="C19" s="265"/>
      <c r="D19" s="265"/>
      <c r="E19" s="265"/>
      <c r="F19" s="265"/>
      <c r="G19" s="265"/>
      <c r="H19" s="265"/>
      <c r="I19" s="265"/>
      <c r="J19" s="265"/>
      <c r="K19" s="265"/>
      <c r="L19" s="265"/>
      <c r="M19" s="265"/>
      <c r="N19" s="265"/>
      <c r="O19" s="265"/>
      <c r="P19" s="11"/>
      <c r="R19" s="160"/>
      <c r="S19" s="76"/>
      <c r="U19" s="160"/>
    </row>
    <row r="20" spans="2:21" x14ac:dyDescent="0.25">
      <c r="B20" s="160"/>
      <c r="C20" s="265"/>
      <c r="D20" s="265"/>
      <c r="E20" s="265"/>
      <c r="F20" s="265"/>
      <c r="G20" s="265"/>
      <c r="H20" s="265"/>
      <c r="I20" s="265"/>
      <c r="J20" s="265"/>
      <c r="K20" s="265"/>
      <c r="L20" s="265"/>
      <c r="M20" s="265"/>
      <c r="N20" s="265"/>
      <c r="O20" s="265"/>
      <c r="P20" s="11"/>
      <c r="R20" s="160"/>
      <c r="S20" s="76"/>
      <c r="U20" s="160"/>
    </row>
    <row r="21" spans="2:21" x14ac:dyDescent="0.25">
      <c r="B21" s="160"/>
      <c r="C21" s="265"/>
      <c r="D21" s="265"/>
      <c r="E21" s="265"/>
      <c r="F21" s="265"/>
      <c r="G21" s="265"/>
      <c r="H21" s="265"/>
      <c r="I21" s="265"/>
      <c r="J21" s="265"/>
      <c r="K21" s="265"/>
      <c r="L21" s="265"/>
      <c r="M21" s="265"/>
      <c r="N21" s="265"/>
      <c r="O21" s="265"/>
      <c r="P21" s="11"/>
      <c r="R21" s="160"/>
      <c r="S21" s="76"/>
      <c r="U21" s="160"/>
    </row>
    <row r="22" spans="2:21" x14ac:dyDescent="0.25">
      <c r="B22" s="160"/>
      <c r="C22" s="265"/>
      <c r="D22" s="265"/>
      <c r="E22" s="265"/>
      <c r="F22" s="265"/>
      <c r="G22" s="265"/>
      <c r="H22" s="265"/>
      <c r="I22" s="265"/>
      <c r="J22" s="265"/>
      <c r="K22" s="265"/>
      <c r="L22" s="265"/>
      <c r="M22" s="265"/>
      <c r="N22" s="265"/>
      <c r="O22" s="265"/>
      <c r="P22" s="11"/>
      <c r="R22" s="160"/>
      <c r="S22" s="76"/>
      <c r="U22" s="160"/>
    </row>
    <row r="23" spans="2:21" x14ac:dyDescent="0.25">
      <c r="B23" s="160"/>
      <c r="C23" s="265"/>
      <c r="D23" s="265"/>
      <c r="E23" s="265"/>
      <c r="F23" s="265"/>
      <c r="G23" s="265"/>
      <c r="H23" s="265"/>
      <c r="I23" s="265"/>
      <c r="J23" s="265"/>
      <c r="K23" s="265"/>
      <c r="L23" s="265"/>
      <c r="M23" s="265"/>
      <c r="N23" s="265"/>
      <c r="O23" s="265"/>
      <c r="P23" s="11"/>
      <c r="R23" s="160"/>
      <c r="S23" s="76"/>
      <c r="U23" s="160"/>
    </row>
    <row r="24" spans="2:21" x14ac:dyDescent="0.25">
      <c r="B24" s="160"/>
      <c r="C24" s="265"/>
      <c r="D24" s="265"/>
      <c r="E24" s="265"/>
      <c r="F24" s="265"/>
      <c r="G24" s="265"/>
      <c r="H24" s="265"/>
      <c r="I24" s="265"/>
      <c r="J24" s="265"/>
      <c r="K24" s="265"/>
      <c r="L24" s="265"/>
      <c r="M24" s="265"/>
      <c r="N24" s="265"/>
      <c r="O24" s="265"/>
      <c r="P24" s="11"/>
      <c r="R24" s="160"/>
      <c r="S24" s="76"/>
      <c r="U24" s="160"/>
    </row>
    <row r="25" spans="2:21" x14ac:dyDescent="0.25">
      <c r="B25" s="160"/>
      <c r="C25" s="265"/>
      <c r="D25" s="265"/>
      <c r="E25" s="265"/>
      <c r="F25" s="265"/>
      <c r="G25" s="265"/>
      <c r="H25" s="265"/>
      <c r="I25" s="265"/>
      <c r="J25" s="265"/>
      <c r="K25" s="265"/>
      <c r="L25" s="265"/>
      <c r="M25" s="265"/>
      <c r="N25" s="265"/>
      <c r="O25" s="265"/>
      <c r="P25" s="11"/>
      <c r="R25" s="160"/>
      <c r="S25" s="76"/>
      <c r="U25" s="160"/>
    </row>
    <row r="26" spans="2:21" x14ac:dyDescent="0.25">
      <c r="B26" s="160"/>
      <c r="C26" s="265"/>
      <c r="D26" s="265"/>
      <c r="E26" s="265"/>
      <c r="F26" s="265"/>
      <c r="G26" s="265"/>
      <c r="H26" s="265"/>
      <c r="I26" s="265"/>
      <c r="J26" s="265"/>
      <c r="K26" s="265"/>
      <c r="L26" s="265"/>
      <c r="M26" s="265"/>
      <c r="N26" s="265"/>
      <c r="O26" s="265"/>
      <c r="P26" s="11"/>
      <c r="R26" s="160"/>
      <c r="S26" s="76"/>
      <c r="U26" s="160"/>
    </row>
    <row r="27" spans="2:21" x14ac:dyDescent="0.25">
      <c r="B27" s="160"/>
      <c r="C27" s="265"/>
      <c r="D27" s="265"/>
      <c r="E27" s="265"/>
      <c r="F27" s="265"/>
      <c r="G27" s="265"/>
      <c r="H27" s="265"/>
      <c r="I27" s="265"/>
      <c r="J27" s="265"/>
      <c r="K27" s="265"/>
      <c r="L27" s="265"/>
      <c r="M27" s="265"/>
      <c r="N27" s="265"/>
      <c r="O27" s="265"/>
      <c r="P27" s="11"/>
      <c r="R27" s="160"/>
      <c r="S27" s="76"/>
      <c r="U27" s="160"/>
    </row>
    <row r="28" spans="2:21" x14ac:dyDescent="0.25">
      <c r="B28" s="160"/>
      <c r="C28" s="265"/>
      <c r="D28" s="265"/>
      <c r="E28" s="265"/>
      <c r="F28" s="265"/>
      <c r="G28" s="265"/>
      <c r="H28" s="265"/>
      <c r="I28" s="265"/>
      <c r="J28" s="265"/>
      <c r="K28" s="265"/>
      <c r="L28" s="265"/>
      <c r="M28" s="265"/>
      <c r="N28" s="265"/>
      <c r="O28" s="265"/>
      <c r="P28" s="11"/>
      <c r="R28" s="160"/>
      <c r="S28" s="76"/>
      <c r="U28" s="160"/>
    </row>
    <row r="29" spans="2:21" x14ac:dyDescent="0.25">
      <c r="B29" s="160"/>
      <c r="C29" s="265"/>
      <c r="D29" s="265"/>
      <c r="E29" s="265"/>
      <c r="F29" s="265"/>
      <c r="G29" s="265"/>
      <c r="H29" s="265"/>
      <c r="I29" s="265"/>
      <c r="J29" s="265"/>
      <c r="K29" s="265"/>
      <c r="L29" s="265"/>
      <c r="M29" s="265"/>
      <c r="N29" s="265"/>
      <c r="O29" s="265"/>
      <c r="P29" s="11"/>
      <c r="R29" s="160"/>
      <c r="S29" s="76"/>
      <c r="U29" s="160"/>
    </row>
    <row r="30" spans="2:21" x14ac:dyDescent="0.25">
      <c r="B30" s="160"/>
      <c r="C30" s="265"/>
      <c r="D30" s="265"/>
      <c r="E30" s="265"/>
      <c r="F30" s="265"/>
      <c r="G30" s="265"/>
      <c r="H30" s="265"/>
      <c r="I30" s="265"/>
      <c r="J30" s="265"/>
      <c r="K30" s="265"/>
      <c r="L30" s="265"/>
      <c r="M30" s="265"/>
      <c r="N30" s="265"/>
      <c r="O30" s="265"/>
      <c r="P30" s="11"/>
      <c r="R30" s="160"/>
      <c r="S30" s="76"/>
      <c r="U30" s="160"/>
    </row>
    <row r="31" spans="2:21" x14ac:dyDescent="0.25">
      <c r="B31" s="160"/>
      <c r="C31" s="265"/>
      <c r="D31" s="265"/>
      <c r="E31" s="265"/>
      <c r="F31" s="265"/>
      <c r="G31" s="265"/>
      <c r="H31" s="265"/>
      <c r="I31" s="265"/>
      <c r="J31" s="265"/>
      <c r="K31" s="265"/>
      <c r="L31" s="265"/>
      <c r="M31" s="265"/>
      <c r="N31" s="265"/>
      <c r="O31" s="265"/>
      <c r="P31" s="11"/>
      <c r="R31" s="160"/>
      <c r="S31" s="76"/>
      <c r="U31" s="160"/>
    </row>
    <row r="32" spans="2:21" x14ac:dyDescent="0.25">
      <c r="B32" s="160"/>
      <c r="C32" s="265"/>
      <c r="D32" s="265"/>
      <c r="E32" s="265"/>
      <c r="F32" s="265"/>
      <c r="G32" s="265"/>
      <c r="H32" s="265"/>
      <c r="I32" s="265"/>
      <c r="J32" s="265"/>
      <c r="K32" s="265"/>
      <c r="L32" s="265"/>
      <c r="M32" s="265"/>
      <c r="N32" s="265"/>
      <c r="O32" s="265"/>
      <c r="P32" s="11"/>
      <c r="R32" s="160"/>
      <c r="S32" s="76"/>
      <c r="U32" s="160"/>
    </row>
    <row r="33" spans="2:21" x14ac:dyDescent="0.25">
      <c r="B33" s="160"/>
      <c r="C33" s="265"/>
      <c r="D33" s="265"/>
      <c r="E33" s="265"/>
      <c r="F33" s="265"/>
      <c r="G33" s="265"/>
      <c r="H33" s="265"/>
      <c r="I33" s="265"/>
      <c r="J33" s="265"/>
      <c r="K33" s="265"/>
      <c r="L33" s="265"/>
      <c r="M33" s="265"/>
      <c r="N33" s="265"/>
      <c r="O33" s="265"/>
      <c r="P33" s="11"/>
      <c r="R33" s="160"/>
      <c r="S33" s="76"/>
      <c r="U33" s="160"/>
    </row>
    <row r="34" spans="2:21" x14ac:dyDescent="0.25">
      <c r="B34" s="160"/>
      <c r="C34" s="265"/>
      <c r="D34" s="265"/>
      <c r="E34" s="265"/>
      <c r="F34" s="265"/>
      <c r="G34" s="265"/>
      <c r="H34" s="265"/>
      <c r="I34" s="265"/>
      <c r="J34" s="265"/>
      <c r="K34" s="265"/>
      <c r="L34" s="265"/>
      <c r="M34" s="265"/>
      <c r="N34" s="265"/>
      <c r="O34" s="265"/>
      <c r="P34" s="11"/>
      <c r="R34" s="160"/>
      <c r="S34" s="76"/>
      <c r="U34" s="160"/>
    </row>
    <row r="35" spans="2:21" x14ac:dyDescent="0.25">
      <c r="B35" s="160"/>
      <c r="C35" s="265"/>
      <c r="D35" s="265"/>
      <c r="E35" s="265"/>
      <c r="F35" s="265"/>
      <c r="G35" s="265"/>
      <c r="H35" s="265"/>
      <c r="I35" s="265"/>
      <c r="J35" s="265"/>
      <c r="K35" s="265"/>
      <c r="L35" s="265"/>
      <c r="M35" s="265"/>
      <c r="N35" s="265"/>
      <c r="O35" s="265"/>
      <c r="P35" s="11"/>
      <c r="R35" s="160"/>
      <c r="S35" s="76"/>
      <c r="U35" s="160"/>
    </row>
    <row r="36" spans="2:21" x14ac:dyDescent="0.25">
      <c r="B36" s="160"/>
      <c r="C36" s="265"/>
      <c r="D36" s="265"/>
      <c r="E36" s="265"/>
      <c r="F36" s="265"/>
      <c r="G36" s="265"/>
      <c r="H36" s="265"/>
      <c r="I36" s="265"/>
      <c r="J36" s="265"/>
      <c r="K36" s="265"/>
      <c r="L36" s="265"/>
      <c r="M36" s="265"/>
      <c r="N36" s="265"/>
      <c r="O36" s="265"/>
      <c r="P36" s="11"/>
      <c r="R36" s="160"/>
      <c r="S36" s="76"/>
      <c r="U36" s="160"/>
    </row>
    <row r="37" spans="2:21" x14ac:dyDescent="0.25">
      <c r="B37" s="160"/>
      <c r="C37" s="265"/>
      <c r="D37" s="265"/>
      <c r="E37" s="265"/>
      <c r="F37" s="265"/>
      <c r="G37" s="265"/>
      <c r="H37" s="265"/>
      <c r="I37" s="265"/>
      <c r="J37" s="265"/>
      <c r="K37" s="265"/>
      <c r="L37" s="265"/>
      <c r="M37" s="265"/>
      <c r="N37" s="265"/>
      <c r="O37" s="265"/>
      <c r="P37" s="11"/>
      <c r="R37" s="160"/>
      <c r="S37" s="76"/>
      <c r="U37" s="160"/>
    </row>
    <row r="38" spans="2:21" x14ac:dyDescent="0.25">
      <c r="B38" s="160"/>
      <c r="C38" s="265"/>
      <c r="D38" s="265"/>
      <c r="E38" s="265"/>
      <c r="F38" s="265"/>
      <c r="G38" s="265"/>
      <c r="H38" s="265"/>
      <c r="I38" s="265"/>
      <c r="J38" s="265"/>
      <c r="K38" s="265"/>
      <c r="L38" s="265"/>
      <c r="M38" s="265"/>
      <c r="N38" s="265"/>
      <c r="O38" s="265"/>
      <c r="P38" s="11"/>
      <c r="R38" s="160"/>
      <c r="S38" s="76"/>
      <c r="U38" s="160"/>
    </row>
    <row r="39" spans="2:21" x14ac:dyDescent="0.25">
      <c r="B39" s="160"/>
      <c r="C39" s="265"/>
      <c r="D39" s="265"/>
      <c r="E39" s="265"/>
      <c r="F39" s="265"/>
      <c r="G39" s="265"/>
      <c r="H39" s="265"/>
      <c r="I39" s="265"/>
      <c r="J39" s="265"/>
      <c r="K39" s="265"/>
      <c r="L39" s="265"/>
      <c r="M39" s="265"/>
      <c r="N39" s="265"/>
      <c r="O39" s="265"/>
      <c r="P39" s="11"/>
      <c r="R39" s="160"/>
      <c r="S39" s="76"/>
      <c r="U39" s="160"/>
    </row>
    <row r="40" spans="2:21" x14ac:dyDescent="0.25">
      <c r="B40" s="160"/>
      <c r="C40" s="265"/>
      <c r="D40" s="265"/>
      <c r="E40" s="265"/>
      <c r="F40" s="265"/>
      <c r="G40" s="265"/>
      <c r="H40" s="265"/>
      <c r="I40" s="265"/>
      <c r="J40" s="265"/>
      <c r="K40" s="265"/>
      <c r="L40" s="265"/>
      <c r="M40" s="265"/>
      <c r="N40" s="265"/>
      <c r="O40" s="265"/>
      <c r="P40" s="11"/>
      <c r="R40" s="160"/>
      <c r="S40" s="76"/>
      <c r="U40" s="160"/>
    </row>
    <row r="41" spans="2:21" x14ac:dyDescent="0.25">
      <c r="B41" s="160"/>
      <c r="C41" s="265"/>
      <c r="D41" s="265"/>
      <c r="E41" s="265"/>
      <c r="F41" s="265"/>
      <c r="G41" s="265"/>
      <c r="H41" s="265"/>
      <c r="I41" s="265"/>
      <c r="J41" s="265"/>
      <c r="K41" s="265"/>
      <c r="L41" s="265"/>
      <c r="M41" s="265"/>
      <c r="N41" s="265"/>
      <c r="O41" s="265"/>
      <c r="P41" s="11"/>
      <c r="R41" s="160"/>
      <c r="S41" s="76"/>
      <c r="U41" s="160"/>
    </row>
    <row r="42" spans="2:21" x14ac:dyDescent="0.25">
      <c r="B42" s="160"/>
      <c r="C42" s="265"/>
      <c r="D42" s="265"/>
      <c r="E42" s="265"/>
      <c r="F42" s="265"/>
      <c r="G42" s="265"/>
      <c r="H42" s="265"/>
      <c r="I42" s="265"/>
      <c r="J42" s="265"/>
      <c r="K42" s="265"/>
      <c r="L42" s="265"/>
      <c r="M42" s="265"/>
      <c r="N42" s="265"/>
      <c r="O42" s="265"/>
      <c r="P42" s="11"/>
      <c r="R42" s="160"/>
      <c r="S42" s="76"/>
      <c r="U42" s="160"/>
    </row>
    <row r="43" spans="2:21" x14ac:dyDescent="0.25">
      <c r="B43" s="160"/>
      <c r="C43" s="265"/>
      <c r="D43" s="265"/>
      <c r="E43" s="265"/>
      <c r="F43" s="265"/>
      <c r="G43" s="265"/>
      <c r="H43" s="265"/>
      <c r="I43" s="265"/>
      <c r="J43" s="265"/>
      <c r="K43" s="265"/>
      <c r="L43" s="265"/>
      <c r="M43" s="265"/>
      <c r="N43" s="265"/>
      <c r="O43" s="265"/>
      <c r="P43" s="11"/>
      <c r="R43" s="160"/>
      <c r="S43" s="76"/>
      <c r="U43" s="160"/>
    </row>
    <row r="44" spans="2:21" x14ac:dyDescent="0.25">
      <c r="B44" s="160"/>
      <c r="C44" s="265"/>
      <c r="D44" s="265"/>
      <c r="E44" s="265"/>
      <c r="F44" s="265"/>
      <c r="G44" s="265"/>
      <c r="H44" s="265"/>
      <c r="I44" s="265"/>
      <c r="J44" s="265"/>
      <c r="K44" s="265"/>
      <c r="L44" s="265"/>
      <c r="M44" s="265"/>
      <c r="N44" s="265"/>
      <c r="O44" s="265"/>
      <c r="P44" s="11"/>
      <c r="R44" s="160"/>
      <c r="S44" s="76"/>
      <c r="U44" s="160"/>
    </row>
    <row r="45" spans="2:21" x14ac:dyDescent="0.25">
      <c r="B45" s="160"/>
      <c r="C45" s="265"/>
      <c r="D45" s="265"/>
      <c r="E45" s="265"/>
      <c r="F45" s="265"/>
      <c r="G45" s="265"/>
      <c r="H45" s="265"/>
      <c r="I45" s="265"/>
      <c r="J45" s="265"/>
      <c r="K45" s="265"/>
      <c r="L45" s="265"/>
      <c r="M45" s="265"/>
      <c r="N45" s="265"/>
      <c r="O45" s="265"/>
      <c r="P45" s="11"/>
      <c r="R45" s="160"/>
      <c r="S45" s="76"/>
      <c r="U45" s="160"/>
    </row>
    <row r="46" spans="2:21" x14ac:dyDescent="0.25">
      <c r="B46" s="160"/>
      <c r="C46" s="265"/>
      <c r="D46" s="265"/>
      <c r="E46" s="265"/>
      <c r="F46" s="265"/>
      <c r="G46" s="265"/>
      <c r="H46" s="265"/>
      <c r="I46" s="265"/>
      <c r="J46" s="265"/>
      <c r="K46" s="265"/>
      <c r="L46" s="265"/>
      <c r="M46" s="265"/>
      <c r="N46" s="265"/>
      <c r="O46" s="265"/>
      <c r="P46" s="11"/>
      <c r="R46" s="160"/>
      <c r="S46" s="76"/>
      <c r="U46" s="160"/>
    </row>
    <row r="47" spans="2:21" x14ac:dyDescent="0.25">
      <c r="B47" s="160"/>
      <c r="C47" s="265"/>
      <c r="D47" s="265"/>
      <c r="E47" s="265"/>
      <c r="F47" s="265"/>
      <c r="G47" s="265"/>
      <c r="H47" s="265"/>
      <c r="I47" s="265"/>
      <c r="J47" s="265"/>
      <c r="K47" s="265"/>
      <c r="L47" s="265"/>
      <c r="M47" s="265"/>
      <c r="N47" s="265"/>
      <c r="O47" s="265"/>
      <c r="P47" s="11"/>
      <c r="R47" s="160"/>
      <c r="S47" s="76"/>
      <c r="U47" s="160"/>
    </row>
    <row r="48" spans="2:21" x14ac:dyDescent="0.25">
      <c r="B48" s="160"/>
      <c r="C48" s="265"/>
      <c r="D48" s="265"/>
      <c r="E48" s="265"/>
      <c r="F48" s="265"/>
      <c r="G48" s="265"/>
      <c r="H48" s="265"/>
      <c r="I48" s="265"/>
      <c r="J48" s="265"/>
      <c r="K48" s="265"/>
      <c r="L48" s="265"/>
      <c r="M48" s="265"/>
      <c r="N48" s="265"/>
      <c r="O48" s="265"/>
      <c r="P48" s="11"/>
      <c r="R48" s="160"/>
      <c r="S48" s="76"/>
      <c r="U48" s="160"/>
    </row>
    <row r="49" spans="2:21" x14ac:dyDescent="0.25">
      <c r="B49" s="160"/>
      <c r="C49" s="265"/>
      <c r="D49" s="265"/>
      <c r="E49" s="265"/>
      <c r="F49" s="265"/>
      <c r="G49" s="265"/>
      <c r="H49" s="265"/>
      <c r="I49" s="265"/>
      <c r="J49" s="265"/>
      <c r="K49" s="265"/>
      <c r="L49" s="265"/>
      <c r="M49" s="265"/>
      <c r="N49" s="265"/>
      <c r="O49" s="265"/>
      <c r="P49" s="11"/>
      <c r="R49" s="160"/>
      <c r="S49" s="76"/>
      <c r="U49" s="160"/>
    </row>
    <row r="50" spans="2:21" x14ac:dyDescent="0.25">
      <c r="B50" s="160"/>
      <c r="C50" s="265"/>
      <c r="D50" s="265"/>
      <c r="E50" s="265"/>
      <c r="F50" s="265"/>
      <c r="G50" s="265"/>
      <c r="H50" s="265"/>
      <c r="I50" s="265"/>
      <c r="J50" s="265"/>
      <c r="K50" s="265"/>
      <c r="L50" s="265"/>
      <c r="M50" s="265"/>
      <c r="N50" s="265"/>
      <c r="O50" s="265"/>
      <c r="P50" s="11"/>
      <c r="R50" s="160"/>
      <c r="S50" s="76"/>
      <c r="U50" s="160"/>
    </row>
    <row r="51" spans="2:21" x14ac:dyDescent="0.25">
      <c r="B51" s="160"/>
      <c r="C51" s="265"/>
      <c r="D51" s="265"/>
      <c r="E51" s="265"/>
      <c r="F51" s="265"/>
      <c r="G51" s="265"/>
      <c r="H51" s="265"/>
      <c r="I51" s="265"/>
      <c r="J51" s="265"/>
      <c r="K51" s="265"/>
      <c r="L51" s="265"/>
      <c r="M51" s="265"/>
      <c r="N51" s="265"/>
      <c r="O51" s="265"/>
      <c r="P51" s="11"/>
      <c r="R51" s="160"/>
      <c r="S51" s="76"/>
      <c r="U51" s="160"/>
    </row>
    <row r="52" spans="2:21" x14ac:dyDescent="0.25">
      <c r="B52" s="160"/>
      <c r="C52" s="265"/>
      <c r="D52" s="265"/>
      <c r="E52" s="265"/>
      <c r="F52" s="265"/>
      <c r="G52" s="265"/>
      <c r="H52" s="265"/>
      <c r="I52" s="265"/>
      <c r="J52" s="265"/>
      <c r="K52" s="265"/>
      <c r="L52" s="265"/>
      <c r="M52" s="265"/>
      <c r="N52" s="265"/>
      <c r="O52" s="265"/>
      <c r="P52" s="11"/>
      <c r="R52" s="160"/>
      <c r="S52" s="76"/>
      <c r="U52" s="160"/>
    </row>
    <row r="53" spans="2:21" x14ac:dyDescent="0.25">
      <c r="B53" s="160"/>
      <c r="C53" s="265"/>
      <c r="D53" s="265"/>
      <c r="E53" s="265"/>
      <c r="F53" s="265"/>
      <c r="G53" s="265"/>
      <c r="H53" s="265"/>
      <c r="I53" s="265"/>
      <c r="J53" s="265"/>
      <c r="K53" s="265"/>
      <c r="L53" s="265"/>
      <c r="M53" s="265"/>
      <c r="N53" s="265"/>
      <c r="O53" s="265"/>
      <c r="P53" s="11"/>
      <c r="R53" s="160"/>
      <c r="S53" s="76"/>
      <c r="U53" s="160"/>
    </row>
    <row r="54" spans="2:21" x14ac:dyDescent="0.25">
      <c r="B54" s="160"/>
      <c r="C54" s="265"/>
      <c r="D54" s="265"/>
      <c r="E54" s="265"/>
      <c r="F54" s="265"/>
      <c r="G54" s="265"/>
      <c r="H54" s="265"/>
      <c r="I54" s="265"/>
      <c r="J54" s="265"/>
      <c r="K54" s="265"/>
      <c r="L54" s="265"/>
      <c r="M54" s="265"/>
      <c r="N54" s="265"/>
      <c r="O54" s="265"/>
      <c r="P54" s="11"/>
      <c r="R54" s="160"/>
      <c r="S54" s="76"/>
      <c r="U54" s="160"/>
    </row>
    <row r="55" spans="2:21" x14ac:dyDescent="0.25">
      <c r="B55" s="160"/>
      <c r="C55" s="265"/>
      <c r="D55" s="265"/>
      <c r="E55" s="265"/>
      <c r="F55" s="265"/>
      <c r="G55" s="265"/>
      <c r="H55" s="265"/>
      <c r="I55" s="265"/>
      <c r="J55" s="265"/>
      <c r="K55" s="265"/>
      <c r="L55" s="265"/>
      <c r="M55" s="265"/>
      <c r="N55" s="265"/>
      <c r="O55" s="265"/>
      <c r="P55" s="11"/>
      <c r="R55" s="160"/>
      <c r="S55" s="76"/>
      <c r="U55" s="160"/>
    </row>
    <row r="56" spans="2:21" x14ac:dyDescent="0.25">
      <c r="B56" s="160"/>
      <c r="C56" s="265"/>
      <c r="D56" s="265"/>
      <c r="E56" s="265"/>
      <c r="F56" s="265"/>
      <c r="G56" s="265"/>
      <c r="H56" s="265"/>
      <c r="I56" s="265"/>
      <c r="J56" s="265"/>
      <c r="K56" s="265"/>
      <c r="L56" s="265"/>
      <c r="M56" s="265"/>
      <c r="N56" s="265"/>
      <c r="O56" s="265"/>
      <c r="P56" s="11"/>
      <c r="R56" s="160"/>
      <c r="S56" s="76"/>
      <c r="U56" s="160"/>
    </row>
    <row r="57" spans="2:21" x14ac:dyDescent="0.25">
      <c r="B57" s="160"/>
      <c r="C57" s="265"/>
      <c r="D57" s="265"/>
      <c r="E57" s="265"/>
      <c r="F57" s="265"/>
      <c r="G57" s="265"/>
      <c r="H57" s="265"/>
      <c r="I57" s="265"/>
      <c r="J57" s="265"/>
      <c r="K57" s="265"/>
      <c r="L57" s="265"/>
      <c r="M57" s="265"/>
      <c r="N57" s="265"/>
      <c r="O57" s="265"/>
      <c r="P57" s="11"/>
      <c r="R57" s="160"/>
      <c r="S57" s="76"/>
      <c r="U57" s="160"/>
    </row>
    <row r="58" spans="2:21" x14ac:dyDescent="0.25">
      <c r="B58" s="160"/>
      <c r="C58" s="265"/>
      <c r="D58" s="265"/>
      <c r="E58" s="265"/>
      <c r="F58" s="265"/>
      <c r="G58" s="265"/>
      <c r="H58" s="265"/>
      <c r="I58" s="265"/>
      <c r="J58" s="265"/>
      <c r="K58" s="265"/>
      <c r="L58" s="265"/>
      <c r="M58" s="265"/>
      <c r="N58" s="265"/>
      <c r="O58" s="265"/>
      <c r="P58" s="11"/>
      <c r="R58" s="160"/>
      <c r="S58" s="76"/>
      <c r="U58" s="160"/>
    </row>
    <row r="59" spans="2:21" x14ac:dyDescent="0.25">
      <c r="B59" s="160"/>
      <c r="C59" s="265"/>
      <c r="D59" s="265"/>
      <c r="E59" s="265"/>
      <c r="F59" s="265"/>
      <c r="G59" s="265"/>
      <c r="H59" s="265"/>
      <c r="I59" s="265"/>
      <c r="J59" s="265"/>
      <c r="K59" s="265"/>
      <c r="L59" s="265"/>
      <c r="M59" s="265"/>
      <c r="N59" s="265"/>
      <c r="O59" s="265"/>
      <c r="P59" s="11"/>
      <c r="R59" s="160"/>
      <c r="S59" s="76"/>
      <c r="U59" s="160"/>
    </row>
    <row r="60" spans="2:21" x14ac:dyDescent="0.25">
      <c r="B60" s="160"/>
      <c r="C60" s="265"/>
      <c r="D60" s="265"/>
      <c r="E60" s="265"/>
      <c r="F60" s="265"/>
      <c r="G60" s="265"/>
      <c r="H60" s="265"/>
      <c r="I60" s="265"/>
      <c r="J60" s="265"/>
      <c r="K60" s="265"/>
      <c r="L60" s="265"/>
      <c r="M60" s="265"/>
      <c r="N60" s="265"/>
      <c r="O60" s="265"/>
      <c r="P60" s="11"/>
      <c r="R60" s="160"/>
      <c r="S60" s="76"/>
      <c r="U60" s="160"/>
    </row>
    <row r="61" spans="2:21" x14ac:dyDescent="0.25">
      <c r="B61" s="160"/>
      <c r="C61" s="265"/>
      <c r="D61" s="265"/>
      <c r="E61" s="265"/>
      <c r="F61" s="265"/>
      <c r="G61" s="265"/>
      <c r="H61" s="265"/>
      <c r="I61" s="265"/>
      <c r="J61" s="265"/>
      <c r="K61" s="265"/>
      <c r="L61" s="265"/>
      <c r="M61" s="265"/>
      <c r="N61" s="265"/>
      <c r="O61" s="265"/>
      <c r="P61" s="11"/>
      <c r="R61" s="160"/>
      <c r="S61" s="76"/>
      <c r="U61" s="160"/>
    </row>
    <row r="62" spans="2:21" x14ac:dyDescent="0.25">
      <c r="B62" s="160"/>
      <c r="C62" s="265"/>
      <c r="D62" s="265"/>
      <c r="E62" s="265"/>
      <c r="F62" s="265"/>
      <c r="G62" s="265"/>
      <c r="H62" s="265"/>
      <c r="I62" s="265"/>
      <c r="J62" s="265"/>
      <c r="K62" s="265"/>
      <c r="L62" s="265"/>
      <c r="M62" s="265"/>
      <c r="N62" s="265"/>
      <c r="O62" s="265"/>
      <c r="P62" s="11"/>
      <c r="R62" s="160"/>
      <c r="S62" s="76"/>
      <c r="U62" s="160"/>
    </row>
    <row r="63" spans="2:21" x14ac:dyDescent="0.25">
      <c r="B63" s="160"/>
      <c r="C63" s="265"/>
      <c r="D63" s="265"/>
      <c r="E63" s="265"/>
      <c r="F63" s="265"/>
      <c r="G63" s="265"/>
      <c r="H63" s="265"/>
      <c r="I63" s="265"/>
      <c r="J63" s="265"/>
      <c r="K63" s="265"/>
      <c r="L63" s="265"/>
      <c r="M63" s="265"/>
      <c r="N63" s="265"/>
      <c r="O63" s="265"/>
      <c r="P63" s="11"/>
      <c r="R63" s="160"/>
      <c r="S63" s="76"/>
      <c r="U63" s="160"/>
    </row>
    <row r="64" spans="2:21" x14ac:dyDescent="0.25">
      <c r="B64" s="160"/>
      <c r="C64" s="265"/>
      <c r="D64" s="265"/>
      <c r="E64" s="265"/>
      <c r="F64" s="265"/>
      <c r="G64" s="265"/>
      <c r="H64" s="265"/>
      <c r="I64" s="265"/>
      <c r="J64" s="265"/>
      <c r="K64" s="265"/>
      <c r="L64" s="265"/>
      <c r="M64" s="265"/>
      <c r="N64" s="265"/>
      <c r="O64" s="265"/>
      <c r="P64" s="11"/>
      <c r="R64" s="160"/>
      <c r="S64" s="76"/>
      <c r="U64" s="160"/>
    </row>
    <row r="65" spans="2:21" x14ac:dyDescent="0.25">
      <c r="B65" s="160"/>
      <c r="C65" s="265"/>
      <c r="D65" s="265"/>
      <c r="E65" s="265"/>
      <c r="F65" s="265"/>
      <c r="G65" s="265"/>
      <c r="H65" s="265"/>
      <c r="I65" s="265"/>
      <c r="J65" s="265"/>
      <c r="K65" s="265"/>
      <c r="L65" s="265"/>
      <c r="M65" s="265"/>
      <c r="N65" s="265"/>
      <c r="O65" s="265"/>
      <c r="P65" s="11"/>
      <c r="R65" s="160"/>
      <c r="S65" s="76"/>
      <c r="U65" s="160"/>
    </row>
    <row r="66" spans="2:21" x14ac:dyDescent="0.25">
      <c r="B66" s="160"/>
      <c r="C66" s="265"/>
      <c r="D66" s="265"/>
      <c r="E66" s="265"/>
      <c r="F66" s="265"/>
      <c r="G66" s="265"/>
      <c r="H66" s="265"/>
      <c r="I66" s="265"/>
      <c r="J66" s="265"/>
      <c r="K66" s="265"/>
      <c r="L66" s="265"/>
      <c r="M66" s="265"/>
      <c r="N66" s="265"/>
      <c r="O66" s="265"/>
      <c r="P66" s="11"/>
      <c r="R66" s="160"/>
      <c r="S66" s="76"/>
      <c r="U66" s="160"/>
    </row>
    <row r="67" spans="2:21" x14ac:dyDescent="0.25">
      <c r="B67" s="160"/>
      <c r="C67" s="265"/>
      <c r="D67" s="265"/>
      <c r="E67" s="265"/>
      <c r="F67" s="265"/>
      <c r="G67" s="265"/>
      <c r="H67" s="265"/>
      <c r="I67" s="265"/>
      <c r="J67" s="265"/>
      <c r="K67" s="265"/>
      <c r="L67" s="265"/>
      <c r="M67" s="265"/>
      <c r="N67" s="265"/>
      <c r="O67" s="265"/>
      <c r="P67" s="11"/>
      <c r="R67" s="160"/>
      <c r="S67" s="76"/>
      <c r="U67" s="160"/>
    </row>
    <row r="68" spans="2:21" x14ac:dyDescent="0.25">
      <c r="B68" s="160"/>
      <c r="C68" s="265"/>
      <c r="D68" s="265"/>
      <c r="E68" s="265"/>
      <c r="F68" s="265"/>
      <c r="G68" s="265"/>
      <c r="H68" s="265"/>
      <c r="I68" s="265"/>
      <c r="J68" s="265"/>
      <c r="K68" s="265"/>
      <c r="L68" s="265"/>
      <c r="M68" s="265"/>
      <c r="N68" s="265"/>
      <c r="O68" s="265"/>
      <c r="P68" s="11"/>
      <c r="R68" s="160"/>
      <c r="S68" s="76"/>
      <c r="U68" s="160"/>
    </row>
    <row r="69" spans="2:21" x14ac:dyDescent="0.25">
      <c r="B69" s="160"/>
      <c r="C69" s="265"/>
      <c r="D69" s="265"/>
      <c r="E69" s="265"/>
      <c r="F69" s="265"/>
      <c r="G69" s="265"/>
      <c r="H69" s="265"/>
      <c r="I69" s="265"/>
      <c r="J69" s="265"/>
      <c r="K69" s="265"/>
      <c r="L69" s="265"/>
      <c r="M69" s="265"/>
      <c r="N69" s="265"/>
      <c r="O69" s="265"/>
      <c r="P69" s="11"/>
      <c r="R69" s="160"/>
      <c r="S69" s="76"/>
      <c r="U69" s="160"/>
    </row>
    <row r="70" spans="2:21" x14ac:dyDescent="0.25">
      <c r="B70" s="160"/>
      <c r="C70" s="265"/>
      <c r="D70" s="265"/>
      <c r="E70" s="265"/>
      <c r="F70" s="265"/>
      <c r="G70" s="265"/>
      <c r="H70" s="265"/>
      <c r="I70" s="265"/>
      <c r="J70" s="265"/>
      <c r="K70" s="265"/>
      <c r="L70" s="265"/>
      <c r="M70" s="265"/>
      <c r="N70" s="265"/>
      <c r="O70" s="265"/>
      <c r="P70" s="11"/>
      <c r="R70" s="160"/>
      <c r="S70" s="76"/>
      <c r="U70" s="160"/>
    </row>
    <row r="71" spans="2:21" x14ac:dyDescent="0.25">
      <c r="B71" s="160"/>
      <c r="C71" s="265"/>
      <c r="D71" s="265"/>
      <c r="E71" s="265"/>
      <c r="F71" s="265"/>
      <c r="G71" s="265"/>
      <c r="H71" s="265"/>
      <c r="I71" s="265"/>
      <c r="J71" s="265"/>
      <c r="K71" s="265"/>
      <c r="L71" s="265"/>
      <c r="M71" s="265"/>
      <c r="N71" s="265"/>
      <c r="O71" s="265"/>
      <c r="P71" s="11"/>
      <c r="R71" s="160"/>
      <c r="S71" s="76"/>
      <c r="U71" s="160"/>
    </row>
    <row r="72" spans="2:21" x14ac:dyDescent="0.25">
      <c r="B72" s="160"/>
      <c r="C72" s="265"/>
      <c r="D72" s="265"/>
      <c r="E72" s="265"/>
      <c r="F72" s="265"/>
      <c r="G72" s="265"/>
      <c r="H72" s="265"/>
      <c r="I72" s="265"/>
      <c r="J72" s="265"/>
      <c r="K72" s="265"/>
      <c r="L72" s="265"/>
      <c r="M72" s="265"/>
      <c r="N72" s="265"/>
      <c r="O72" s="265"/>
      <c r="P72" s="11"/>
      <c r="R72" s="160"/>
      <c r="S72" s="76"/>
      <c r="U72" s="160"/>
    </row>
    <row r="73" spans="2:21" x14ac:dyDescent="0.25">
      <c r="B73" s="160"/>
      <c r="C73" s="265"/>
      <c r="D73" s="265"/>
      <c r="E73" s="265"/>
      <c r="F73" s="265"/>
      <c r="G73" s="265"/>
      <c r="H73" s="265"/>
      <c r="I73" s="265"/>
      <c r="J73" s="265"/>
      <c r="K73" s="265"/>
      <c r="L73" s="265"/>
      <c r="M73" s="265"/>
      <c r="N73" s="265"/>
      <c r="O73" s="265"/>
      <c r="P73" s="11"/>
      <c r="R73" s="160"/>
      <c r="S73" s="76"/>
      <c r="U73" s="160"/>
    </row>
    <row r="74" spans="2:21" x14ac:dyDescent="0.25">
      <c r="B74" s="160"/>
      <c r="C74" s="265"/>
      <c r="D74" s="265"/>
      <c r="E74" s="265"/>
      <c r="F74" s="265"/>
      <c r="G74" s="265"/>
      <c r="H74" s="265"/>
      <c r="I74" s="265"/>
      <c r="J74" s="265"/>
      <c r="K74" s="265"/>
      <c r="L74" s="265"/>
      <c r="M74" s="265"/>
      <c r="N74" s="265"/>
      <c r="O74" s="265"/>
      <c r="P74" s="11"/>
      <c r="R74" s="160"/>
      <c r="S74" s="76"/>
      <c r="U74" s="160"/>
    </row>
    <row r="75" spans="2:21" x14ac:dyDescent="0.25">
      <c r="B75" s="160"/>
      <c r="C75" s="265"/>
      <c r="D75" s="265"/>
      <c r="E75" s="265"/>
      <c r="F75" s="265"/>
      <c r="G75" s="265"/>
      <c r="H75" s="265"/>
      <c r="I75" s="265"/>
      <c r="J75" s="265"/>
      <c r="K75" s="265"/>
      <c r="L75" s="265"/>
      <c r="M75" s="265"/>
      <c r="N75" s="265"/>
      <c r="O75" s="265"/>
      <c r="P75" s="11"/>
      <c r="R75" s="160"/>
      <c r="S75" s="76"/>
      <c r="U75" s="160"/>
    </row>
    <row r="76" spans="2:21" x14ac:dyDescent="0.25">
      <c r="B76" s="160"/>
      <c r="C76" s="265"/>
      <c r="D76" s="265"/>
      <c r="E76" s="265"/>
      <c r="F76" s="265"/>
      <c r="G76" s="265"/>
      <c r="H76" s="265"/>
      <c r="I76" s="265"/>
      <c r="J76" s="265"/>
      <c r="K76" s="265"/>
      <c r="L76" s="265"/>
      <c r="M76" s="265"/>
      <c r="N76" s="265"/>
      <c r="O76" s="265"/>
      <c r="P76" s="11"/>
      <c r="R76" s="160"/>
      <c r="S76" s="76"/>
      <c r="U76" s="160"/>
    </row>
    <row r="77" spans="2:21" x14ac:dyDescent="0.25">
      <c r="B77" s="160"/>
      <c r="C77" s="265"/>
      <c r="D77" s="265"/>
      <c r="E77" s="265"/>
      <c r="F77" s="265"/>
      <c r="G77" s="265"/>
      <c r="H77" s="265"/>
      <c r="I77" s="265"/>
      <c r="J77" s="265"/>
      <c r="K77" s="265"/>
      <c r="L77" s="265"/>
      <c r="M77" s="265"/>
      <c r="N77" s="265"/>
      <c r="O77" s="265"/>
      <c r="P77" s="11"/>
      <c r="R77" s="160"/>
      <c r="S77" s="76"/>
      <c r="U77" s="160"/>
    </row>
    <row r="78" spans="2:21" x14ac:dyDescent="0.25">
      <c r="B78" s="160"/>
      <c r="C78" s="265"/>
      <c r="D78" s="265"/>
      <c r="E78" s="265"/>
      <c r="F78" s="265"/>
      <c r="G78" s="265"/>
      <c r="H78" s="265"/>
      <c r="I78" s="265"/>
      <c r="J78" s="265"/>
      <c r="K78" s="265"/>
      <c r="L78" s="265"/>
      <c r="M78" s="265"/>
      <c r="N78" s="265"/>
      <c r="O78" s="265"/>
      <c r="P78" s="11"/>
      <c r="R78" s="160"/>
      <c r="S78" s="76"/>
      <c r="U78" s="160"/>
    </row>
    <row r="79" spans="2:21" x14ac:dyDescent="0.25">
      <c r="B79" s="160"/>
      <c r="C79" s="265"/>
      <c r="D79" s="265"/>
      <c r="E79" s="265"/>
      <c r="F79" s="265"/>
      <c r="G79" s="265"/>
      <c r="H79" s="265"/>
      <c r="I79" s="265"/>
      <c r="J79" s="265"/>
      <c r="K79" s="265"/>
      <c r="L79" s="265"/>
      <c r="M79" s="265"/>
      <c r="N79" s="265"/>
      <c r="O79" s="265"/>
      <c r="P79" s="11"/>
      <c r="R79" s="160"/>
      <c r="S79" s="76"/>
      <c r="U79" s="160"/>
    </row>
    <row r="80" spans="2:21" x14ac:dyDescent="0.25">
      <c r="B80" s="160"/>
      <c r="C80" s="265"/>
      <c r="D80" s="265"/>
      <c r="E80" s="265"/>
      <c r="F80" s="265"/>
      <c r="G80" s="265"/>
      <c r="H80" s="265"/>
      <c r="I80" s="265"/>
      <c r="J80" s="265"/>
      <c r="K80" s="265"/>
      <c r="L80" s="265"/>
      <c r="M80" s="265"/>
      <c r="N80" s="265"/>
      <c r="O80" s="265"/>
      <c r="P80" s="11"/>
      <c r="R80" s="160"/>
      <c r="S80" s="76"/>
      <c r="U80" s="160"/>
    </row>
    <row r="81" spans="2:21" x14ac:dyDescent="0.25">
      <c r="B81" s="160"/>
      <c r="C81" s="265"/>
      <c r="D81" s="265"/>
      <c r="E81" s="265"/>
      <c r="F81" s="265"/>
      <c r="G81" s="265"/>
      <c r="H81" s="265"/>
      <c r="I81" s="265"/>
      <c r="J81" s="265"/>
      <c r="K81" s="265"/>
      <c r="L81" s="265"/>
      <c r="M81" s="265"/>
      <c r="N81" s="265"/>
      <c r="O81" s="265"/>
      <c r="P81" s="11"/>
      <c r="R81" s="160"/>
      <c r="S81" s="76"/>
      <c r="U81" s="160"/>
    </row>
    <row r="82" spans="2:21" x14ac:dyDescent="0.25">
      <c r="B82" s="160"/>
      <c r="C82" s="265"/>
      <c r="D82" s="265"/>
      <c r="E82" s="265"/>
      <c r="F82" s="265"/>
      <c r="G82" s="265"/>
      <c r="H82" s="265"/>
      <c r="I82" s="265"/>
      <c r="J82" s="265"/>
      <c r="K82" s="265"/>
      <c r="L82" s="265"/>
      <c r="M82" s="265"/>
      <c r="N82" s="265"/>
      <c r="O82" s="265"/>
      <c r="P82" s="11"/>
      <c r="R82" s="160"/>
      <c r="S82" s="76"/>
      <c r="U82" s="160"/>
    </row>
    <row r="83" spans="2:21" x14ac:dyDescent="0.25">
      <c r="B83" s="160"/>
      <c r="C83" s="265"/>
      <c r="D83" s="265"/>
      <c r="E83" s="265"/>
      <c r="F83" s="265"/>
      <c r="G83" s="265"/>
      <c r="H83" s="265"/>
      <c r="I83" s="265"/>
      <c r="J83" s="265"/>
      <c r="K83" s="265"/>
      <c r="L83" s="265"/>
      <c r="M83" s="265"/>
      <c r="N83" s="265"/>
      <c r="O83" s="265"/>
      <c r="P83" s="11"/>
      <c r="R83" s="160"/>
      <c r="S83" s="76"/>
      <c r="U83" s="160"/>
    </row>
    <row r="84" spans="2:21" x14ac:dyDescent="0.25">
      <c r="B84" s="160"/>
      <c r="C84" s="265"/>
      <c r="D84" s="265"/>
      <c r="E84" s="265"/>
      <c r="F84" s="265"/>
      <c r="G84" s="265"/>
      <c r="H84" s="265"/>
      <c r="I84" s="265"/>
      <c r="J84" s="265"/>
      <c r="K84" s="265"/>
      <c r="L84" s="265"/>
      <c r="M84" s="265"/>
      <c r="N84" s="265"/>
      <c r="O84" s="265"/>
      <c r="P84" s="11"/>
      <c r="R84" s="160"/>
      <c r="S84" s="76"/>
      <c r="U84" s="160"/>
    </row>
    <row r="85" spans="2:21" x14ac:dyDescent="0.25">
      <c r="B85" s="160"/>
      <c r="C85" s="265"/>
      <c r="D85" s="265"/>
      <c r="E85" s="265"/>
      <c r="F85" s="265"/>
      <c r="G85" s="265"/>
      <c r="H85" s="265"/>
      <c r="I85" s="265"/>
      <c r="J85" s="265"/>
      <c r="K85" s="265"/>
      <c r="L85" s="265"/>
      <c r="M85" s="265"/>
      <c r="N85" s="265"/>
      <c r="O85" s="265"/>
      <c r="P85" s="11"/>
      <c r="R85" s="160"/>
      <c r="S85" s="76"/>
      <c r="U85" s="160"/>
    </row>
    <row r="86" spans="2:21" x14ac:dyDescent="0.25">
      <c r="B86" s="160"/>
      <c r="C86" s="265"/>
      <c r="D86" s="265"/>
      <c r="E86" s="265"/>
      <c r="F86" s="265"/>
      <c r="G86" s="265"/>
      <c r="H86" s="265"/>
      <c r="I86" s="265"/>
      <c r="J86" s="265"/>
      <c r="K86" s="265"/>
      <c r="L86" s="265"/>
      <c r="M86" s="265"/>
      <c r="N86" s="265"/>
      <c r="O86" s="265"/>
      <c r="P86" s="11"/>
      <c r="R86" s="160"/>
      <c r="S86" s="76"/>
      <c r="U86" s="160"/>
    </row>
    <row r="87" spans="2:21" x14ac:dyDescent="0.25">
      <c r="B87" s="160"/>
      <c r="C87" s="265"/>
      <c r="D87" s="265"/>
      <c r="E87" s="265"/>
      <c r="F87" s="265"/>
      <c r="G87" s="265"/>
      <c r="H87" s="265"/>
      <c r="I87" s="265"/>
      <c r="J87" s="265"/>
      <c r="K87" s="265"/>
      <c r="L87" s="265"/>
      <c r="M87" s="265"/>
      <c r="N87" s="265"/>
      <c r="O87" s="265"/>
      <c r="P87" s="11"/>
      <c r="R87" s="160"/>
      <c r="S87" s="76"/>
      <c r="U87" s="160"/>
    </row>
    <row r="88" spans="2:21" x14ac:dyDescent="0.25">
      <c r="B88" s="160"/>
      <c r="C88" s="265"/>
      <c r="D88" s="265"/>
      <c r="E88" s="265"/>
      <c r="F88" s="265"/>
      <c r="G88" s="265"/>
      <c r="H88" s="265"/>
      <c r="I88" s="265"/>
      <c r="J88" s="265"/>
      <c r="K88" s="265"/>
      <c r="L88" s="265"/>
      <c r="M88" s="265"/>
      <c r="N88" s="265"/>
      <c r="O88" s="265"/>
      <c r="P88" s="11"/>
      <c r="R88" s="160"/>
      <c r="S88" s="76"/>
      <c r="U88" s="160"/>
    </row>
    <row r="89" spans="2:21" x14ac:dyDescent="0.25">
      <c r="B89" s="160"/>
      <c r="C89" s="265"/>
      <c r="D89" s="265"/>
      <c r="E89" s="265"/>
      <c r="F89" s="265"/>
      <c r="G89" s="265"/>
      <c r="H89" s="265"/>
      <c r="I89" s="265"/>
      <c r="J89" s="265"/>
      <c r="K89" s="265"/>
      <c r="L89" s="265"/>
      <c r="M89" s="265"/>
      <c r="N89" s="265"/>
      <c r="O89" s="265"/>
      <c r="P89" s="11"/>
      <c r="R89" s="160"/>
      <c r="S89" s="76"/>
      <c r="U89" s="160"/>
    </row>
    <row r="90" spans="2:21" x14ac:dyDescent="0.25">
      <c r="B90" s="160"/>
      <c r="C90" s="265"/>
      <c r="D90" s="265"/>
      <c r="E90" s="265"/>
      <c r="F90" s="265"/>
      <c r="G90" s="265"/>
      <c r="H90" s="265"/>
      <c r="I90" s="265"/>
      <c r="J90" s="265"/>
      <c r="K90" s="265"/>
      <c r="L90" s="265"/>
      <c r="M90" s="265"/>
      <c r="N90" s="265"/>
      <c r="O90" s="265"/>
      <c r="P90" s="11"/>
      <c r="R90" s="160"/>
      <c r="S90" s="76"/>
      <c r="U90" s="160"/>
    </row>
    <row r="91" spans="2:21" x14ac:dyDescent="0.25">
      <c r="B91" s="160"/>
      <c r="C91" s="265"/>
      <c r="D91" s="265"/>
      <c r="E91" s="265"/>
      <c r="F91" s="265"/>
      <c r="G91" s="265"/>
      <c r="H91" s="265"/>
      <c r="I91" s="265"/>
      <c r="J91" s="265"/>
      <c r="K91" s="265"/>
      <c r="L91" s="265"/>
      <c r="M91" s="265"/>
      <c r="N91" s="265"/>
      <c r="O91" s="265"/>
      <c r="P91" s="11"/>
      <c r="R91" s="160"/>
      <c r="S91" s="76"/>
      <c r="U91" s="160"/>
    </row>
    <row r="92" spans="2:21" x14ac:dyDescent="0.25">
      <c r="B92" s="160"/>
      <c r="C92" s="265"/>
      <c r="D92" s="265"/>
      <c r="E92" s="265"/>
      <c r="F92" s="265"/>
      <c r="G92" s="265"/>
      <c r="H92" s="265"/>
      <c r="I92" s="265"/>
      <c r="J92" s="265"/>
      <c r="K92" s="265"/>
      <c r="L92" s="265"/>
      <c r="M92" s="265"/>
      <c r="N92" s="265"/>
      <c r="O92" s="265"/>
      <c r="P92" s="11"/>
      <c r="R92" s="160"/>
      <c r="S92" s="76"/>
      <c r="U92" s="160"/>
    </row>
    <row r="93" spans="2:21" x14ac:dyDescent="0.25">
      <c r="B93" s="160"/>
      <c r="C93" s="265"/>
      <c r="D93" s="265"/>
      <c r="E93" s="265"/>
      <c r="F93" s="265"/>
      <c r="G93" s="265"/>
      <c r="H93" s="265"/>
      <c r="I93" s="265"/>
      <c r="J93" s="265"/>
      <c r="K93" s="265"/>
      <c r="L93" s="265"/>
      <c r="M93" s="265"/>
      <c r="N93" s="265"/>
      <c r="O93" s="265"/>
      <c r="P93" s="11"/>
      <c r="R93" s="160"/>
      <c r="S93" s="76"/>
      <c r="U93" s="160"/>
    </row>
    <row r="94" spans="2:21" x14ac:dyDescent="0.25">
      <c r="B94" s="160"/>
      <c r="C94" s="265"/>
      <c r="D94" s="265"/>
      <c r="E94" s="265"/>
      <c r="F94" s="265"/>
      <c r="G94" s="265"/>
      <c r="H94" s="265"/>
      <c r="I94" s="265"/>
      <c r="J94" s="265"/>
      <c r="K94" s="265"/>
      <c r="L94" s="265"/>
      <c r="M94" s="265"/>
      <c r="N94" s="265"/>
      <c r="O94" s="265"/>
      <c r="P94" s="11"/>
      <c r="R94" s="160"/>
      <c r="S94" s="76"/>
      <c r="U94" s="160"/>
    </row>
    <row r="95" spans="2:21" x14ac:dyDescent="0.25">
      <c r="B95" s="160"/>
      <c r="C95" s="265"/>
      <c r="D95" s="265"/>
      <c r="E95" s="265"/>
      <c r="F95" s="265"/>
      <c r="G95" s="265"/>
      <c r="H95" s="265"/>
      <c r="I95" s="265"/>
      <c r="J95" s="265"/>
      <c r="K95" s="265"/>
      <c r="L95" s="265"/>
      <c r="M95" s="265"/>
      <c r="N95" s="265"/>
      <c r="O95" s="265"/>
      <c r="P95" s="11"/>
      <c r="R95" s="160"/>
      <c r="S95" s="76"/>
      <c r="U95" s="160"/>
    </row>
    <row r="96" spans="2:21" x14ac:dyDescent="0.25">
      <c r="B96" s="160"/>
      <c r="C96" s="265"/>
      <c r="D96" s="265"/>
      <c r="E96" s="265"/>
      <c r="F96" s="265"/>
      <c r="G96" s="265"/>
      <c r="H96" s="265"/>
      <c r="I96" s="265"/>
      <c r="J96" s="265"/>
      <c r="K96" s="265"/>
      <c r="L96" s="265"/>
      <c r="M96" s="265"/>
      <c r="N96" s="265"/>
      <c r="O96" s="265"/>
      <c r="P96" s="11"/>
      <c r="R96" s="160"/>
      <c r="S96" s="76"/>
      <c r="U96" s="160"/>
    </row>
    <row r="97" spans="2:21" x14ac:dyDescent="0.25">
      <c r="B97" s="160"/>
      <c r="C97" s="265"/>
      <c r="D97" s="265"/>
      <c r="E97" s="265"/>
      <c r="F97" s="265"/>
      <c r="G97" s="265"/>
      <c r="H97" s="265"/>
      <c r="I97" s="265"/>
      <c r="J97" s="265"/>
      <c r="K97" s="265"/>
      <c r="L97" s="265"/>
      <c r="M97" s="265"/>
      <c r="N97" s="265"/>
      <c r="O97" s="265"/>
      <c r="P97" s="11"/>
      <c r="R97" s="160"/>
      <c r="S97" s="76"/>
      <c r="U97" s="160"/>
    </row>
    <row r="98" spans="2:21" x14ac:dyDescent="0.25">
      <c r="B98" s="160"/>
      <c r="C98" s="265"/>
      <c r="D98" s="265"/>
      <c r="E98" s="265"/>
      <c r="F98" s="265"/>
      <c r="G98" s="265"/>
      <c r="H98" s="265"/>
      <c r="I98" s="265"/>
      <c r="J98" s="265"/>
      <c r="K98" s="265"/>
      <c r="L98" s="265"/>
      <c r="M98" s="265"/>
      <c r="N98" s="265"/>
      <c r="O98" s="265"/>
      <c r="P98" s="11"/>
      <c r="R98" s="160"/>
      <c r="S98" s="76"/>
      <c r="U98" s="160"/>
    </row>
    <row r="99" spans="2:21" x14ac:dyDescent="0.25">
      <c r="B99" s="160"/>
      <c r="C99" s="265"/>
      <c r="D99" s="265"/>
      <c r="E99" s="265"/>
      <c r="F99" s="265"/>
      <c r="G99" s="265"/>
      <c r="H99" s="265"/>
      <c r="I99" s="265"/>
      <c r="J99" s="265"/>
      <c r="K99" s="265"/>
      <c r="L99" s="265"/>
      <c r="M99" s="265"/>
      <c r="N99" s="265"/>
      <c r="O99" s="265"/>
      <c r="P99" s="11"/>
      <c r="R99" s="160"/>
      <c r="S99" s="76"/>
      <c r="U99" s="160"/>
    </row>
    <row r="100" spans="2:21" x14ac:dyDescent="0.25">
      <c r="B100" s="160"/>
      <c r="C100" s="265"/>
      <c r="D100" s="265"/>
      <c r="E100" s="265"/>
      <c r="F100" s="265"/>
      <c r="G100" s="265"/>
      <c r="H100" s="265"/>
      <c r="I100" s="265"/>
      <c r="J100" s="265"/>
      <c r="K100" s="265"/>
      <c r="L100" s="265"/>
      <c r="M100" s="265"/>
      <c r="N100" s="265"/>
      <c r="O100" s="265"/>
      <c r="P100" s="11"/>
      <c r="R100" s="160"/>
      <c r="S100" s="76"/>
      <c r="U100" s="160"/>
    </row>
    <row r="101" spans="2:21" x14ac:dyDescent="0.25">
      <c r="B101" s="160"/>
      <c r="C101" s="265"/>
      <c r="D101" s="265"/>
      <c r="E101" s="265"/>
      <c r="F101" s="265"/>
      <c r="G101" s="265"/>
      <c r="H101" s="265"/>
      <c r="I101" s="265"/>
      <c r="J101" s="265"/>
      <c r="K101" s="265"/>
      <c r="L101" s="265"/>
      <c r="M101" s="265"/>
      <c r="N101" s="265"/>
      <c r="O101" s="265"/>
      <c r="P101" s="11"/>
      <c r="R101" s="160"/>
      <c r="S101" s="76"/>
      <c r="U101" s="160"/>
    </row>
    <row r="102" spans="2:21" x14ac:dyDescent="0.25">
      <c r="B102" s="160"/>
      <c r="C102" s="265"/>
      <c r="D102" s="265"/>
      <c r="E102" s="265"/>
      <c r="F102" s="265"/>
      <c r="G102" s="265"/>
      <c r="H102" s="265"/>
      <c r="I102" s="265"/>
      <c r="J102" s="265"/>
      <c r="K102" s="265"/>
      <c r="L102" s="265"/>
      <c r="M102" s="265"/>
      <c r="N102" s="265"/>
      <c r="O102" s="265"/>
      <c r="P102" s="11"/>
      <c r="R102" s="160"/>
      <c r="S102" s="76"/>
      <c r="U102" s="160"/>
    </row>
    <row r="103" spans="2:21" x14ac:dyDescent="0.25">
      <c r="B103" s="160"/>
      <c r="C103" s="265"/>
      <c r="D103" s="265"/>
      <c r="E103" s="265"/>
      <c r="F103" s="265"/>
      <c r="G103" s="265"/>
      <c r="H103" s="265"/>
      <c r="I103" s="265"/>
      <c r="J103" s="265"/>
      <c r="K103" s="265"/>
      <c r="L103" s="265"/>
      <c r="M103" s="265"/>
      <c r="N103" s="265"/>
      <c r="O103" s="265"/>
      <c r="P103" s="11"/>
      <c r="R103" s="160"/>
      <c r="S103" s="76"/>
      <c r="U103" s="160"/>
    </row>
    <row r="104" spans="2:21" x14ac:dyDescent="0.25">
      <c r="B104" s="160"/>
      <c r="C104" s="265"/>
      <c r="D104" s="265"/>
      <c r="E104" s="265"/>
      <c r="F104" s="265"/>
      <c r="G104" s="265"/>
      <c r="H104" s="265"/>
      <c r="I104" s="265"/>
      <c r="J104" s="265"/>
      <c r="K104" s="265"/>
      <c r="L104" s="265"/>
      <c r="M104" s="265"/>
      <c r="N104" s="265"/>
      <c r="O104" s="265"/>
      <c r="P104" s="11"/>
      <c r="R104" s="160"/>
      <c r="S104" s="76"/>
      <c r="U104" s="160"/>
    </row>
    <row r="105" spans="2:21" x14ac:dyDescent="0.25">
      <c r="B105" s="160"/>
      <c r="C105" s="265"/>
      <c r="D105" s="265"/>
      <c r="E105" s="265"/>
      <c r="F105" s="265"/>
      <c r="G105" s="265"/>
      <c r="H105" s="265"/>
      <c r="I105" s="265"/>
      <c r="J105" s="265"/>
      <c r="K105" s="265"/>
      <c r="L105" s="265"/>
      <c r="M105" s="265"/>
      <c r="N105" s="265"/>
      <c r="O105" s="265"/>
      <c r="P105" s="11"/>
      <c r="R105" s="160"/>
      <c r="S105" s="76"/>
      <c r="U105" s="160"/>
    </row>
    <row r="106" spans="2:21" x14ac:dyDescent="0.25">
      <c r="B106" s="160"/>
      <c r="C106" s="265"/>
      <c r="D106" s="265"/>
      <c r="E106" s="265"/>
      <c r="F106" s="265"/>
      <c r="G106" s="265"/>
      <c r="H106" s="265"/>
      <c r="I106" s="265"/>
      <c r="J106" s="265"/>
      <c r="K106" s="265"/>
      <c r="L106" s="265"/>
      <c r="M106" s="265"/>
      <c r="N106" s="265"/>
      <c r="O106" s="265"/>
      <c r="P106" s="11"/>
      <c r="R106" s="160"/>
      <c r="S106" s="76"/>
      <c r="U106" s="160"/>
    </row>
    <row r="107" spans="2:21" x14ac:dyDescent="0.25">
      <c r="B107" s="160"/>
      <c r="C107" s="265"/>
      <c r="D107" s="265"/>
      <c r="E107" s="265"/>
      <c r="F107" s="265"/>
      <c r="G107" s="265"/>
      <c r="H107" s="265"/>
      <c r="I107" s="265"/>
      <c r="J107" s="265"/>
      <c r="K107" s="265"/>
      <c r="L107" s="265"/>
      <c r="M107" s="265"/>
      <c r="N107" s="265"/>
      <c r="O107" s="265"/>
      <c r="P107" s="11"/>
      <c r="R107" s="160"/>
      <c r="S107" s="76"/>
      <c r="U107" s="160"/>
    </row>
    <row r="108" spans="2:21" x14ac:dyDescent="0.25">
      <c r="B108" s="160"/>
      <c r="C108" s="265"/>
      <c r="D108" s="265"/>
      <c r="E108" s="265"/>
      <c r="F108" s="265"/>
      <c r="G108" s="265"/>
      <c r="H108" s="265"/>
      <c r="I108" s="265"/>
      <c r="J108" s="265"/>
      <c r="K108" s="265"/>
      <c r="L108" s="265"/>
      <c r="M108" s="265"/>
      <c r="N108" s="265"/>
      <c r="O108" s="265"/>
      <c r="P108" s="11"/>
      <c r="R108" s="160"/>
      <c r="S108" s="76"/>
      <c r="U108" s="160"/>
    </row>
    <row r="109" spans="2:21" x14ac:dyDescent="0.25">
      <c r="B109" s="160"/>
      <c r="C109" s="265"/>
      <c r="D109" s="265"/>
      <c r="E109" s="265"/>
      <c r="F109" s="265"/>
      <c r="G109" s="265"/>
      <c r="H109" s="265"/>
      <c r="I109" s="265"/>
      <c r="J109" s="265"/>
      <c r="K109" s="265"/>
      <c r="L109" s="265"/>
      <c r="M109" s="265"/>
      <c r="N109" s="265"/>
      <c r="O109" s="265"/>
      <c r="P109" s="11"/>
      <c r="R109" s="160"/>
      <c r="S109" s="76"/>
      <c r="U109" s="160"/>
    </row>
    <row r="110" spans="2:21" x14ac:dyDescent="0.25">
      <c r="B110" s="160"/>
      <c r="C110" s="265"/>
      <c r="D110" s="265"/>
      <c r="E110" s="265"/>
      <c r="F110" s="265"/>
      <c r="G110" s="265"/>
      <c r="H110" s="265"/>
      <c r="I110" s="265"/>
      <c r="J110" s="265"/>
      <c r="K110" s="265"/>
      <c r="L110" s="265"/>
      <c r="M110" s="265"/>
      <c r="N110" s="265"/>
      <c r="O110" s="265"/>
      <c r="P110" s="11"/>
      <c r="R110" s="160"/>
      <c r="S110" s="76"/>
      <c r="U110" s="160"/>
    </row>
    <row r="111" spans="2:21" x14ac:dyDescent="0.25">
      <c r="B111" s="160"/>
      <c r="C111" s="265"/>
      <c r="D111" s="265"/>
      <c r="E111" s="265"/>
      <c r="F111" s="265"/>
      <c r="G111" s="265"/>
      <c r="H111" s="265"/>
      <c r="I111" s="265"/>
      <c r="J111" s="265"/>
      <c r="K111" s="265"/>
      <c r="L111" s="265"/>
      <c r="M111" s="265"/>
      <c r="N111" s="265"/>
      <c r="O111" s="265"/>
      <c r="P111" s="11"/>
      <c r="R111" s="160"/>
      <c r="S111" s="76"/>
      <c r="U111" s="160"/>
    </row>
    <row r="112" spans="2:21" x14ac:dyDescent="0.25">
      <c r="B112" s="160"/>
      <c r="C112" s="265"/>
      <c r="D112" s="265"/>
      <c r="E112" s="265"/>
      <c r="F112" s="265"/>
      <c r="G112" s="265"/>
      <c r="H112" s="265"/>
      <c r="I112" s="265"/>
      <c r="J112" s="265"/>
      <c r="K112" s="265"/>
      <c r="L112" s="265"/>
      <c r="M112" s="265"/>
      <c r="N112" s="265"/>
      <c r="O112" s="265"/>
      <c r="P112" s="11"/>
      <c r="R112" s="160"/>
      <c r="S112" s="76"/>
      <c r="U112" s="160"/>
    </row>
    <row r="113" spans="2:21" x14ac:dyDescent="0.25">
      <c r="B113" s="160"/>
      <c r="C113" s="265"/>
      <c r="D113" s="265"/>
      <c r="E113" s="265"/>
      <c r="F113" s="265"/>
      <c r="G113" s="265"/>
      <c r="H113" s="265"/>
      <c r="I113" s="265"/>
      <c r="J113" s="265"/>
      <c r="K113" s="265"/>
      <c r="L113" s="265"/>
      <c r="M113" s="265"/>
      <c r="N113" s="265"/>
      <c r="O113" s="265"/>
      <c r="P113" s="11"/>
      <c r="R113" s="160"/>
      <c r="S113" s="76"/>
      <c r="U113" s="160"/>
    </row>
    <row r="114" spans="2:21" x14ac:dyDescent="0.25">
      <c r="B114" s="160"/>
      <c r="C114" s="265"/>
      <c r="D114" s="265"/>
      <c r="E114" s="265"/>
      <c r="F114" s="265"/>
      <c r="G114" s="265"/>
      <c r="H114" s="265"/>
      <c r="I114" s="265"/>
      <c r="J114" s="265"/>
      <c r="K114" s="265"/>
      <c r="L114" s="265"/>
      <c r="M114" s="265"/>
      <c r="N114" s="265"/>
      <c r="O114" s="265"/>
      <c r="P114" s="11"/>
      <c r="R114" s="160"/>
      <c r="S114" s="76"/>
      <c r="U114" s="160"/>
    </row>
    <row r="115" spans="2:21" x14ac:dyDescent="0.25">
      <c r="B115" s="160"/>
      <c r="C115" s="265"/>
      <c r="D115" s="265"/>
      <c r="E115" s="265"/>
      <c r="F115" s="265"/>
      <c r="G115" s="265"/>
      <c r="H115" s="265"/>
      <c r="I115" s="265"/>
      <c r="J115" s="265"/>
      <c r="K115" s="265"/>
      <c r="L115" s="265"/>
      <c r="M115" s="265"/>
      <c r="N115" s="265"/>
      <c r="O115" s="265"/>
      <c r="P115" s="11"/>
      <c r="R115" s="160"/>
      <c r="S115" s="76"/>
      <c r="U115" s="160"/>
    </row>
    <row r="116" spans="2:21" x14ac:dyDescent="0.25">
      <c r="B116" s="160"/>
      <c r="C116" s="265"/>
      <c r="D116" s="265"/>
      <c r="E116" s="265"/>
      <c r="F116" s="265"/>
      <c r="G116" s="265"/>
      <c r="H116" s="265"/>
      <c r="I116" s="265"/>
      <c r="J116" s="265"/>
      <c r="K116" s="265"/>
      <c r="L116" s="265"/>
      <c r="M116" s="265"/>
      <c r="N116" s="265"/>
      <c r="O116" s="265"/>
      <c r="P116" s="11"/>
      <c r="R116" s="160"/>
      <c r="S116" s="76"/>
      <c r="U116" s="160"/>
    </row>
    <row r="117" spans="2:21" x14ac:dyDescent="0.25">
      <c r="B117" s="160"/>
      <c r="C117" s="265"/>
      <c r="D117" s="265"/>
      <c r="E117" s="265"/>
      <c r="F117" s="265"/>
      <c r="G117" s="265"/>
      <c r="H117" s="265"/>
      <c r="I117" s="265"/>
      <c r="J117" s="265"/>
      <c r="K117" s="265"/>
      <c r="L117" s="265"/>
      <c r="M117" s="265"/>
      <c r="N117" s="265"/>
      <c r="O117" s="265"/>
      <c r="P117" s="11"/>
      <c r="R117" s="160"/>
      <c r="S117" s="76"/>
      <c r="U117" s="160"/>
    </row>
    <row r="118" spans="2:21" x14ac:dyDescent="0.25">
      <c r="B118" s="160"/>
      <c r="C118" s="265"/>
      <c r="D118" s="265"/>
      <c r="E118" s="265"/>
      <c r="F118" s="265"/>
      <c r="G118" s="265"/>
      <c r="H118" s="265"/>
      <c r="I118" s="265"/>
      <c r="J118" s="265"/>
      <c r="K118" s="265"/>
      <c r="L118" s="265"/>
      <c r="M118" s="265"/>
      <c r="N118" s="265"/>
      <c r="O118" s="265"/>
      <c r="P118" s="11"/>
      <c r="R118" s="160"/>
      <c r="S118" s="76"/>
      <c r="U118" s="160"/>
    </row>
    <row r="119" spans="2:21" x14ac:dyDescent="0.25">
      <c r="B119" s="160"/>
      <c r="C119" s="265"/>
      <c r="D119" s="265"/>
      <c r="E119" s="265"/>
      <c r="F119" s="265"/>
      <c r="G119" s="265"/>
      <c r="H119" s="265"/>
      <c r="I119" s="265"/>
      <c r="J119" s="265"/>
      <c r="K119" s="265"/>
      <c r="L119" s="265"/>
      <c r="M119" s="265"/>
      <c r="N119" s="265"/>
      <c r="O119" s="265"/>
      <c r="P119" s="11"/>
      <c r="R119" s="160"/>
      <c r="S119" s="76"/>
      <c r="U119" s="160"/>
    </row>
    <row r="120" spans="2:21" x14ac:dyDescent="0.25">
      <c r="B120" s="160"/>
      <c r="C120" s="265"/>
      <c r="D120" s="265"/>
      <c r="E120" s="265"/>
      <c r="F120" s="265"/>
      <c r="G120" s="265"/>
      <c r="H120" s="265"/>
      <c r="I120" s="265"/>
      <c r="J120" s="265"/>
      <c r="K120" s="265"/>
      <c r="L120" s="265"/>
      <c r="M120" s="265"/>
      <c r="N120" s="265"/>
      <c r="O120" s="265"/>
      <c r="P120" s="11"/>
      <c r="R120" s="160"/>
      <c r="S120" s="76"/>
      <c r="U120" s="160"/>
    </row>
    <row r="121" spans="2:21" x14ac:dyDescent="0.25">
      <c r="B121" s="160"/>
      <c r="C121" s="265"/>
      <c r="D121" s="265"/>
      <c r="E121" s="265"/>
      <c r="F121" s="265"/>
      <c r="G121" s="265"/>
      <c r="H121" s="265"/>
      <c r="I121" s="265"/>
      <c r="J121" s="265"/>
      <c r="K121" s="265"/>
      <c r="L121" s="265"/>
      <c r="M121" s="265"/>
      <c r="N121" s="265"/>
      <c r="O121" s="265"/>
      <c r="P121" s="11"/>
      <c r="R121" s="160"/>
      <c r="S121" s="76"/>
      <c r="U121" s="160"/>
    </row>
    <row r="122" spans="2:21" x14ac:dyDescent="0.25">
      <c r="B122" s="160"/>
      <c r="C122" s="265"/>
      <c r="D122" s="265"/>
      <c r="E122" s="265"/>
      <c r="F122" s="265"/>
      <c r="G122" s="265"/>
      <c r="H122" s="265"/>
      <c r="I122" s="265"/>
      <c r="J122" s="265"/>
      <c r="K122" s="265"/>
      <c r="L122" s="265"/>
      <c r="M122" s="265"/>
      <c r="N122" s="265"/>
      <c r="O122" s="265"/>
      <c r="P122" s="11"/>
      <c r="R122" s="160"/>
      <c r="S122" s="76"/>
      <c r="U122" s="160"/>
    </row>
    <row r="123" spans="2:21" x14ac:dyDescent="0.25">
      <c r="B123" s="160"/>
      <c r="C123" s="265"/>
      <c r="D123" s="265"/>
      <c r="E123" s="265"/>
      <c r="F123" s="265"/>
      <c r="G123" s="265"/>
      <c r="H123" s="265"/>
      <c r="I123" s="265"/>
      <c r="J123" s="265"/>
      <c r="K123" s="265"/>
      <c r="L123" s="265"/>
      <c r="M123" s="265"/>
      <c r="N123" s="265"/>
      <c r="O123" s="265"/>
      <c r="P123" s="11"/>
      <c r="R123" s="160"/>
      <c r="S123" s="76"/>
      <c r="U123" s="160"/>
    </row>
    <row r="124" spans="2:21" x14ac:dyDescent="0.25">
      <c r="B124" s="160"/>
      <c r="C124" s="265"/>
      <c r="D124" s="265"/>
      <c r="E124" s="265"/>
      <c r="F124" s="265"/>
      <c r="G124" s="265"/>
      <c r="H124" s="265"/>
      <c r="I124" s="265"/>
      <c r="J124" s="265"/>
      <c r="K124" s="265"/>
      <c r="L124" s="265"/>
      <c r="M124" s="265"/>
      <c r="N124" s="265"/>
      <c r="O124" s="265"/>
      <c r="P124" s="11"/>
      <c r="R124" s="160"/>
      <c r="S124" s="76"/>
      <c r="U124" s="160"/>
    </row>
    <row r="125" spans="2:21" x14ac:dyDescent="0.25">
      <c r="B125" s="160"/>
      <c r="C125" s="265"/>
      <c r="D125" s="265"/>
      <c r="E125" s="265"/>
      <c r="F125" s="265"/>
      <c r="G125" s="265"/>
      <c r="H125" s="265"/>
      <c r="I125" s="265"/>
      <c r="J125" s="265"/>
      <c r="K125" s="265"/>
      <c r="L125" s="265"/>
      <c r="M125" s="265"/>
      <c r="N125" s="265"/>
      <c r="O125" s="265"/>
      <c r="P125" s="11"/>
      <c r="R125" s="160"/>
      <c r="S125" s="76"/>
      <c r="U125" s="160"/>
    </row>
    <row r="126" spans="2:21" x14ac:dyDescent="0.25">
      <c r="B126" s="160"/>
      <c r="C126" s="265"/>
      <c r="D126" s="265"/>
      <c r="E126" s="265"/>
      <c r="F126" s="265"/>
      <c r="G126" s="265"/>
      <c r="H126" s="265"/>
      <c r="I126" s="265"/>
      <c r="J126" s="265"/>
      <c r="K126" s="265"/>
      <c r="L126" s="265"/>
      <c r="M126" s="265"/>
      <c r="N126" s="265"/>
      <c r="O126" s="265"/>
      <c r="P126" s="11"/>
      <c r="R126" s="160"/>
      <c r="S126" s="76"/>
      <c r="U126" s="160"/>
    </row>
    <row r="127" spans="2:21" x14ac:dyDescent="0.25">
      <c r="B127" s="160"/>
      <c r="C127" s="265"/>
      <c r="D127" s="265"/>
      <c r="E127" s="265"/>
      <c r="F127" s="265"/>
      <c r="G127" s="265"/>
      <c r="H127" s="265"/>
      <c r="I127" s="265"/>
      <c r="J127" s="265"/>
      <c r="K127" s="265"/>
      <c r="L127" s="265"/>
      <c r="M127" s="265"/>
      <c r="N127" s="265"/>
      <c r="O127" s="265"/>
      <c r="P127" s="11"/>
      <c r="R127" s="160"/>
      <c r="S127" s="76"/>
      <c r="U127" s="160"/>
    </row>
    <row r="128" spans="2:21" x14ac:dyDescent="0.25">
      <c r="B128" s="160"/>
      <c r="C128" s="265"/>
      <c r="D128" s="265"/>
      <c r="E128" s="265"/>
      <c r="F128" s="265"/>
      <c r="G128" s="265"/>
      <c r="H128" s="265"/>
      <c r="I128" s="265"/>
      <c r="J128" s="265"/>
      <c r="K128" s="265"/>
      <c r="L128" s="265"/>
      <c r="M128" s="265"/>
      <c r="N128" s="265"/>
      <c r="O128" s="265"/>
      <c r="P128" s="11"/>
      <c r="R128" s="160"/>
      <c r="S128" s="76"/>
      <c r="U128" s="160"/>
    </row>
    <row r="129" spans="2:21" x14ac:dyDescent="0.25">
      <c r="B129" s="160"/>
      <c r="C129" s="265"/>
      <c r="D129" s="265"/>
      <c r="E129" s="265"/>
      <c r="F129" s="265"/>
      <c r="G129" s="265"/>
      <c r="H129" s="265"/>
      <c r="I129" s="265"/>
      <c r="J129" s="265"/>
      <c r="K129" s="265"/>
      <c r="L129" s="265"/>
      <c r="M129" s="265"/>
      <c r="N129" s="265"/>
      <c r="O129" s="265"/>
      <c r="P129" s="11"/>
      <c r="R129" s="160"/>
      <c r="S129" s="76"/>
      <c r="U129" s="160"/>
    </row>
    <row r="130" spans="2:21" x14ac:dyDescent="0.25">
      <c r="B130" s="160"/>
      <c r="C130" s="265"/>
      <c r="D130" s="265"/>
      <c r="E130" s="265"/>
      <c r="F130" s="265"/>
      <c r="G130" s="265"/>
      <c r="H130" s="265"/>
      <c r="I130" s="265"/>
      <c r="J130" s="265"/>
      <c r="K130" s="265"/>
      <c r="L130" s="265"/>
      <c r="M130" s="265"/>
      <c r="N130" s="265"/>
      <c r="O130" s="265"/>
      <c r="P130" s="11"/>
      <c r="R130" s="160"/>
      <c r="S130" s="76"/>
      <c r="U130" s="160"/>
    </row>
    <row r="131" spans="2:21" x14ac:dyDescent="0.25">
      <c r="B131" s="160"/>
      <c r="C131" s="265"/>
      <c r="D131" s="265"/>
      <c r="E131" s="265"/>
      <c r="F131" s="265"/>
      <c r="G131" s="265"/>
      <c r="H131" s="265"/>
      <c r="I131" s="265"/>
      <c r="J131" s="265"/>
      <c r="K131" s="265"/>
      <c r="L131" s="265"/>
      <c r="M131" s="265"/>
      <c r="N131" s="265"/>
      <c r="O131" s="265"/>
      <c r="P131" s="11"/>
      <c r="R131" s="160"/>
      <c r="S131" s="76"/>
      <c r="U131" s="160"/>
    </row>
    <row r="132" spans="2:21" x14ac:dyDescent="0.25">
      <c r="B132" s="160"/>
      <c r="C132" s="265"/>
      <c r="D132" s="265"/>
      <c r="E132" s="265"/>
      <c r="F132" s="265"/>
      <c r="G132" s="265"/>
      <c r="H132" s="265"/>
      <c r="I132" s="265"/>
      <c r="J132" s="265"/>
      <c r="K132" s="265"/>
      <c r="L132" s="265"/>
      <c r="M132" s="265"/>
      <c r="N132" s="265"/>
      <c r="O132" s="265"/>
      <c r="P132" s="11"/>
      <c r="R132" s="160"/>
      <c r="S132" s="76"/>
      <c r="U132" s="160"/>
    </row>
    <row r="133" spans="2:21" x14ac:dyDescent="0.25">
      <c r="B133" s="160"/>
      <c r="C133" s="265"/>
      <c r="D133" s="265"/>
      <c r="E133" s="265"/>
      <c r="F133" s="265"/>
      <c r="G133" s="265"/>
      <c r="H133" s="265"/>
      <c r="I133" s="265"/>
      <c r="J133" s="265"/>
      <c r="K133" s="265"/>
      <c r="L133" s="265"/>
      <c r="M133" s="265"/>
      <c r="N133" s="265"/>
      <c r="O133" s="265"/>
      <c r="P133" s="11"/>
      <c r="R133" s="160"/>
      <c r="S133" s="76"/>
      <c r="U133" s="160"/>
    </row>
    <row r="134" spans="2:21" x14ac:dyDescent="0.25">
      <c r="B134" s="160"/>
      <c r="C134" s="265"/>
      <c r="D134" s="265"/>
      <c r="E134" s="265"/>
      <c r="F134" s="265"/>
      <c r="G134" s="265"/>
      <c r="H134" s="265"/>
      <c r="I134" s="265"/>
      <c r="J134" s="265"/>
      <c r="K134" s="265"/>
      <c r="L134" s="265"/>
      <c r="M134" s="265"/>
      <c r="N134" s="265"/>
      <c r="O134" s="265"/>
      <c r="P134" s="11"/>
      <c r="R134" s="160"/>
      <c r="S134" s="76"/>
      <c r="U134" s="160"/>
    </row>
    <row r="135" spans="2:21" x14ac:dyDescent="0.25">
      <c r="B135" s="160"/>
      <c r="C135" s="265"/>
      <c r="D135" s="265"/>
      <c r="E135" s="265"/>
      <c r="F135" s="265"/>
      <c r="G135" s="265"/>
      <c r="H135" s="265"/>
      <c r="I135" s="265"/>
      <c r="J135" s="265"/>
      <c r="K135" s="265"/>
      <c r="L135" s="265"/>
      <c r="M135" s="265"/>
      <c r="N135" s="265"/>
      <c r="O135" s="265"/>
      <c r="P135" s="11"/>
      <c r="R135" s="160"/>
      <c r="S135" s="76"/>
      <c r="U135" s="160"/>
    </row>
    <row r="136" spans="2:21" x14ac:dyDescent="0.25">
      <c r="B136" s="160"/>
      <c r="C136" s="265"/>
      <c r="D136" s="265"/>
      <c r="E136" s="265"/>
      <c r="F136" s="265"/>
      <c r="G136" s="265"/>
      <c r="H136" s="265"/>
      <c r="I136" s="265"/>
      <c r="J136" s="265"/>
      <c r="K136" s="265"/>
      <c r="L136" s="265"/>
      <c r="M136" s="265"/>
      <c r="N136" s="265"/>
      <c r="O136" s="265"/>
      <c r="P136" s="11"/>
      <c r="R136" s="160"/>
      <c r="S136" s="76"/>
      <c r="U136" s="160"/>
    </row>
    <row r="137" spans="2:21" x14ac:dyDescent="0.25">
      <c r="B137" s="160"/>
      <c r="C137" s="265"/>
      <c r="D137" s="265"/>
      <c r="E137" s="265"/>
      <c r="F137" s="265"/>
      <c r="G137" s="265"/>
      <c r="H137" s="265"/>
      <c r="I137" s="265"/>
      <c r="J137" s="265"/>
      <c r="K137" s="265"/>
      <c r="L137" s="265"/>
      <c r="M137" s="265"/>
      <c r="N137" s="265"/>
      <c r="O137" s="265"/>
      <c r="P137" s="11"/>
      <c r="R137" s="160"/>
      <c r="S137" s="76"/>
      <c r="U137" s="160"/>
    </row>
    <row r="138" spans="2:21" x14ac:dyDescent="0.25">
      <c r="B138" s="160"/>
      <c r="C138" s="265"/>
      <c r="D138" s="265"/>
      <c r="E138" s="265"/>
      <c r="F138" s="265"/>
      <c r="G138" s="265"/>
      <c r="H138" s="265"/>
      <c r="I138" s="265"/>
      <c r="J138" s="265"/>
      <c r="K138" s="265"/>
      <c r="L138" s="265"/>
      <c r="M138" s="265"/>
      <c r="N138" s="265"/>
      <c r="O138" s="265"/>
      <c r="P138" s="11"/>
      <c r="R138" s="160"/>
      <c r="S138" s="76"/>
      <c r="U138" s="160"/>
    </row>
    <row r="139" spans="2:21" x14ac:dyDescent="0.25">
      <c r="B139" s="160"/>
      <c r="C139" s="265"/>
      <c r="D139" s="265"/>
      <c r="E139" s="265"/>
      <c r="F139" s="265"/>
      <c r="G139" s="265"/>
      <c r="H139" s="265"/>
      <c r="I139" s="265"/>
      <c r="J139" s="265"/>
      <c r="K139" s="265"/>
      <c r="L139" s="265"/>
      <c r="M139" s="265"/>
      <c r="N139" s="265"/>
      <c r="O139" s="265"/>
      <c r="P139" s="11"/>
      <c r="R139" s="160"/>
      <c r="S139" s="76"/>
      <c r="U139" s="160"/>
    </row>
    <row r="140" spans="2:21" x14ac:dyDescent="0.25">
      <c r="B140" s="160"/>
      <c r="C140" s="265"/>
      <c r="D140" s="265"/>
      <c r="E140" s="265"/>
      <c r="F140" s="265"/>
      <c r="G140" s="265"/>
      <c r="H140" s="265"/>
      <c r="I140" s="265"/>
      <c r="J140" s="265"/>
      <c r="K140" s="265"/>
      <c r="L140" s="265"/>
      <c r="M140" s="265"/>
      <c r="N140" s="265"/>
      <c r="O140" s="265"/>
      <c r="P140" s="11"/>
      <c r="R140" s="160"/>
      <c r="S140" s="76"/>
      <c r="U140" s="160"/>
    </row>
    <row r="141" spans="2:21" x14ac:dyDescent="0.25">
      <c r="B141" s="160"/>
      <c r="C141" s="265"/>
      <c r="D141" s="265"/>
      <c r="E141" s="265"/>
      <c r="F141" s="265"/>
      <c r="G141" s="265"/>
      <c r="H141" s="265"/>
      <c r="I141" s="265"/>
      <c r="J141" s="265"/>
      <c r="K141" s="265"/>
      <c r="L141" s="265"/>
      <c r="M141" s="265"/>
      <c r="N141" s="265"/>
      <c r="O141" s="265"/>
      <c r="P141" s="11"/>
      <c r="R141" s="160"/>
      <c r="S141" s="76"/>
      <c r="U141" s="160"/>
    </row>
    <row r="142" spans="2:21" x14ac:dyDescent="0.25">
      <c r="B142" s="160"/>
      <c r="C142" s="265"/>
      <c r="D142" s="265"/>
      <c r="E142" s="265"/>
      <c r="F142" s="265"/>
      <c r="G142" s="265"/>
      <c r="H142" s="265"/>
      <c r="I142" s="265"/>
      <c r="J142" s="265"/>
      <c r="K142" s="265"/>
      <c r="L142" s="265"/>
      <c r="M142" s="265"/>
      <c r="N142" s="265"/>
      <c r="O142" s="265"/>
      <c r="P142" s="11"/>
      <c r="R142" s="160"/>
      <c r="S142" s="76"/>
      <c r="U142" s="160"/>
    </row>
    <row r="143" spans="2:21" x14ac:dyDescent="0.25">
      <c r="B143" s="160"/>
      <c r="C143" s="265"/>
      <c r="D143" s="265"/>
      <c r="E143" s="265"/>
      <c r="F143" s="265"/>
      <c r="G143" s="265"/>
      <c r="H143" s="265"/>
      <c r="I143" s="265"/>
      <c r="J143" s="265"/>
      <c r="K143" s="265"/>
      <c r="L143" s="265"/>
      <c r="M143" s="265"/>
      <c r="N143" s="265"/>
      <c r="O143" s="265"/>
      <c r="P143" s="11"/>
      <c r="R143" s="160"/>
      <c r="S143" s="76"/>
      <c r="U143" s="160"/>
    </row>
    <row r="144" spans="2:21" x14ac:dyDescent="0.25">
      <c r="B144" s="160"/>
      <c r="C144" s="265"/>
      <c r="D144" s="265"/>
      <c r="E144" s="265"/>
      <c r="F144" s="265"/>
      <c r="G144" s="265"/>
      <c r="H144" s="265"/>
      <c r="I144" s="265"/>
      <c r="J144" s="265"/>
      <c r="K144" s="265"/>
      <c r="L144" s="265"/>
      <c r="M144" s="265"/>
      <c r="N144" s="265"/>
      <c r="O144" s="265"/>
      <c r="P144" s="11"/>
      <c r="R144" s="160"/>
      <c r="S144" s="76"/>
      <c r="U144" s="160"/>
    </row>
    <row r="145" spans="2:21" x14ac:dyDescent="0.25">
      <c r="B145" s="160"/>
      <c r="C145" s="265"/>
      <c r="D145" s="265"/>
      <c r="E145" s="265"/>
      <c r="F145" s="265"/>
      <c r="G145" s="265"/>
      <c r="H145" s="265"/>
      <c r="I145" s="265"/>
      <c r="J145" s="265"/>
      <c r="K145" s="265"/>
      <c r="L145" s="265"/>
      <c r="M145" s="265"/>
      <c r="N145" s="265"/>
      <c r="O145" s="265"/>
      <c r="P145" s="11"/>
      <c r="R145" s="160"/>
      <c r="S145" s="76"/>
      <c r="U145" s="160"/>
    </row>
    <row r="146" spans="2:21" x14ac:dyDescent="0.25">
      <c r="B146" s="160"/>
      <c r="C146" s="265"/>
      <c r="D146" s="265"/>
      <c r="E146" s="265"/>
      <c r="F146" s="265"/>
      <c r="G146" s="265"/>
      <c r="H146" s="265"/>
      <c r="I146" s="265"/>
      <c r="J146" s="265"/>
      <c r="K146" s="265"/>
      <c r="L146" s="265"/>
      <c r="M146" s="265"/>
      <c r="N146" s="265"/>
      <c r="O146" s="265"/>
      <c r="P146" s="11"/>
      <c r="R146" s="160"/>
      <c r="S146" s="76"/>
      <c r="U146" s="160"/>
    </row>
    <row r="147" spans="2:21" x14ac:dyDescent="0.25">
      <c r="B147" s="160"/>
      <c r="C147" s="265"/>
      <c r="D147" s="265"/>
      <c r="E147" s="265"/>
      <c r="F147" s="265"/>
      <c r="G147" s="265"/>
      <c r="H147" s="265"/>
      <c r="I147" s="265"/>
      <c r="J147" s="265"/>
      <c r="K147" s="265"/>
      <c r="L147" s="265"/>
      <c r="M147" s="265"/>
      <c r="N147" s="265"/>
      <c r="O147" s="265"/>
      <c r="P147" s="11"/>
      <c r="R147" s="160"/>
      <c r="S147" s="76"/>
      <c r="U147" s="160"/>
    </row>
    <row r="148" spans="2:21" x14ac:dyDescent="0.25">
      <c r="B148" s="160"/>
      <c r="C148" s="265"/>
      <c r="D148" s="265"/>
      <c r="E148" s="265"/>
      <c r="F148" s="265"/>
      <c r="G148" s="265"/>
      <c r="H148" s="265"/>
      <c r="I148" s="265"/>
      <c r="J148" s="265"/>
      <c r="K148" s="265"/>
      <c r="L148" s="265"/>
      <c r="M148" s="265"/>
      <c r="N148" s="265"/>
      <c r="O148" s="265"/>
      <c r="P148" s="11"/>
      <c r="R148" s="160"/>
      <c r="S148" s="76"/>
      <c r="U148" s="160"/>
    </row>
    <row r="149" spans="2:21" x14ac:dyDescent="0.25">
      <c r="B149" s="160"/>
      <c r="C149" s="265"/>
      <c r="D149" s="265"/>
      <c r="E149" s="265"/>
      <c r="F149" s="265"/>
      <c r="G149" s="265"/>
      <c r="H149" s="265"/>
      <c r="I149" s="265"/>
      <c r="J149" s="265"/>
      <c r="K149" s="265"/>
      <c r="L149" s="265"/>
      <c r="M149" s="265"/>
      <c r="N149" s="265"/>
      <c r="O149" s="265"/>
      <c r="P149" s="11"/>
      <c r="R149" s="160"/>
      <c r="S149" s="76"/>
      <c r="U149" s="160"/>
    </row>
    <row r="150" spans="2:21" x14ac:dyDescent="0.25">
      <c r="B150" s="160"/>
      <c r="C150" s="265"/>
      <c r="D150" s="265"/>
      <c r="E150" s="265"/>
      <c r="F150" s="265"/>
      <c r="G150" s="265"/>
      <c r="H150" s="265"/>
      <c r="I150" s="265"/>
      <c r="J150" s="265"/>
      <c r="K150" s="265"/>
      <c r="L150" s="265"/>
      <c r="M150" s="265"/>
      <c r="N150" s="265"/>
      <c r="O150" s="265"/>
      <c r="P150" s="11"/>
      <c r="R150" s="160"/>
      <c r="S150" s="76"/>
      <c r="U150" s="160"/>
    </row>
    <row r="151" spans="2:21" x14ac:dyDescent="0.25">
      <c r="B151" s="160"/>
      <c r="C151" s="265"/>
      <c r="D151" s="265"/>
      <c r="E151" s="265"/>
      <c r="F151" s="265"/>
      <c r="G151" s="265"/>
      <c r="H151" s="265"/>
      <c r="I151" s="265"/>
      <c r="J151" s="265"/>
      <c r="K151" s="265"/>
      <c r="L151" s="265"/>
      <c r="M151" s="265"/>
      <c r="N151" s="265"/>
      <c r="O151" s="265"/>
      <c r="P151" s="11"/>
      <c r="R151" s="160"/>
      <c r="S151" s="76"/>
      <c r="U151" s="160"/>
    </row>
    <row r="152" spans="2:21" x14ac:dyDescent="0.25">
      <c r="B152" s="160"/>
      <c r="C152" s="265"/>
      <c r="D152" s="265"/>
      <c r="E152" s="265"/>
      <c r="F152" s="265"/>
      <c r="G152" s="265"/>
      <c r="H152" s="265"/>
      <c r="I152" s="265"/>
      <c r="J152" s="265"/>
      <c r="K152" s="265"/>
      <c r="L152" s="265"/>
      <c r="M152" s="265"/>
      <c r="N152" s="265"/>
      <c r="O152" s="265"/>
      <c r="P152" s="11"/>
      <c r="R152" s="160"/>
      <c r="S152" s="76"/>
      <c r="U152" s="160"/>
    </row>
    <row r="153" spans="2:21" x14ac:dyDescent="0.25">
      <c r="B153" s="160"/>
      <c r="C153" s="265"/>
      <c r="D153" s="265"/>
      <c r="E153" s="265"/>
      <c r="F153" s="265"/>
      <c r="G153" s="265"/>
      <c r="H153" s="265"/>
      <c r="I153" s="265"/>
      <c r="J153" s="265"/>
      <c r="K153" s="265"/>
      <c r="L153" s="265"/>
      <c r="M153" s="265"/>
      <c r="N153" s="265"/>
      <c r="O153" s="265"/>
      <c r="P153" s="11"/>
      <c r="R153" s="160"/>
      <c r="S153" s="76"/>
      <c r="U153" s="160"/>
    </row>
    <row r="154" spans="2:21" x14ac:dyDescent="0.25">
      <c r="B154" s="160"/>
      <c r="C154" s="265"/>
      <c r="D154" s="265"/>
      <c r="E154" s="265"/>
      <c r="F154" s="265"/>
      <c r="G154" s="265"/>
      <c r="H154" s="265"/>
      <c r="I154" s="265"/>
      <c r="J154" s="265"/>
      <c r="K154" s="265"/>
      <c r="L154" s="265"/>
      <c r="M154" s="265"/>
      <c r="N154" s="265"/>
      <c r="O154" s="265"/>
      <c r="P154" s="11"/>
      <c r="R154" s="160"/>
      <c r="S154" s="76"/>
      <c r="U154" s="160"/>
    </row>
    <row r="155" spans="2:21" x14ac:dyDescent="0.25">
      <c r="B155" s="160"/>
      <c r="C155" s="265"/>
      <c r="D155" s="265"/>
      <c r="E155" s="265"/>
      <c r="F155" s="265"/>
      <c r="G155" s="265"/>
      <c r="H155" s="265"/>
      <c r="I155" s="265"/>
      <c r="J155" s="265"/>
      <c r="K155" s="265"/>
      <c r="L155" s="265"/>
      <c r="M155" s="265"/>
      <c r="N155" s="265"/>
      <c r="O155" s="265"/>
      <c r="P155" s="11"/>
      <c r="R155" s="160"/>
      <c r="S155" s="76"/>
      <c r="U155" s="160"/>
    </row>
    <row r="156" spans="2:21" x14ac:dyDescent="0.25">
      <c r="B156" s="160"/>
      <c r="C156" s="265"/>
      <c r="D156" s="265"/>
      <c r="E156" s="265"/>
      <c r="F156" s="265"/>
      <c r="G156" s="265"/>
      <c r="H156" s="265"/>
      <c r="I156" s="265"/>
      <c r="J156" s="265"/>
      <c r="K156" s="265"/>
      <c r="L156" s="265"/>
      <c r="M156" s="265"/>
      <c r="N156" s="265"/>
      <c r="O156" s="265"/>
      <c r="P156" s="11"/>
      <c r="R156" s="160"/>
      <c r="S156" s="76"/>
      <c r="U156" s="160"/>
    </row>
    <row r="157" spans="2:21" x14ac:dyDescent="0.25">
      <c r="B157" s="160"/>
      <c r="C157" s="265"/>
      <c r="D157" s="265"/>
      <c r="E157" s="265"/>
      <c r="F157" s="265"/>
      <c r="G157" s="265"/>
      <c r="H157" s="265"/>
      <c r="I157" s="265"/>
      <c r="J157" s="265"/>
      <c r="K157" s="265"/>
      <c r="L157" s="265"/>
      <c r="M157" s="265"/>
      <c r="N157" s="265"/>
      <c r="O157" s="265"/>
      <c r="P157" s="11"/>
      <c r="R157" s="160"/>
      <c r="S157" s="76"/>
      <c r="U157" s="160"/>
    </row>
    <row r="158" spans="2:21" x14ac:dyDescent="0.25">
      <c r="B158" s="160"/>
      <c r="C158" s="265"/>
      <c r="D158" s="265"/>
      <c r="E158" s="265"/>
      <c r="F158" s="265"/>
      <c r="G158" s="265"/>
      <c r="H158" s="265"/>
      <c r="I158" s="265"/>
      <c r="J158" s="265"/>
      <c r="K158" s="265"/>
      <c r="L158" s="265"/>
      <c r="M158" s="265"/>
      <c r="N158" s="265"/>
      <c r="O158" s="265"/>
      <c r="P158" s="11"/>
      <c r="R158" s="160"/>
      <c r="S158" s="76"/>
      <c r="U158" s="160"/>
    </row>
    <row r="159" spans="2:21" x14ac:dyDescent="0.25">
      <c r="B159" s="160"/>
      <c r="C159" s="265"/>
      <c r="D159" s="265"/>
      <c r="E159" s="265"/>
      <c r="F159" s="265"/>
      <c r="G159" s="265"/>
      <c r="H159" s="265"/>
      <c r="I159" s="265"/>
      <c r="J159" s="265"/>
      <c r="K159" s="265"/>
      <c r="L159" s="265"/>
      <c r="M159" s="265"/>
      <c r="N159" s="265"/>
      <c r="O159" s="265"/>
      <c r="P159" s="11"/>
      <c r="R159" s="160"/>
      <c r="S159" s="76"/>
      <c r="U159" s="160"/>
    </row>
    <row r="160" spans="2:21" x14ac:dyDescent="0.25">
      <c r="B160" s="160"/>
      <c r="C160" s="265"/>
      <c r="D160" s="265"/>
      <c r="E160" s="265"/>
      <c r="F160" s="265"/>
      <c r="G160" s="265"/>
      <c r="H160" s="265"/>
      <c r="I160" s="265"/>
      <c r="J160" s="265"/>
      <c r="K160" s="265"/>
      <c r="L160" s="265"/>
      <c r="M160" s="265"/>
      <c r="N160" s="265"/>
      <c r="O160" s="265"/>
      <c r="P160" s="11"/>
      <c r="R160" s="160"/>
      <c r="S160" s="76"/>
      <c r="U160" s="160"/>
    </row>
    <row r="161" spans="2:21" x14ac:dyDescent="0.25">
      <c r="B161" s="160"/>
      <c r="C161" s="265"/>
      <c r="D161" s="265"/>
      <c r="E161" s="265"/>
      <c r="F161" s="265"/>
      <c r="G161" s="265"/>
      <c r="H161" s="265"/>
      <c r="I161" s="265"/>
      <c r="J161" s="265"/>
      <c r="K161" s="265"/>
      <c r="L161" s="265"/>
      <c r="M161" s="265"/>
      <c r="N161" s="265"/>
      <c r="O161" s="265"/>
      <c r="P161" s="11"/>
      <c r="R161" s="160"/>
      <c r="S161" s="76"/>
      <c r="U161" s="160"/>
    </row>
    <row r="162" spans="2:21" x14ac:dyDescent="0.25">
      <c r="B162" s="160"/>
      <c r="C162" s="265"/>
      <c r="D162" s="265"/>
      <c r="E162" s="265"/>
      <c r="F162" s="265"/>
      <c r="G162" s="265"/>
      <c r="H162" s="265"/>
      <c r="I162" s="265"/>
      <c r="J162" s="265"/>
      <c r="K162" s="265"/>
      <c r="L162" s="265"/>
      <c r="M162" s="265"/>
      <c r="N162" s="265"/>
      <c r="O162" s="265"/>
      <c r="P162" s="11"/>
      <c r="R162" s="160"/>
      <c r="S162" s="76"/>
      <c r="U162" s="160"/>
    </row>
    <row r="163" spans="2:21" x14ac:dyDescent="0.25">
      <c r="B163" s="160"/>
      <c r="C163" s="265"/>
      <c r="D163" s="265"/>
      <c r="E163" s="265"/>
      <c r="F163" s="265"/>
      <c r="G163" s="265"/>
      <c r="H163" s="265"/>
      <c r="I163" s="265"/>
      <c r="J163" s="265"/>
      <c r="K163" s="265"/>
      <c r="L163" s="265"/>
      <c r="M163" s="265"/>
      <c r="N163" s="265"/>
      <c r="O163" s="265"/>
      <c r="P163" s="11"/>
      <c r="R163" s="160"/>
      <c r="S163" s="76"/>
      <c r="U163" s="160"/>
    </row>
    <row r="164" spans="2:21" x14ac:dyDescent="0.25">
      <c r="B164" s="160"/>
      <c r="C164" s="265"/>
      <c r="D164" s="265"/>
      <c r="E164" s="265"/>
      <c r="F164" s="265"/>
      <c r="G164" s="265"/>
      <c r="H164" s="265"/>
      <c r="I164" s="265"/>
      <c r="J164" s="265"/>
      <c r="K164" s="265"/>
      <c r="L164" s="265"/>
      <c r="M164" s="265"/>
      <c r="N164" s="265"/>
      <c r="O164" s="265"/>
      <c r="P164" s="11"/>
      <c r="R164" s="160"/>
      <c r="S164" s="76"/>
      <c r="U164" s="160"/>
    </row>
    <row r="165" spans="2:21" x14ac:dyDescent="0.25">
      <c r="B165" s="160"/>
      <c r="C165" s="265"/>
      <c r="D165" s="265"/>
      <c r="E165" s="265"/>
      <c r="F165" s="265"/>
      <c r="G165" s="265"/>
      <c r="H165" s="265"/>
      <c r="I165" s="265"/>
      <c r="J165" s="265"/>
      <c r="K165" s="265"/>
      <c r="L165" s="265"/>
      <c r="M165" s="265"/>
      <c r="N165" s="265"/>
      <c r="O165" s="265"/>
      <c r="P165" s="11"/>
      <c r="R165" s="160"/>
      <c r="S165" s="76"/>
      <c r="U165" s="160"/>
    </row>
    <row r="166" spans="2:21" x14ac:dyDescent="0.25">
      <c r="B166" s="160"/>
      <c r="C166" s="265"/>
      <c r="D166" s="265"/>
      <c r="E166" s="265"/>
      <c r="F166" s="265"/>
      <c r="G166" s="265"/>
      <c r="H166" s="265"/>
      <c r="I166" s="265"/>
      <c r="J166" s="265"/>
      <c r="K166" s="265"/>
      <c r="L166" s="265"/>
      <c r="M166" s="265"/>
      <c r="N166" s="265"/>
      <c r="O166" s="265"/>
      <c r="P166" s="11"/>
      <c r="R166" s="160"/>
      <c r="S166" s="76"/>
      <c r="U166" s="160"/>
    </row>
    <row r="167" spans="2:21" x14ac:dyDescent="0.25">
      <c r="B167" s="160"/>
      <c r="C167" s="265"/>
      <c r="D167" s="265"/>
      <c r="E167" s="265"/>
      <c r="F167" s="265"/>
      <c r="G167" s="265"/>
      <c r="H167" s="265"/>
      <c r="I167" s="265"/>
      <c r="J167" s="265"/>
      <c r="K167" s="265"/>
      <c r="L167" s="265"/>
      <c r="M167" s="265"/>
      <c r="N167" s="265"/>
      <c r="O167" s="265"/>
      <c r="P167" s="11"/>
      <c r="R167" s="160"/>
      <c r="S167" s="76"/>
      <c r="U167" s="160"/>
    </row>
    <row r="168" spans="2:21" x14ac:dyDescent="0.25">
      <c r="B168" s="160"/>
      <c r="C168" s="265"/>
      <c r="D168" s="265"/>
      <c r="E168" s="265"/>
      <c r="F168" s="265"/>
      <c r="G168" s="265"/>
      <c r="H168" s="265"/>
      <c r="I168" s="265"/>
      <c r="J168" s="265"/>
      <c r="K168" s="265"/>
      <c r="L168" s="265"/>
      <c r="M168" s="265"/>
      <c r="N168" s="265"/>
      <c r="O168" s="265"/>
      <c r="P168" s="11"/>
      <c r="R168" s="160"/>
      <c r="S168" s="76"/>
      <c r="U168" s="160"/>
    </row>
    <row r="169" spans="2:21" x14ac:dyDescent="0.25">
      <c r="B169" s="160"/>
      <c r="C169" s="265"/>
      <c r="D169" s="265"/>
      <c r="E169" s="265"/>
      <c r="F169" s="265"/>
      <c r="G169" s="265"/>
      <c r="H169" s="265"/>
      <c r="I169" s="265"/>
      <c r="J169" s="265"/>
      <c r="K169" s="265"/>
      <c r="L169" s="265"/>
      <c r="M169" s="265"/>
      <c r="N169" s="265"/>
      <c r="O169" s="265"/>
      <c r="P169" s="11"/>
      <c r="R169" s="160"/>
      <c r="S169" s="76"/>
      <c r="U169" s="160"/>
    </row>
    <row r="170" spans="2:21" x14ac:dyDescent="0.25">
      <c r="B170" s="160"/>
      <c r="C170" s="265"/>
      <c r="D170" s="265"/>
      <c r="E170" s="265"/>
      <c r="F170" s="265"/>
      <c r="G170" s="265"/>
      <c r="H170" s="265"/>
      <c r="I170" s="265"/>
      <c r="J170" s="265"/>
      <c r="K170" s="265"/>
      <c r="L170" s="265"/>
      <c r="M170" s="265"/>
      <c r="N170" s="265"/>
      <c r="O170" s="265"/>
      <c r="P170" s="11"/>
      <c r="R170" s="160"/>
      <c r="S170" s="76"/>
      <c r="U170" s="160"/>
    </row>
    <row r="171" spans="2:21" x14ac:dyDescent="0.25">
      <c r="B171" s="160"/>
      <c r="C171" s="265"/>
      <c r="D171" s="265"/>
      <c r="E171" s="265"/>
      <c r="F171" s="265"/>
      <c r="G171" s="265"/>
      <c r="H171" s="265"/>
      <c r="I171" s="265"/>
      <c r="J171" s="265"/>
      <c r="K171" s="265"/>
      <c r="L171" s="265"/>
      <c r="M171" s="265"/>
      <c r="N171" s="265"/>
      <c r="O171" s="265"/>
      <c r="P171" s="11"/>
      <c r="R171" s="160"/>
      <c r="S171" s="76"/>
      <c r="U171" s="160"/>
    </row>
    <row r="172" spans="2:21" x14ac:dyDescent="0.25">
      <c r="B172" s="160"/>
      <c r="C172" s="265"/>
      <c r="D172" s="265"/>
      <c r="E172" s="265"/>
      <c r="F172" s="265"/>
      <c r="G172" s="265"/>
      <c r="H172" s="265"/>
      <c r="I172" s="265"/>
      <c r="J172" s="265"/>
      <c r="K172" s="265"/>
      <c r="L172" s="265"/>
      <c r="M172" s="265"/>
      <c r="N172" s="265"/>
      <c r="O172" s="265"/>
      <c r="P172" s="11"/>
      <c r="R172" s="160"/>
      <c r="S172" s="76"/>
      <c r="U172" s="160"/>
    </row>
  </sheetData>
  <sheetProtection algorithmName="SHA-512" hashValue="0vuRfMtZc1aKUX0iHTwlGDhF8DAc2kjZJ31lebgSOJ/4eLTo9TcstbUM9Y6oRXXcu4qEfkCjpvl1b1I8aV5fiQ==" saltValue="WL1SkEEtmfei7Hor9keFLw==" spinCount="100000" sheet="1" formatCells="0" formatColumns="0" formatRows="0"/>
  <conditionalFormatting sqref="C5:P172">
    <cfRule type="cellIs" dxfId="9" priority="6" operator="equal">
      <formula>""</formula>
    </cfRule>
    <cfRule type="cellIs" dxfId="8" priority="7" operator="greaterThanOrEqual">
      <formula>4</formula>
    </cfRule>
    <cfRule type="cellIs" dxfId="7" priority="8" operator="equal">
      <formula>3</formula>
    </cfRule>
    <cfRule type="cellIs" dxfId="6" priority="9" operator="equal">
      <formula>2</formula>
    </cfRule>
    <cfRule type="cellIs" dxfId="5" priority="10" operator="equal">
      <formula>1</formula>
    </cfRule>
  </conditionalFormatting>
  <conditionalFormatting sqref="S5:S172">
    <cfRule type="cellIs" dxfId="4" priority="2" operator="equal">
      <formula>""</formula>
    </cfRule>
    <cfRule type="cellIs" dxfId="3" priority="3" operator="greaterThanOrEqual">
      <formula>4</formula>
    </cfRule>
    <cfRule type="cellIs" dxfId="2" priority="4" operator="equal">
      <formula>2</formula>
    </cfRule>
    <cfRule type="cellIs" dxfId="1" priority="5" operator="greaterThanOrEqual">
      <formula>3</formula>
    </cfRule>
  </conditionalFormatting>
  <conditionalFormatting sqref="U5:U172">
    <cfRule type="cellIs" dxfId="0" priority="1" operator="notEqual">
      <formula>""""""</formula>
    </cfRule>
  </conditionalFormatting>
  <printOptions horizontalCentered="1"/>
  <pageMargins left="0.25" right="0.25" top="0.25" bottom="0.25" header="0.3" footer="0.3"/>
  <pageSetup scale="99" fitToHeight="0" orientation="landscape" r:id="rId1"/>
  <colBreaks count="1" manualBreakCount="1">
    <brk id="17"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1D96FC-D777-4337-B265-CB868D0B3152}">
  <dimension ref="A1:AI36"/>
  <sheetViews>
    <sheetView zoomScaleNormal="100" workbookViewId="0">
      <pane ySplit="2" topLeftCell="A3" activePane="bottomLeft" state="frozen"/>
      <selection pane="bottomLeft" activeCell="B3" sqref="B3"/>
    </sheetView>
  </sheetViews>
  <sheetFormatPr defaultRowHeight="15" x14ac:dyDescent="0.25"/>
  <cols>
    <col min="1" max="1" width="11.28515625" customWidth="1"/>
    <col min="2" max="2" width="10.7109375" customWidth="1"/>
    <col min="3" max="3" width="1.7109375" customWidth="1"/>
    <col min="4" max="4" width="11.28515625" customWidth="1"/>
    <col min="5" max="5" width="10.7109375" customWidth="1"/>
    <col min="6" max="6" width="1.7109375" customWidth="1"/>
    <col min="7" max="7" width="11.28515625" customWidth="1"/>
    <col min="8" max="8" width="10.7109375" customWidth="1"/>
    <col min="9" max="9" width="1.7109375" customWidth="1"/>
    <col min="10" max="10" width="11.28515625" customWidth="1"/>
    <col min="11" max="11" width="10.7109375" customWidth="1"/>
    <col min="12" max="12" width="1.7109375" customWidth="1"/>
    <col min="13" max="13" width="11.28515625" customWidth="1"/>
    <col min="14" max="14" width="10.7109375" customWidth="1"/>
    <col min="15" max="15" width="1.7109375" customWidth="1"/>
    <col min="16" max="16" width="11.28515625" customWidth="1"/>
    <col min="17" max="17" width="10.7109375" customWidth="1"/>
    <col min="18" max="18" width="1.7109375" customWidth="1"/>
    <col min="19" max="19" width="11.28515625" customWidth="1"/>
    <col min="20" max="20" width="10.7109375" customWidth="1"/>
    <col min="21" max="21" width="1.7109375" customWidth="1"/>
    <col min="22" max="22" width="11.28515625" customWidth="1"/>
    <col min="23" max="23" width="10.7109375" customWidth="1"/>
    <col min="24" max="24" width="1.7109375" customWidth="1"/>
    <col min="25" max="25" width="11.28515625" customWidth="1"/>
    <col min="26" max="26" width="10.7109375" customWidth="1"/>
    <col min="27" max="27" width="1.7109375" customWidth="1"/>
    <col min="28" max="28" width="11.28515625" customWidth="1"/>
    <col min="29" max="29" width="10.7109375" customWidth="1"/>
    <col min="30" max="30" width="1.7109375" customWidth="1"/>
    <col min="31" max="31" width="11.28515625" customWidth="1"/>
    <col min="32" max="32" width="10.7109375" customWidth="1"/>
    <col min="33" max="33" width="1.7109375" customWidth="1"/>
    <col min="34" max="34" width="11.28515625" customWidth="1"/>
    <col min="35" max="35" width="10.7109375" customWidth="1"/>
  </cols>
  <sheetData>
    <row r="1" spans="1:35" s="13" customFormat="1" ht="15.75" x14ac:dyDescent="0.25">
      <c r="A1" s="207" t="s">
        <v>28</v>
      </c>
      <c r="B1" s="208" t="str">
        <f>IF(Jan!$C$1=0,"",Jan!$C$1)</f>
        <v/>
      </c>
      <c r="D1" s="207" t="s">
        <v>28</v>
      </c>
      <c r="E1" s="208" t="str">
        <f>IF(Jan!$C$1=0,"",Jan!$C$1)</f>
        <v/>
      </c>
      <c r="G1" s="207" t="s">
        <v>28</v>
      </c>
      <c r="H1" s="208" t="str">
        <f>IF(Jan!$C$1=0,"",Jan!$C$1)</f>
        <v/>
      </c>
      <c r="J1" s="207" t="s">
        <v>28</v>
      </c>
      <c r="K1" s="208" t="str">
        <f>IF(Jan!$C$1=0,"",Jan!$C$1)</f>
        <v/>
      </c>
      <c r="M1" s="207" t="s">
        <v>28</v>
      </c>
      <c r="N1" s="208" t="str">
        <f>IF(Jan!$C$1=0,"",Jan!$C$1)</f>
        <v/>
      </c>
      <c r="P1" s="207" t="s">
        <v>28</v>
      </c>
      <c r="Q1" s="208" t="str">
        <f>IF(Jan!$C$1=0,"",Jan!$C$1)</f>
        <v/>
      </c>
      <c r="S1" s="207" t="s">
        <v>28</v>
      </c>
      <c r="T1" s="208" t="str">
        <f>IF(Jan!$C$1=0,"",Jan!$C$1)</f>
        <v/>
      </c>
      <c r="V1" s="207" t="s">
        <v>28</v>
      </c>
      <c r="W1" s="208" t="str">
        <f>IF(Jan!$C$1=0,"",Jan!$C$1)</f>
        <v/>
      </c>
      <c r="Y1" s="207" t="s">
        <v>28</v>
      </c>
      <c r="Z1" s="208" t="str">
        <f>IF(Jan!$C$1=0,"",Jan!$C$1)</f>
        <v/>
      </c>
      <c r="AB1" s="207" t="s">
        <v>28</v>
      </c>
      <c r="AC1" s="208" t="str">
        <f>IF(Jan!$C$1=0,"",Jan!$C$1)</f>
        <v/>
      </c>
      <c r="AE1" s="207" t="s">
        <v>28</v>
      </c>
      <c r="AF1" s="208" t="str">
        <f>IF(Jan!$C$1=0,"",Jan!$C$1)</f>
        <v/>
      </c>
      <c r="AH1" s="207" t="s">
        <v>28</v>
      </c>
      <c r="AI1" s="208" t="str">
        <f>IF(Jan!$C$1=0,"",Jan!$C$1)</f>
        <v/>
      </c>
    </row>
    <row r="2" spans="1:35" x14ac:dyDescent="0.25">
      <c r="A2" t="s">
        <v>58</v>
      </c>
      <c r="B2" t="s">
        <v>55</v>
      </c>
      <c r="D2" t="s">
        <v>5</v>
      </c>
      <c r="E2" t="s">
        <v>55</v>
      </c>
      <c r="G2" t="s">
        <v>6</v>
      </c>
      <c r="H2" t="s">
        <v>55</v>
      </c>
      <c r="J2" t="s">
        <v>7</v>
      </c>
      <c r="K2" t="s">
        <v>55</v>
      </c>
      <c r="M2" t="s">
        <v>8</v>
      </c>
      <c r="N2" t="s">
        <v>55</v>
      </c>
      <c r="P2" t="s">
        <v>9</v>
      </c>
      <c r="Q2" t="s">
        <v>55</v>
      </c>
      <c r="S2" t="s">
        <v>10</v>
      </c>
      <c r="T2" t="s">
        <v>55</v>
      </c>
      <c r="V2" t="s">
        <v>11</v>
      </c>
      <c r="W2" t="s">
        <v>55</v>
      </c>
      <c r="Y2" t="s">
        <v>12</v>
      </c>
      <c r="Z2" t="s">
        <v>55</v>
      </c>
      <c r="AB2" t="s">
        <v>13</v>
      </c>
      <c r="AC2" t="s">
        <v>55</v>
      </c>
      <c r="AE2" t="s">
        <v>14</v>
      </c>
      <c r="AF2" t="s">
        <v>55</v>
      </c>
      <c r="AH2" t="s">
        <v>15</v>
      </c>
      <c r="AI2" t="s">
        <v>55</v>
      </c>
    </row>
    <row r="3" spans="1:35" x14ac:dyDescent="0.25">
      <c r="A3" s="209">
        <v>1</v>
      </c>
      <c r="B3" s="259"/>
      <c r="D3" s="209">
        <v>1</v>
      </c>
      <c r="E3" s="259"/>
      <c r="G3" s="209">
        <v>1</v>
      </c>
      <c r="H3" s="259"/>
      <c r="J3" s="209">
        <v>1</v>
      </c>
      <c r="K3" s="259"/>
      <c r="M3" s="209">
        <v>1</v>
      </c>
      <c r="N3" s="259"/>
      <c r="P3" s="209">
        <v>1</v>
      </c>
      <c r="Q3" s="259"/>
      <c r="S3" s="209">
        <v>1</v>
      </c>
      <c r="T3" s="259"/>
      <c r="V3" s="209">
        <v>1</v>
      </c>
      <c r="W3" s="259"/>
      <c r="Y3" s="209">
        <v>1</v>
      </c>
      <c r="Z3" s="259"/>
      <c r="AB3" s="209">
        <v>1</v>
      </c>
      <c r="AC3" s="259"/>
      <c r="AE3" s="209">
        <v>1</v>
      </c>
      <c r="AF3" s="259"/>
      <c r="AH3" s="209">
        <v>1</v>
      </c>
      <c r="AI3" s="259"/>
    </row>
    <row r="4" spans="1:35" x14ac:dyDescent="0.25">
      <c r="A4" s="209">
        <v>2</v>
      </c>
      <c r="B4" s="259"/>
      <c r="D4" s="209">
        <v>2</v>
      </c>
      <c r="E4" s="259"/>
      <c r="G4" s="209">
        <v>2</v>
      </c>
      <c r="H4" s="259"/>
      <c r="J4" s="209">
        <v>2</v>
      </c>
      <c r="K4" s="259"/>
      <c r="M4" s="209">
        <v>2</v>
      </c>
      <c r="N4" s="259"/>
      <c r="P4" s="209">
        <v>2</v>
      </c>
      <c r="Q4" s="259"/>
      <c r="S4" s="209">
        <v>2</v>
      </c>
      <c r="T4" s="259"/>
      <c r="V4" s="209">
        <v>2</v>
      </c>
      <c r="W4" s="259"/>
      <c r="Y4" s="209">
        <v>2</v>
      </c>
      <c r="Z4" s="259"/>
      <c r="AB4" s="209">
        <v>2</v>
      </c>
      <c r="AC4" s="259"/>
      <c r="AE4" s="209">
        <v>2</v>
      </c>
      <c r="AF4" s="259"/>
      <c r="AH4" s="209">
        <v>2</v>
      </c>
      <c r="AI4" s="259"/>
    </row>
    <row r="5" spans="1:35" x14ac:dyDescent="0.25">
      <c r="A5" s="209">
        <v>3</v>
      </c>
      <c r="B5" s="259"/>
      <c r="D5" s="209">
        <v>3</v>
      </c>
      <c r="E5" s="259"/>
      <c r="G5" s="209">
        <v>3</v>
      </c>
      <c r="H5" s="259"/>
      <c r="J5" s="209">
        <v>3</v>
      </c>
      <c r="K5" s="259"/>
      <c r="M5" s="209">
        <v>3</v>
      </c>
      <c r="N5" s="259"/>
      <c r="P5" s="209">
        <v>3</v>
      </c>
      <c r="Q5" s="259"/>
      <c r="S5" s="209">
        <v>3</v>
      </c>
      <c r="T5" s="259"/>
      <c r="V5" s="209">
        <v>3</v>
      </c>
      <c r="W5" s="259"/>
      <c r="Y5" s="209">
        <v>3</v>
      </c>
      <c r="Z5" s="259"/>
      <c r="AB5" s="209">
        <v>3</v>
      </c>
      <c r="AC5" s="259"/>
      <c r="AE5" s="209">
        <v>3</v>
      </c>
      <c r="AF5" s="259"/>
      <c r="AH5" s="209">
        <v>3</v>
      </c>
      <c r="AI5" s="259"/>
    </row>
    <row r="6" spans="1:35" x14ac:dyDescent="0.25">
      <c r="A6" s="209">
        <v>4</v>
      </c>
      <c r="B6" s="259"/>
      <c r="D6" s="209">
        <v>4</v>
      </c>
      <c r="E6" s="259"/>
      <c r="G6" s="209">
        <v>4</v>
      </c>
      <c r="H6" s="259"/>
      <c r="J6" s="209">
        <v>4</v>
      </c>
      <c r="K6" s="259"/>
      <c r="M6" s="209">
        <v>4</v>
      </c>
      <c r="N6" s="259"/>
      <c r="P6" s="209">
        <v>4</v>
      </c>
      <c r="Q6" s="259"/>
      <c r="S6" s="209">
        <v>4</v>
      </c>
      <c r="T6" s="259"/>
      <c r="V6" s="209">
        <v>4</v>
      </c>
      <c r="W6" s="259"/>
      <c r="Y6" s="209">
        <v>4</v>
      </c>
      <c r="Z6" s="259"/>
      <c r="AB6" s="209">
        <v>4</v>
      </c>
      <c r="AC6" s="259"/>
      <c r="AE6" s="209">
        <v>4</v>
      </c>
      <c r="AF6" s="259"/>
      <c r="AH6" s="209">
        <v>4</v>
      </c>
      <c r="AI6" s="259"/>
    </row>
    <row r="7" spans="1:35" x14ac:dyDescent="0.25">
      <c r="A7" s="209">
        <v>5</v>
      </c>
      <c r="B7" s="259"/>
      <c r="D7" s="209">
        <v>5</v>
      </c>
      <c r="E7" s="259"/>
      <c r="G7" s="209">
        <v>5</v>
      </c>
      <c r="H7" s="259"/>
      <c r="J7" s="209">
        <v>5</v>
      </c>
      <c r="K7" s="259"/>
      <c r="M7" s="209">
        <v>5</v>
      </c>
      <c r="N7" s="259"/>
      <c r="P7" s="209">
        <v>5</v>
      </c>
      <c r="Q7" s="259"/>
      <c r="S7" s="209">
        <v>5</v>
      </c>
      <c r="T7" s="259"/>
      <c r="V7" s="209">
        <v>5</v>
      </c>
      <c r="W7" s="259"/>
      <c r="Y7" s="209">
        <v>5</v>
      </c>
      <c r="Z7" s="259"/>
      <c r="AB7" s="209">
        <v>5</v>
      </c>
      <c r="AC7" s="259"/>
      <c r="AE7" s="209">
        <v>5</v>
      </c>
      <c r="AF7" s="259"/>
      <c r="AH7" s="209">
        <v>5</v>
      </c>
      <c r="AI7" s="259"/>
    </row>
    <row r="8" spans="1:35" x14ac:dyDescent="0.25">
      <c r="A8" s="209">
        <v>6</v>
      </c>
      <c r="B8" s="259"/>
      <c r="D8" s="209">
        <v>6</v>
      </c>
      <c r="E8" s="259"/>
      <c r="G8" s="209">
        <v>6</v>
      </c>
      <c r="H8" s="259"/>
      <c r="J8" s="209">
        <v>6</v>
      </c>
      <c r="K8" s="259"/>
      <c r="M8" s="209">
        <v>6</v>
      </c>
      <c r="N8" s="259"/>
      <c r="P8" s="209">
        <v>6</v>
      </c>
      <c r="Q8" s="259"/>
      <c r="S8" s="209">
        <v>6</v>
      </c>
      <c r="T8" s="259"/>
      <c r="V8" s="209">
        <v>6</v>
      </c>
      <c r="W8" s="259"/>
      <c r="Y8" s="209">
        <v>6</v>
      </c>
      <c r="Z8" s="259"/>
      <c r="AB8" s="209">
        <v>6</v>
      </c>
      <c r="AC8" s="259"/>
      <c r="AE8" s="209">
        <v>6</v>
      </c>
      <c r="AF8" s="259"/>
      <c r="AH8" s="209">
        <v>6</v>
      </c>
      <c r="AI8" s="259"/>
    </row>
    <row r="9" spans="1:35" x14ac:dyDescent="0.25">
      <c r="A9" s="209">
        <v>7</v>
      </c>
      <c r="B9" s="259"/>
      <c r="D9" s="209">
        <v>7</v>
      </c>
      <c r="E9" s="259"/>
      <c r="G9" s="209">
        <v>7</v>
      </c>
      <c r="H9" s="259"/>
      <c r="J9" s="209">
        <v>7</v>
      </c>
      <c r="K9" s="259"/>
      <c r="M9" s="209">
        <v>7</v>
      </c>
      <c r="N9" s="259"/>
      <c r="P9" s="209">
        <v>7</v>
      </c>
      <c r="Q9" s="259"/>
      <c r="S9" s="209">
        <v>7</v>
      </c>
      <c r="T9" s="259"/>
      <c r="V9" s="209">
        <v>7</v>
      </c>
      <c r="W9" s="259"/>
      <c r="Y9" s="209">
        <v>7</v>
      </c>
      <c r="Z9" s="259"/>
      <c r="AB9" s="209">
        <v>7</v>
      </c>
      <c r="AC9" s="259"/>
      <c r="AE9" s="209">
        <v>7</v>
      </c>
      <c r="AF9" s="259"/>
      <c r="AH9" s="209">
        <v>7</v>
      </c>
      <c r="AI9" s="259"/>
    </row>
    <row r="10" spans="1:35" x14ac:dyDescent="0.25">
      <c r="A10" s="209">
        <v>8</v>
      </c>
      <c r="B10" s="259"/>
      <c r="D10" s="209">
        <v>8</v>
      </c>
      <c r="E10" s="259"/>
      <c r="G10" s="209">
        <v>8</v>
      </c>
      <c r="H10" s="259"/>
      <c r="J10" s="209">
        <v>8</v>
      </c>
      <c r="K10" s="259"/>
      <c r="M10" s="209">
        <v>8</v>
      </c>
      <c r="N10" s="259"/>
      <c r="P10" s="209">
        <v>8</v>
      </c>
      <c r="Q10" s="259"/>
      <c r="S10" s="209">
        <v>8</v>
      </c>
      <c r="T10" s="259"/>
      <c r="V10" s="209">
        <v>8</v>
      </c>
      <c r="W10" s="259"/>
      <c r="Y10" s="209">
        <v>8</v>
      </c>
      <c r="Z10" s="259"/>
      <c r="AB10" s="209">
        <v>8</v>
      </c>
      <c r="AC10" s="259"/>
      <c r="AE10" s="209">
        <v>8</v>
      </c>
      <c r="AF10" s="259"/>
      <c r="AH10" s="209">
        <v>8</v>
      </c>
      <c r="AI10" s="259"/>
    </row>
    <row r="11" spans="1:35" x14ac:dyDescent="0.25">
      <c r="A11" s="209">
        <v>9</v>
      </c>
      <c r="B11" s="259"/>
      <c r="D11" s="209">
        <v>9</v>
      </c>
      <c r="E11" s="259"/>
      <c r="G11" s="209">
        <v>9</v>
      </c>
      <c r="H11" s="259"/>
      <c r="J11" s="209">
        <v>9</v>
      </c>
      <c r="K11" s="259"/>
      <c r="M11" s="209">
        <v>9</v>
      </c>
      <c r="N11" s="259"/>
      <c r="P11" s="209">
        <v>9</v>
      </c>
      <c r="Q11" s="259"/>
      <c r="S11" s="209">
        <v>9</v>
      </c>
      <c r="T11" s="259"/>
      <c r="V11" s="209">
        <v>9</v>
      </c>
      <c r="W11" s="259"/>
      <c r="Y11" s="209">
        <v>9</v>
      </c>
      <c r="Z11" s="259"/>
      <c r="AB11" s="209">
        <v>9</v>
      </c>
      <c r="AC11" s="259"/>
      <c r="AE11" s="209">
        <v>9</v>
      </c>
      <c r="AF11" s="259"/>
      <c r="AH11" s="209">
        <v>9</v>
      </c>
      <c r="AI11" s="259"/>
    </row>
    <row r="12" spans="1:35" x14ac:dyDescent="0.25">
      <c r="A12" s="209">
        <v>10</v>
      </c>
      <c r="B12" s="259"/>
      <c r="D12" s="209">
        <v>10</v>
      </c>
      <c r="E12" s="259"/>
      <c r="G12" s="209">
        <v>10</v>
      </c>
      <c r="H12" s="259"/>
      <c r="J12" s="209">
        <v>10</v>
      </c>
      <c r="K12" s="259"/>
      <c r="M12" s="209">
        <v>10</v>
      </c>
      <c r="N12" s="259"/>
      <c r="P12" s="209">
        <v>10</v>
      </c>
      <c r="Q12" s="259"/>
      <c r="S12" s="209">
        <v>10</v>
      </c>
      <c r="T12" s="259"/>
      <c r="V12" s="209">
        <v>10</v>
      </c>
      <c r="W12" s="259"/>
      <c r="Y12" s="209">
        <v>10</v>
      </c>
      <c r="Z12" s="259"/>
      <c r="AB12" s="209">
        <v>10</v>
      </c>
      <c r="AC12" s="259"/>
      <c r="AE12" s="209">
        <v>10</v>
      </c>
      <c r="AF12" s="259"/>
      <c r="AH12" s="209">
        <v>10</v>
      </c>
      <c r="AI12" s="259"/>
    </row>
    <row r="13" spans="1:35" x14ac:dyDescent="0.25">
      <c r="A13" s="209">
        <v>11</v>
      </c>
      <c r="B13" s="259"/>
      <c r="D13" s="209">
        <v>11</v>
      </c>
      <c r="E13" s="259"/>
      <c r="G13" s="209">
        <v>11</v>
      </c>
      <c r="H13" s="259"/>
      <c r="J13" s="209">
        <v>11</v>
      </c>
      <c r="K13" s="259"/>
      <c r="M13" s="209">
        <v>11</v>
      </c>
      <c r="N13" s="259"/>
      <c r="P13" s="209">
        <v>11</v>
      </c>
      <c r="Q13" s="259"/>
      <c r="S13" s="209">
        <v>11</v>
      </c>
      <c r="T13" s="259"/>
      <c r="V13" s="209">
        <v>11</v>
      </c>
      <c r="W13" s="259"/>
      <c r="Y13" s="209">
        <v>11</v>
      </c>
      <c r="Z13" s="259"/>
      <c r="AB13" s="209">
        <v>11</v>
      </c>
      <c r="AC13" s="259"/>
      <c r="AE13" s="209">
        <v>11</v>
      </c>
      <c r="AF13" s="259"/>
      <c r="AH13" s="209">
        <v>11</v>
      </c>
      <c r="AI13" s="259"/>
    </row>
    <row r="14" spans="1:35" x14ac:dyDescent="0.25">
      <c r="A14" s="209">
        <v>12</v>
      </c>
      <c r="B14" s="259"/>
      <c r="D14" s="209">
        <v>12</v>
      </c>
      <c r="E14" s="259"/>
      <c r="G14" s="209">
        <v>12</v>
      </c>
      <c r="H14" s="259"/>
      <c r="J14" s="209">
        <v>12</v>
      </c>
      <c r="K14" s="259"/>
      <c r="M14" s="209">
        <v>12</v>
      </c>
      <c r="N14" s="259"/>
      <c r="P14" s="209">
        <v>12</v>
      </c>
      <c r="Q14" s="259"/>
      <c r="S14" s="209">
        <v>12</v>
      </c>
      <c r="T14" s="259"/>
      <c r="V14" s="209">
        <v>12</v>
      </c>
      <c r="W14" s="259"/>
      <c r="Y14" s="209">
        <v>12</v>
      </c>
      <c r="Z14" s="259"/>
      <c r="AB14" s="209">
        <v>12</v>
      </c>
      <c r="AC14" s="259"/>
      <c r="AE14" s="209">
        <v>12</v>
      </c>
      <c r="AF14" s="259"/>
      <c r="AH14" s="209">
        <v>12</v>
      </c>
      <c r="AI14" s="259"/>
    </row>
    <row r="15" spans="1:35" x14ac:dyDescent="0.25">
      <c r="A15" s="209">
        <v>13</v>
      </c>
      <c r="B15" s="259"/>
      <c r="D15" s="209">
        <v>13</v>
      </c>
      <c r="E15" s="259"/>
      <c r="G15" s="209">
        <v>13</v>
      </c>
      <c r="H15" s="259"/>
      <c r="J15" s="209">
        <v>13</v>
      </c>
      <c r="K15" s="259"/>
      <c r="M15" s="209">
        <v>13</v>
      </c>
      <c r="N15" s="259"/>
      <c r="P15" s="209">
        <v>13</v>
      </c>
      <c r="Q15" s="259"/>
      <c r="S15" s="209">
        <v>13</v>
      </c>
      <c r="T15" s="259"/>
      <c r="V15" s="209">
        <v>13</v>
      </c>
      <c r="W15" s="259"/>
      <c r="Y15" s="209">
        <v>13</v>
      </c>
      <c r="Z15" s="259"/>
      <c r="AB15" s="209">
        <v>13</v>
      </c>
      <c r="AC15" s="259"/>
      <c r="AE15" s="209">
        <v>13</v>
      </c>
      <c r="AF15" s="259"/>
      <c r="AH15" s="209">
        <v>13</v>
      </c>
      <c r="AI15" s="259"/>
    </row>
    <row r="16" spans="1:35" x14ac:dyDescent="0.25">
      <c r="A16" s="209">
        <v>14</v>
      </c>
      <c r="B16" s="259"/>
      <c r="D16" s="209">
        <v>14</v>
      </c>
      <c r="E16" s="259"/>
      <c r="G16" s="209">
        <v>14</v>
      </c>
      <c r="H16" s="259"/>
      <c r="J16" s="209">
        <v>14</v>
      </c>
      <c r="K16" s="259"/>
      <c r="M16" s="209">
        <v>14</v>
      </c>
      <c r="N16" s="259"/>
      <c r="P16" s="209">
        <v>14</v>
      </c>
      <c r="Q16" s="259"/>
      <c r="S16" s="209">
        <v>14</v>
      </c>
      <c r="T16" s="259"/>
      <c r="V16" s="209">
        <v>14</v>
      </c>
      <c r="W16" s="259"/>
      <c r="Y16" s="209">
        <v>14</v>
      </c>
      <c r="Z16" s="259"/>
      <c r="AB16" s="209">
        <v>14</v>
      </c>
      <c r="AC16" s="259"/>
      <c r="AE16" s="209">
        <v>14</v>
      </c>
      <c r="AF16" s="259"/>
      <c r="AH16" s="209">
        <v>14</v>
      </c>
      <c r="AI16" s="259"/>
    </row>
    <row r="17" spans="1:35" x14ac:dyDescent="0.25">
      <c r="A17" s="209">
        <v>15</v>
      </c>
      <c r="B17" s="259"/>
      <c r="D17" s="209">
        <v>15</v>
      </c>
      <c r="E17" s="259"/>
      <c r="G17" s="209">
        <v>15</v>
      </c>
      <c r="H17" s="259"/>
      <c r="J17" s="209">
        <v>15</v>
      </c>
      <c r="K17" s="259"/>
      <c r="M17" s="209">
        <v>15</v>
      </c>
      <c r="N17" s="259"/>
      <c r="P17" s="209">
        <v>15</v>
      </c>
      <c r="Q17" s="259"/>
      <c r="S17" s="209">
        <v>15</v>
      </c>
      <c r="T17" s="259"/>
      <c r="V17" s="209">
        <v>15</v>
      </c>
      <c r="W17" s="259"/>
      <c r="Y17" s="209">
        <v>15</v>
      </c>
      <c r="Z17" s="259"/>
      <c r="AB17" s="209">
        <v>15</v>
      </c>
      <c r="AC17" s="259"/>
      <c r="AE17" s="209">
        <v>15</v>
      </c>
      <c r="AF17" s="259"/>
      <c r="AH17" s="209">
        <v>15</v>
      </c>
      <c r="AI17" s="259"/>
    </row>
    <row r="18" spans="1:35" x14ac:dyDescent="0.25">
      <c r="A18" s="209">
        <v>16</v>
      </c>
      <c r="B18" s="259"/>
      <c r="D18" s="209">
        <v>16</v>
      </c>
      <c r="E18" s="259"/>
      <c r="G18" s="209">
        <v>16</v>
      </c>
      <c r="H18" s="259"/>
      <c r="J18" s="209">
        <v>16</v>
      </c>
      <c r="K18" s="259"/>
      <c r="M18" s="209">
        <v>16</v>
      </c>
      <c r="N18" s="259"/>
      <c r="P18" s="209">
        <v>16</v>
      </c>
      <c r="Q18" s="259"/>
      <c r="S18" s="209">
        <v>16</v>
      </c>
      <c r="T18" s="259"/>
      <c r="V18" s="209">
        <v>16</v>
      </c>
      <c r="W18" s="259"/>
      <c r="Y18" s="209">
        <v>16</v>
      </c>
      <c r="Z18" s="259"/>
      <c r="AB18" s="209">
        <v>16</v>
      </c>
      <c r="AC18" s="259"/>
      <c r="AE18" s="209">
        <v>16</v>
      </c>
      <c r="AF18" s="259"/>
      <c r="AH18" s="209">
        <v>16</v>
      </c>
      <c r="AI18" s="259"/>
    </row>
    <row r="19" spans="1:35" x14ac:dyDescent="0.25">
      <c r="A19" s="209">
        <v>17</v>
      </c>
      <c r="B19" s="259"/>
      <c r="D19" s="209">
        <v>17</v>
      </c>
      <c r="E19" s="259"/>
      <c r="G19" s="209">
        <v>17</v>
      </c>
      <c r="H19" s="259"/>
      <c r="J19" s="209">
        <v>17</v>
      </c>
      <c r="K19" s="259"/>
      <c r="M19" s="209">
        <v>17</v>
      </c>
      <c r="N19" s="259"/>
      <c r="P19" s="209">
        <v>17</v>
      </c>
      <c r="Q19" s="259"/>
      <c r="S19" s="209">
        <v>17</v>
      </c>
      <c r="T19" s="259"/>
      <c r="V19" s="209">
        <v>17</v>
      </c>
      <c r="W19" s="259"/>
      <c r="Y19" s="209">
        <v>17</v>
      </c>
      <c r="Z19" s="259"/>
      <c r="AB19" s="209">
        <v>17</v>
      </c>
      <c r="AC19" s="259"/>
      <c r="AE19" s="209">
        <v>17</v>
      </c>
      <c r="AF19" s="259"/>
      <c r="AH19" s="209">
        <v>17</v>
      </c>
      <c r="AI19" s="259"/>
    </row>
    <row r="20" spans="1:35" x14ac:dyDescent="0.25">
      <c r="A20" s="209">
        <v>18</v>
      </c>
      <c r="B20" s="259"/>
      <c r="D20" s="209">
        <v>18</v>
      </c>
      <c r="E20" s="259"/>
      <c r="G20" s="209">
        <v>18</v>
      </c>
      <c r="H20" s="259"/>
      <c r="J20" s="209">
        <v>18</v>
      </c>
      <c r="K20" s="259"/>
      <c r="M20" s="209">
        <v>18</v>
      </c>
      <c r="N20" s="259"/>
      <c r="P20" s="209">
        <v>18</v>
      </c>
      <c r="Q20" s="259"/>
      <c r="S20" s="209">
        <v>18</v>
      </c>
      <c r="T20" s="259"/>
      <c r="V20" s="209">
        <v>18</v>
      </c>
      <c r="W20" s="259"/>
      <c r="Y20" s="209">
        <v>18</v>
      </c>
      <c r="Z20" s="259"/>
      <c r="AB20" s="209">
        <v>18</v>
      </c>
      <c r="AC20" s="259"/>
      <c r="AE20" s="209">
        <v>18</v>
      </c>
      <c r="AF20" s="259"/>
      <c r="AH20" s="209">
        <v>18</v>
      </c>
      <c r="AI20" s="259"/>
    </row>
    <row r="21" spans="1:35" x14ac:dyDescent="0.25">
      <c r="A21" s="209">
        <v>19</v>
      </c>
      <c r="B21" s="259"/>
      <c r="D21" s="209">
        <v>19</v>
      </c>
      <c r="E21" s="259"/>
      <c r="G21" s="209">
        <v>19</v>
      </c>
      <c r="H21" s="259"/>
      <c r="J21" s="209">
        <v>19</v>
      </c>
      <c r="K21" s="259"/>
      <c r="M21" s="209">
        <v>19</v>
      </c>
      <c r="N21" s="259"/>
      <c r="P21" s="209">
        <v>19</v>
      </c>
      <c r="Q21" s="259"/>
      <c r="S21" s="209">
        <v>19</v>
      </c>
      <c r="T21" s="259"/>
      <c r="V21" s="209">
        <v>19</v>
      </c>
      <c r="W21" s="259"/>
      <c r="Y21" s="209">
        <v>19</v>
      </c>
      <c r="Z21" s="259"/>
      <c r="AB21" s="209">
        <v>19</v>
      </c>
      <c r="AC21" s="259"/>
      <c r="AE21" s="209">
        <v>19</v>
      </c>
      <c r="AF21" s="259"/>
      <c r="AH21" s="209">
        <v>19</v>
      </c>
      <c r="AI21" s="259"/>
    </row>
    <row r="22" spans="1:35" x14ac:dyDescent="0.25">
      <c r="A22" s="209">
        <v>20</v>
      </c>
      <c r="B22" s="259"/>
      <c r="D22" s="209">
        <v>20</v>
      </c>
      <c r="E22" s="259"/>
      <c r="G22" s="209">
        <v>20</v>
      </c>
      <c r="H22" s="259"/>
      <c r="J22" s="209">
        <v>20</v>
      </c>
      <c r="K22" s="259"/>
      <c r="M22" s="209">
        <v>20</v>
      </c>
      <c r="N22" s="259"/>
      <c r="P22" s="209">
        <v>20</v>
      </c>
      <c r="Q22" s="259"/>
      <c r="S22" s="209">
        <v>20</v>
      </c>
      <c r="T22" s="259"/>
      <c r="V22" s="209">
        <v>20</v>
      </c>
      <c r="W22" s="259"/>
      <c r="Y22" s="209">
        <v>20</v>
      </c>
      <c r="Z22" s="259"/>
      <c r="AB22" s="209">
        <v>20</v>
      </c>
      <c r="AC22" s="259"/>
      <c r="AE22" s="209">
        <v>20</v>
      </c>
      <c r="AF22" s="259"/>
      <c r="AH22" s="209">
        <v>20</v>
      </c>
      <c r="AI22" s="259"/>
    </row>
    <row r="23" spans="1:35" x14ac:dyDescent="0.25">
      <c r="A23" s="209">
        <v>21</v>
      </c>
      <c r="B23" s="259"/>
      <c r="D23" s="209">
        <v>21</v>
      </c>
      <c r="E23" s="259"/>
      <c r="G23" s="209">
        <v>21</v>
      </c>
      <c r="H23" s="259"/>
      <c r="J23" s="209">
        <v>21</v>
      </c>
      <c r="K23" s="259"/>
      <c r="M23" s="209">
        <v>21</v>
      </c>
      <c r="N23" s="259"/>
      <c r="P23" s="209">
        <v>21</v>
      </c>
      <c r="Q23" s="259"/>
      <c r="S23" s="209">
        <v>21</v>
      </c>
      <c r="T23" s="259"/>
      <c r="V23" s="209">
        <v>21</v>
      </c>
      <c r="W23" s="259"/>
      <c r="Y23" s="209">
        <v>21</v>
      </c>
      <c r="Z23" s="259"/>
      <c r="AB23" s="209">
        <v>21</v>
      </c>
      <c r="AC23" s="259"/>
      <c r="AE23" s="209">
        <v>21</v>
      </c>
      <c r="AF23" s="259"/>
      <c r="AH23" s="209">
        <v>21</v>
      </c>
      <c r="AI23" s="259"/>
    </row>
    <row r="24" spans="1:35" x14ac:dyDescent="0.25">
      <c r="A24" s="209">
        <v>22</v>
      </c>
      <c r="B24" s="259"/>
      <c r="D24" s="209">
        <v>22</v>
      </c>
      <c r="E24" s="259"/>
      <c r="G24" s="209">
        <v>22</v>
      </c>
      <c r="H24" s="259"/>
      <c r="J24" s="209">
        <v>22</v>
      </c>
      <c r="K24" s="259"/>
      <c r="M24" s="209">
        <v>22</v>
      </c>
      <c r="N24" s="259"/>
      <c r="P24" s="209">
        <v>22</v>
      </c>
      <c r="Q24" s="259"/>
      <c r="S24" s="209">
        <v>22</v>
      </c>
      <c r="T24" s="259"/>
      <c r="V24" s="209">
        <v>22</v>
      </c>
      <c r="W24" s="259"/>
      <c r="Y24" s="209">
        <v>22</v>
      </c>
      <c r="Z24" s="259"/>
      <c r="AB24" s="209">
        <v>22</v>
      </c>
      <c r="AC24" s="259"/>
      <c r="AE24" s="209">
        <v>22</v>
      </c>
      <c r="AF24" s="259"/>
      <c r="AH24" s="209">
        <v>22</v>
      </c>
      <c r="AI24" s="259"/>
    </row>
    <row r="25" spans="1:35" x14ac:dyDescent="0.25">
      <c r="A25" s="209">
        <v>23</v>
      </c>
      <c r="B25" s="259"/>
      <c r="D25" s="209">
        <v>23</v>
      </c>
      <c r="E25" s="259"/>
      <c r="G25" s="209">
        <v>23</v>
      </c>
      <c r="H25" s="259"/>
      <c r="J25" s="209">
        <v>23</v>
      </c>
      <c r="K25" s="259"/>
      <c r="M25" s="209">
        <v>23</v>
      </c>
      <c r="N25" s="259"/>
      <c r="P25" s="209">
        <v>23</v>
      </c>
      <c r="Q25" s="259"/>
      <c r="S25" s="209">
        <v>23</v>
      </c>
      <c r="T25" s="259"/>
      <c r="V25" s="209">
        <v>23</v>
      </c>
      <c r="W25" s="259"/>
      <c r="Y25" s="209">
        <v>23</v>
      </c>
      <c r="Z25" s="259"/>
      <c r="AB25" s="209">
        <v>23</v>
      </c>
      <c r="AC25" s="259"/>
      <c r="AE25" s="209">
        <v>23</v>
      </c>
      <c r="AF25" s="259"/>
      <c r="AH25" s="209">
        <v>23</v>
      </c>
      <c r="AI25" s="259"/>
    </row>
    <row r="26" spans="1:35" x14ac:dyDescent="0.25">
      <c r="A26" s="209">
        <v>24</v>
      </c>
      <c r="B26" s="259"/>
      <c r="D26" s="209">
        <v>24</v>
      </c>
      <c r="E26" s="259"/>
      <c r="G26" s="209">
        <v>24</v>
      </c>
      <c r="H26" s="259"/>
      <c r="J26" s="209">
        <v>24</v>
      </c>
      <c r="K26" s="259"/>
      <c r="M26" s="209">
        <v>24</v>
      </c>
      <c r="N26" s="259"/>
      <c r="P26" s="209">
        <v>24</v>
      </c>
      <c r="Q26" s="259"/>
      <c r="S26" s="209">
        <v>24</v>
      </c>
      <c r="T26" s="259"/>
      <c r="V26" s="209">
        <v>24</v>
      </c>
      <c r="W26" s="259"/>
      <c r="Y26" s="209">
        <v>24</v>
      </c>
      <c r="Z26" s="259"/>
      <c r="AB26" s="209">
        <v>24</v>
      </c>
      <c r="AC26" s="259"/>
      <c r="AE26" s="209">
        <v>24</v>
      </c>
      <c r="AF26" s="259"/>
      <c r="AH26" s="209">
        <v>24</v>
      </c>
      <c r="AI26" s="259"/>
    </row>
    <row r="27" spans="1:35" x14ac:dyDescent="0.25">
      <c r="A27" s="209">
        <v>25</v>
      </c>
      <c r="B27" s="259"/>
      <c r="D27" s="209">
        <v>25</v>
      </c>
      <c r="E27" s="259"/>
      <c r="G27" s="209">
        <v>25</v>
      </c>
      <c r="H27" s="259"/>
      <c r="J27" s="209">
        <v>25</v>
      </c>
      <c r="K27" s="259"/>
      <c r="M27" s="209">
        <v>25</v>
      </c>
      <c r="N27" s="259"/>
      <c r="P27" s="209">
        <v>25</v>
      </c>
      <c r="Q27" s="259"/>
      <c r="S27" s="209">
        <v>25</v>
      </c>
      <c r="T27" s="259"/>
      <c r="V27" s="209">
        <v>25</v>
      </c>
      <c r="W27" s="259"/>
      <c r="Y27" s="209">
        <v>25</v>
      </c>
      <c r="Z27" s="259"/>
      <c r="AB27" s="209">
        <v>25</v>
      </c>
      <c r="AC27" s="259"/>
      <c r="AE27" s="209">
        <v>25</v>
      </c>
      <c r="AF27" s="259"/>
      <c r="AH27" s="209">
        <v>25</v>
      </c>
      <c r="AI27" s="259"/>
    </row>
    <row r="28" spans="1:35" x14ac:dyDescent="0.25">
      <c r="A28" s="209">
        <v>26</v>
      </c>
      <c r="B28" s="259"/>
      <c r="D28" s="209">
        <v>26</v>
      </c>
      <c r="E28" s="259"/>
      <c r="G28" s="209">
        <v>26</v>
      </c>
      <c r="H28" s="259"/>
      <c r="J28" s="209">
        <v>26</v>
      </c>
      <c r="K28" s="259"/>
      <c r="M28" s="209">
        <v>26</v>
      </c>
      <c r="N28" s="259"/>
      <c r="P28" s="209">
        <v>26</v>
      </c>
      <c r="Q28" s="259"/>
      <c r="S28" s="209">
        <v>26</v>
      </c>
      <c r="T28" s="259"/>
      <c r="V28" s="209">
        <v>26</v>
      </c>
      <c r="W28" s="259"/>
      <c r="Y28" s="209">
        <v>26</v>
      </c>
      <c r="Z28" s="259"/>
      <c r="AB28" s="209">
        <v>26</v>
      </c>
      <c r="AC28" s="259"/>
      <c r="AE28" s="209">
        <v>26</v>
      </c>
      <c r="AF28" s="259"/>
      <c r="AH28" s="209">
        <v>26</v>
      </c>
      <c r="AI28" s="259"/>
    </row>
    <row r="29" spans="1:35" x14ac:dyDescent="0.25">
      <c r="A29" s="209">
        <v>27</v>
      </c>
      <c r="B29" s="259"/>
      <c r="D29" s="209">
        <v>27</v>
      </c>
      <c r="E29" s="259"/>
      <c r="G29" s="209">
        <v>27</v>
      </c>
      <c r="H29" s="259"/>
      <c r="J29" s="209">
        <v>27</v>
      </c>
      <c r="K29" s="259"/>
      <c r="M29" s="209">
        <v>27</v>
      </c>
      <c r="N29" s="259"/>
      <c r="P29" s="209">
        <v>27</v>
      </c>
      <c r="Q29" s="259"/>
      <c r="S29" s="209">
        <v>27</v>
      </c>
      <c r="T29" s="259"/>
      <c r="V29" s="209">
        <v>27</v>
      </c>
      <c r="W29" s="259"/>
      <c r="Y29" s="209">
        <v>27</v>
      </c>
      <c r="Z29" s="259"/>
      <c r="AB29" s="209">
        <v>27</v>
      </c>
      <c r="AC29" s="259"/>
      <c r="AE29" s="209">
        <v>27</v>
      </c>
      <c r="AF29" s="259"/>
      <c r="AH29" s="209">
        <v>27</v>
      </c>
      <c r="AI29" s="259"/>
    </row>
    <row r="30" spans="1:35" ht="15.75" thickBot="1" x14ac:dyDescent="0.3">
      <c r="A30" s="209">
        <v>28</v>
      </c>
      <c r="B30" s="259"/>
      <c r="D30" s="210">
        <v>28</v>
      </c>
      <c r="E30" s="260"/>
      <c r="G30" s="209">
        <v>28</v>
      </c>
      <c r="H30" s="259"/>
      <c r="J30" s="209">
        <v>28</v>
      </c>
      <c r="K30" s="259"/>
      <c r="M30" s="209">
        <v>28</v>
      </c>
      <c r="N30" s="259"/>
      <c r="P30" s="209">
        <v>28</v>
      </c>
      <c r="Q30" s="259"/>
      <c r="S30" s="209">
        <v>28</v>
      </c>
      <c r="T30" s="259"/>
      <c r="V30" s="209">
        <v>28</v>
      </c>
      <c r="W30" s="259"/>
      <c r="Y30" s="209">
        <v>28</v>
      </c>
      <c r="Z30" s="259"/>
      <c r="AB30" s="209">
        <v>28</v>
      </c>
      <c r="AC30" s="259"/>
      <c r="AE30" s="209">
        <v>28</v>
      </c>
      <c r="AF30" s="259"/>
      <c r="AH30" s="209">
        <v>28</v>
      </c>
      <c r="AI30" s="259"/>
    </row>
    <row r="31" spans="1:35" x14ac:dyDescent="0.25">
      <c r="A31" s="209">
        <v>29</v>
      </c>
      <c r="B31" s="259"/>
      <c r="D31" s="209" t="s">
        <v>35</v>
      </c>
      <c r="E31" s="261">
        <f>SUM(E3:E30)</f>
        <v>0</v>
      </c>
      <c r="G31" s="209">
        <v>29</v>
      </c>
      <c r="H31" s="259"/>
      <c r="J31" s="209">
        <v>29</v>
      </c>
      <c r="K31" s="259"/>
      <c r="M31" s="209">
        <v>29</v>
      </c>
      <c r="N31" s="259"/>
      <c r="P31" s="209">
        <v>29</v>
      </c>
      <c r="Q31" s="259"/>
      <c r="S31" s="209">
        <v>29</v>
      </c>
      <c r="T31" s="259"/>
      <c r="V31" s="209">
        <v>29</v>
      </c>
      <c r="W31" s="259"/>
      <c r="Y31" s="209">
        <v>29</v>
      </c>
      <c r="Z31" s="259"/>
      <c r="AB31" s="209">
        <v>29</v>
      </c>
      <c r="AC31" s="259"/>
      <c r="AE31" s="209">
        <v>29</v>
      </c>
      <c r="AF31" s="259"/>
      <c r="AH31" s="209">
        <v>29</v>
      </c>
      <c r="AI31" s="259"/>
    </row>
    <row r="32" spans="1:35" ht="15.75" thickBot="1" x14ac:dyDescent="0.3">
      <c r="A32" s="209">
        <v>30</v>
      </c>
      <c r="B32" s="259"/>
      <c r="D32" s="211" t="s">
        <v>56</v>
      </c>
      <c r="E32" s="261">
        <f>COUNTIFS(Feb[Resident Name],"&lt;&gt;")</f>
        <v>0</v>
      </c>
      <c r="G32" s="209">
        <v>30</v>
      </c>
      <c r="H32" s="259"/>
      <c r="J32" s="210">
        <v>30</v>
      </c>
      <c r="K32" s="260"/>
      <c r="M32" s="209">
        <v>30</v>
      </c>
      <c r="N32" s="259"/>
      <c r="P32" s="210">
        <v>30</v>
      </c>
      <c r="Q32" s="260"/>
      <c r="S32" s="209">
        <v>30</v>
      </c>
      <c r="T32" s="259"/>
      <c r="V32" s="209">
        <v>30</v>
      </c>
      <c r="W32" s="259"/>
      <c r="Y32" s="210">
        <v>30</v>
      </c>
      <c r="Z32" s="260"/>
      <c r="AB32" s="209">
        <v>30</v>
      </c>
      <c r="AC32" s="259"/>
      <c r="AE32" s="210">
        <v>30</v>
      </c>
      <c r="AF32" s="260"/>
      <c r="AH32" s="209">
        <v>30</v>
      </c>
      <c r="AI32" s="259"/>
    </row>
    <row r="33" spans="1:35" ht="15.75" thickBot="1" x14ac:dyDescent="0.3">
      <c r="A33" s="210">
        <v>31</v>
      </c>
      <c r="B33" s="260"/>
      <c r="D33" s="210" t="s">
        <v>57</v>
      </c>
      <c r="E33" s="262" t="str">
        <f>IFERROR(IF(ROUND(SUM((E32/E31)*1000),1)=0,"No Data",ROUND(SUM((E32/E31)*1000),1)),"No Data")</f>
        <v>No Data</v>
      </c>
      <c r="G33" s="210">
        <v>31</v>
      </c>
      <c r="H33" s="260"/>
      <c r="J33" s="211" t="s">
        <v>35</v>
      </c>
      <c r="K33" s="261">
        <f>SUM(K3:K32)</f>
        <v>0</v>
      </c>
      <c r="M33" s="210">
        <v>31</v>
      </c>
      <c r="N33" s="260"/>
      <c r="P33" s="211" t="s">
        <v>35</v>
      </c>
      <c r="Q33" s="261">
        <f>SUM(Q3:Q32)</f>
        <v>0</v>
      </c>
      <c r="S33" s="210">
        <v>31</v>
      </c>
      <c r="T33" s="260"/>
      <c r="V33" s="210">
        <v>31</v>
      </c>
      <c r="W33" s="260"/>
      <c r="Y33" s="211" t="s">
        <v>35</v>
      </c>
      <c r="Z33" s="261">
        <f>SUM(Z3:Z32)</f>
        <v>0</v>
      </c>
      <c r="AB33" s="210">
        <v>31</v>
      </c>
      <c r="AC33" s="260"/>
      <c r="AE33" s="211" t="s">
        <v>35</v>
      </c>
      <c r="AF33" s="261">
        <f>SUM(AF3:AF32)</f>
        <v>0</v>
      </c>
      <c r="AH33" s="210">
        <v>31</v>
      </c>
      <c r="AI33" s="260"/>
    </row>
    <row r="34" spans="1:35" x14ac:dyDescent="0.25">
      <c r="A34" s="211" t="s">
        <v>35</v>
      </c>
      <c r="B34" s="261">
        <f>SUM(B3:B33)</f>
        <v>0</v>
      </c>
      <c r="G34" s="211" t="s">
        <v>35</v>
      </c>
      <c r="H34" s="261">
        <f>SUM(H3:H33)</f>
        <v>0</v>
      </c>
      <c r="J34" s="211" t="s">
        <v>56</v>
      </c>
      <c r="K34" s="261">
        <f>COUNTIFS(Apr[Resident Name],"&lt;&gt;")</f>
        <v>0</v>
      </c>
      <c r="M34" s="211" t="s">
        <v>35</v>
      </c>
      <c r="N34" s="261">
        <f>SUM(N3:N33)</f>
        <v>0</v>
      </c>
      <c r="P34" s="211" t="s">
        <v>56</v>
      </c>
      <c r="Q34" s="261">
        <f>COUNTIFS(June[Resident Name],"&lt;&gt;")</f>
        <v>0</v>
      </c>
      <c r="S34" s="211" t="s">
        <v>35</v>
      </c>
      <c r="T34" s="261">
        <f>SUM(T3:T33)</f>
        <v>0</v>
      </c>
      <c r="V34" s="211" t="s">
        <v>35</v>
      </c>
      <c r="W34" s="261">
        <f>SUM(W3:W33)</f>
        <v>0</v>
      </c>
      <c r="Y34" s="211" t="s">
        <v>56</v>
      </c>
      <c r="Z34" s="261">
        <f>COUNTIFS(Sept[Resident Name],"&lt;&gt;")</f>
        <v>0</v>
      </c>
      <c r="AB34" s="211" t="s">
        <v>35</v>
      </c>
      <c r="AC34" s="261">
        <f>SUM(AC3:AC33)</f>
        <v>0</v>
      </c>
      <c r="AE34" s="211" t="s">
        <v>56</v>
      </c>
      <c r="AF34" s="261">
        <f>COUNTIFS(Nov[Resident Name],"&lt;&gt;")</f>
        <v>0</v>
      </c>
      <c r="AH34" s="211" t="s">
        <v>35</v>
      </c>
      <c r="AI34" s="261">
        <f>SUM(AI3:AI33)</f>
        <v>0</v>
      </c>
    </row>
    <row r="35" spans="1:35" ht="15.75" thickBot="1" x14ac:dyDescent="0.3">
      <c r="A35" s="211" t="s">
        <v>56</v>
      </c>
      <c r="B35" s="261">
        <f>COUNTIFS(Jan[Resident Name],"&lt;&gt;")</f>
        <v>0</v>
      </c>
      <c r="G35" s="211" t="s">
        <v>56</v>
      </c>
      <c r="H35" s="261">
        <f>COUNTIFS(Mar[Resident Name],"&lt;&gt;")</f>
        <v>0</v>
      </c>
      <c r="J35" s="212" t="s">
        <v>57</v>
      </c>
      <c r="K35" s="262" t="str">
        <f>IFERROR(IF(ROUND(SUM((K34/K33)*1000),1)=0,"No Data",ROUND(SUM((K34/K33)*1000),1)),"No Data")</f>
        <v>No Data</v>
      </c>
      <c r="M35" s="211" t="s">
        <v>56</v>
      </c>
      <c r="N35" s="261">
        <f>COUNTIFS(May[Resident Name],"&lt;&gt;")</f>
        <v>0</v>
      </c>
      <c r="P35" s="212" t="s">
        <v>57</v>
      </c>
      <c r="Q35" s="262" t="str">
        <f>IFERROR(IF(ROUND(SUM((Q34/Q33)*1000),1)=0,"No Data",ROUND(SUM((Q34/Q33)*1000),1)),"No Data")</f>
        <v>No Data</v>
      </c>
      <c r="S35" s="211" t="s">
        <v>56</v>
      </c>
      <c r="T35" s="261">
        <f>COUNTIFS(July[Resident Name],"&lt;&gt;")</f>
        <v>0</v>
      </c>
      <c r="V35" s="211" t="s">
        <v>56</v>
      </c>
      <c r="W35" s="261">
        <f>COUNTIFS(Aug[Resident Name],"&lt;&gt;")</f>
        <v>0</v>
      </c>
      <c r="Y35" s="212" t="s">
        <v>57</v>
      </c>
      <c r="Z35" s="262" t="str">
        <f>IFERROR(IF(ROUND(SUM((Z34/Z33)*1000),1)=0,"No Data",ROUND(SUM((Z34/Z33)*1000),1)),"No Data")</f>
        <v>No Data</v>
      </c>
      <c r="AB35" s="211" t="s">
        <v>56</v>
      </c>
      <c r="AC35" s="261">
        <f>COUNTIFS(Oct[Resident Name],"&lt;&gt;")</f>
        <v>0</v>
      </c>
      <c r="AE35" s="212" t="s">
        <v>57</v>
      </c>
      <c r="AF35" s="262" t="str">
        <f>IFERROR(IF(ROUND(SUM((AF34/AF33)*1000),1)=0,"No Data",ROUND(SUM((AF34/AF33)*1000),1)),"No Data")</f>
        <v>No Data</v>
      </c>
      <c r="AH35" s="211" t="s">
        <v>56</v>
      </c>
      <c r="AI35" s="261">
        <f>COUNTIFS(Dec[Resident Name],"&lt;&gt;")</f>
        <v>0</v>
      </c>
    </row>
    <row r="36" spans="1:35" ht="15.75" thickBot="1" x14ac:dyDescent="0.3">
      <c r="A36" s="212" t="s">
        <v>57</v>
      </c>
      <c r="B36" s="262" t="str">
        <f>IFERROR(IF(ROUND(SUM((B35/B34)*1000),1)=0,"No Data",ROUND(SUM((B35/B34)*1000),1)),"No Data")</f>
        <v>No Data</v>
      </c>
      <c r="G36" s="212" t="s">
        <v>57</v>
      </c>
      <c r="H36" s="262" t="str">
        <f>IFERROR(IF(ROUND(SUM((H35/H34)*1000),1)=0,"No Data",ROUND(SUM((H35/H34)*1000),1)),"No Data")</f>
        <v>No Data</v>
      </c>
      <c r="M36" s="212" t="s">
        <v>57</v>
      </c>
      <c r="N36" s="262" t="str">
        <f>IFERROR(IF(ROUND(SUM((N35/N34)*1000),1)=0,"No Data",ROUND(SUM((N35/N34)*1000),1)),"No Data")</f>
        <v>No Data</v>
      </c>
      <c r="S36" s="212" t="s">
        <v>57</v>
      </c>
      <c r="T36" s="262" t="str">
        <f>IFERROR(IF(ROUND(SUM((T35/T34)*1000),1)=0,"No Data",ROUND(SUM((T35/T34)*1000),1)),"No Data")</f>
        <v>No Data</v>
      </c>
      <c r="V36" s="212" t="s">
        <v>57</v>
      </c>
      <c r="W36" s="262" t="str">
        <f>IFERROR(IF(ROUND(SUM((W35/W34)*1000),1)=0,"No Data",ROUND(SUM((W35/W34)*1000),1)),"No Data")</f>
        <v>No Data</v>
      </c>
      <c r="AB36" s="212" t="s">
        <v>57</v>
      </c>
      <c r="AC36" s="262" t="str">
        <f>IFERROR(IF(ROUND(SUM((AC35/AC34)*1000),1)=0,"No Data",ROUND(SUM((AC35/AC34)*1000),1)),"No Data")</f>
        <v>No Data</v>
      </c>
      <c r="AH36" s="212" t="s">
        <v>57</v>
      </c>
      <c r="AI36" s="262" t="str">
        <f>IFERROR(IF(ROUND(SUM((AI35/AI34)*1000),1)=0,"No Data",ROUND(SUM((AI35/AI34)*1000),1)),"No Data")</f>
        <v>No Data</v>
      </c>
    </row>
  </sheetData>
  <sheetProtection algorithmName="SHA-512" hashValue="94gfsB73GwRxM5UywF81zoDfYoqMIpwYUat5wE+qKwON7nDEUXeB2SuDWqezKRxpnmmLhOKMw5THcJ9msp6PWg==" saltValue="usKWPe9RXQDLl0yl+FnuwA==" spinCount="100000" sheet="1" formatCells="0" formatColumns="0" formatRows="0"/>
  <pageMargins left="0.7" right="0.7" top="0.75" bottom="0.75" header="0.3" footer="0.3"/>
  <pageSetup scale="94" orientation="landscape" r:id="rId1"/>
  <colBreaks count="2" manualBreakCount="2">
    <brk id="14" max="1048575" man="1"/>
    <brk id="29" max="1048575" man="1"/>
  </colBreaks>
  <tableParts count="12">
    <tablePart r:id="rId2"/>
    <tablePart r:id="rId3"/>
    <tablePart r:id="rId4"/>
    <tablePart r:id="rId5"/>
    <tablePart r:id="rId6"/>
    <tablePart r:id="rId7"/>
    <tablePart r:id="rId8"/>
    <tablePart r:id="rId9"/>
    <tablePart r:id="rId10"/>
    <tablePart r:id="rId11"/>
    <tablePart r:id="rId12"/>
    <tablePart r:id="rId1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9724C0-092B-499E-A5E8-BE4F52314C8D}">
  <dimension ref="B1:AC26"/>
  <sheetViews>
    <sheetView showGridLines="0" zoomScaleNormal="100" workbookViewId="0">
      <selection activeCell="C2" sqref="C2"/>
    </sheetView>
  </sheetViews>
  <sheetFormatPr defaultColWidth="8.85546875" defaultRowHeight="15" x14ac:dyDescent="0.25"/>
  <cols>
    <col min="1" max="1" width="2.5703125" customWidth="1"/>
    <col min="2" max="2" width="13" customWidth="1"/>
    <col min="3" max="3" width="42.7109375" customWidth="1"/>
    <col min="4" max="4" width="2" customWidth="1"/>
    <col min="5" max="5" width="12.42578125" style="10" customWidth="1"/>
    <col min="6" max="6" width="2.28515625" customWidth="1"/>
    <col min="7" max="7" width="10.28515625" style="10" customWidth="1"/>
    <col min="8" max="8" width="2.28515625" style="10" customWidth="1"/>
    <col min="9" max="9" width="49" style="10" customWidth="1"/>
    <col min="10" max="10" width="2.28515625" style="10" customWidth="1"/>
    <col min="11" max="11" width="38.5703125" style="10" customWidth="1"/>
    <col min="12" max="12" width="2.140625" style="10" customWidth="1"/>
    <col min="13" max="13" width="11.7109375" style="10" bestFit="1" customWidth="1"/>
    <col min="14" max="14" width="9.140625" style="10" customWidth="1"/>
    <col min="15" max="15" width="2.7109375" style="10" customWidth="1"/>
    <col min="16" max="16" width="9.5703125" style="10" hidden="1" customWidth="1"/>
    <col min="17" max="17" width="2.28515625" style="10" hidden="1" customWidth="1"/>
    <col min="18" max="18" width="12.28515625" hidden="1" customWidth="1"/>
    <col min="19" max="19" width="14.28515625" hidden="1" customWidth="1"/>
    <col min="20" max="20" width="2.140625" hidden="1" customWidth="1"/>
    <col min="21" max="21" width="10.28515625" hidden="1" customWidth="1"/>
    <col min="22" max="22" width="2.28515625" hidden="1" customWidth="1"/>
    <col min="23" max="23" width="14" style="10" hidden="1" customWidth="1"/>
    <col min="24" max="24" width="2.28515625" hidden="1" customWidth="1"/>
    <col min="25" max="25" width="10" hidden="1" customWidth="1"/>
    <col min="26" max="26" width="1.5703125" hidden="1" customWidth="1"/>
    <col min="27" max="27" width="16.42578125" hidden="1" customWidth="1"/>
    <col min="28" max="28" width="1.7109375" customWidth="1"/>
    <col min="29" max="30" width="8.85546875" customWidth="1"/>
    <col min="31" max="31" width="3" customWidth="1"/>
  </cols>
  <sheetData>
    <row r="1" spans="2:29" ht="25.7" customHeight="1" x14ac:dyDescent="0.25">
      <c r="E1" s="170" t="s">
        <v>109</v>
      </c>
      <c r="F1" s="13"/>
      <c r="G1" s="170" t="s">
        <v>109</v>
      </c>
      <c r="I1" s="170" t="s">
        <v>109</v>
      </c>
      <c r="K1" s="170" t="s">
        <v>108</v>
      </c>
      <c r="M1" s="278" t="s">
        <v>65</v>
      </c>
      <c r="N1" s="279"/>
      <c r="O1" s="171"/>
      <c r="P1" s="171"/>
      <c r="Q1" s="171"/>
      <c r="R1" s="277" t="s">
        <v>27</v>
      </c>
      <c r="S1" s="277"/>
      <c r="U1" s="170" t="s">
        <v>40</v>
      </c>
      <c r="V1" s="170"/>
      <c r="W1" s="170" t="s">
        <v>24</v>
      </c>
      <c r="Y1" s="170" t="s">
        <v>82</v>
      </c>
      <c r="AA1" s="170" t="s">
        <v>100</v>
      </c>
    </row>
    <row r="2" spans="2:29" ht="28.15" customHeight="1" x14ac:dyDescent="0.25">
      <c r="B2" s="172" t="s">
        <v>63</v>
      </c>
      <c r="C2" s="272"/>
      <c r="E2" s="173" t="s">
        <v>1</v>
      </c>
      <c r="F2" s="174"/>
      <c r="G2" s="175" t="s">
        <v>64</v>
      </c>
      <c r="H2" s="11"/>
      <c r="I2" s="169" t="s">
        <v>148</v>
      </c>
      <c r="J2" s="156"/>
      <c r="K2" s="169" t="s">
        <v>92</v>
      </c>
      <c r="L2" s="11"/>
      <c r="M2" s="176" t="s">
        <v>33</v>
      </c>
      <c r="N2" s="177" t="s">
        <v>34</v>
      </c>
      <c r="O2" s="11"/>
      <c r="P2" s="178" t="s">
        <v>107</v>
      </c>
      <c r="Q2" s="11"/>
      <c r="R2" s="179" t="s">
        <v>26</v>
      </c>
      <c r="S2" s="180" t="s">
        <v>30</v>
      </c>
      <c r="U2" s="181" t="s">
        <v>40</v>
      </c>
      <c r="W2" s="181" t="s">
        <v>24</v>
      </c>
      <c r="Y2" s="181" t="s">
        <v>82</v>
      </c>
      <c r="AA2" s="181" t="s">
        <v>100</v>
      </c>
    </row>
    <row r="3" spans="2:29" x14ac:dyDescent="0.25">
      <c r="E3" s="270" t="s">
        <v>39</v>
      </c>
      <c r="G3" s="270">
        <v>1</v>
      </c>
      <c r="I3" s="270" t="s">
        <v>72</v>
      </c>
      <c r="K3" s="270" t="s">
        <v>149</v>
      </c>
      <c r="M3" s="182" t="s">
        <v>115</v>
      </c>
      <c r="N3" s="268" t="s">
        <v>180</v>
      </c>
      <c r="O3" s="183"/>
      <c r="P3" s="184" t="str" cm="1">
        <f t="array" ref="P3:P6">_xlfn.UNIQUE(_xlfn._xlws.FILTER(Shifts[Shift],1,1))</f>
        <v>11-7</v>
      </c>
      <c r="Q3" s="183"/>
      <c r="R3" s="182">
        <v>1</v>
      </c>
      <c r="S3" s="185" t="s">
        <v>142</v>
      </c>
      <c r="U3" s="186" t="s">
        <v>41</v>
      </c>
      <c r="W3" s="186" t="s">
        <v>25</v>
      </c>
      <c r="Y3" s="186" t="s">
        <v>41</v>
      </c>
      <c r="AA3" s="186" t="s">
        <v>79</v>
      </c>
    </row>
    <row r="4" spans="2:29" ht="15" customHeight="1" x14ac:dyDescent="0.25">
      <c r="B4" s="172" t="s">
        <v>28</v>
      </c>
      <c r="C4" s="272"/>
      <c r="E4" s="270" t="s">
        <v>17</v>
      </c>
      <c r="G4" s="270">
        <v>2</v>
      </c>
      <c r="I4" s="270" t="s">
        <v>71</v>
      </c>
      <c r="K4" s="270" t="s">
        <v>150</v>
      </c>
      <c r="M4" s="182" t="s">
        <v>116</v>
      </c>
      <c r="N4" s="268" t="s">
        <v>139</v>
      </c>
      <c r="O4" s="183"/>
      <c r="P4" s="184" t="str">
        <v>11–7</v>
      </c>
      <c r="Q4" s="183"/>
      <c r="R4" s="182">
        <v>2</v>
      </c>
      <c r="S4" s="185" t="s">
        <v>142</v>
      </c>
      <c r="U4" s="187" t="s">
        <v>42</v>
      </c>
      <c r="W4" s="186" t="s">
        <v>88</v>
      </c>
      <c r="Y4" s="187" t="s">
        <v>42</v>
      </c>
      <c r="AA4" s="186" t="s">
        <v>101</v>
      </c>
    </row>
    <row r="5" spans="2:29" x14ac:dyDescent="0.25">
      <c r="E5" s="270" t="s">
        <v>18</v>
      </c>
      <c r="G5" s="270">
        <v>3</v>
      </c>
      <c r="I5" s="270" t="s">
        <v>73</v>
      </c>
      <c r="K5" s="270" t="s">
        <v>151</v>
      </c>
      <c r="M5" s="182" t="s">
        <v>117</v>
      </c>
      <c r="N5" s="268" t="s">
        <v>139</v>
      </c>
      <c r="O5" s="183"/>
      <c r="P5" s="184" t="str">
        <v>7–3</v>
      </c>
      <c r="Q5" s="183"/>
      <c r="R5" s="182">
        <v>3</v>
      </c>
      <c r="S5" s="185" t="s">
        <v>142</v>
      </c>
      <c r="W5" s="187" t="s">
        <v>77</v>
      </c>
      <c r="AA5" s="187" t="s">
        <v>102</v>
      </c>
    </row>
    <row r="6" spans="2:29" ht="15" customHeight="1" x14ac:dyDescent="0.25">
      <c r="E6" s="270" t="s">
        <v>19</v>
      </c>
      <c r="G6" s="270">
        <v>4</v>
      </c>
      <c r="I6" s="270" t="s">
        <v>74</v>
      </c>
      <c r="K6" s="270" t="s">
        <v>152</v>
      </c>
      <c r="M6" s="182" t="s">
        <v>118</v>
      </c>
      <c r="N6" s="268" t="s">
        <v>139</v>
      </c>
      <c r="O6" s="183"/>
      <c r="P6" s="184" t="str">
        <v>3–11</v>
      </c>
      <c r="Q6" s="183"/>
      <c r="R6" s="182">
        <v>4</v>
      </c>
      <c r="S6" s="185" t="s">
        <v>142</v>
      </c>
    </row>
    <row r="7" spans="2:29" ht="15" customHeight="1" x14ac:dyDescent="0.25">
      <c r="E7" s="270" t="s">
        <v>91</v>
      </c>
      <c r="G7" s="270">
        <v>5</v>
      </c>
      <c r="I7" s="270" t="s">
        <v>69</v>
      </c>
      <c r="K7" s="270" t="s">
        <v>153</v>
      </c>
      <c r="M7" s="182" t="s">
        <v>119</v>
      </c>
      <c r="N7" s="268" t="s">
        <v>139</v>
      </c>
      <c r="O7" s="183"/>
      <c r="P7" s="184"/>
      <c r="Q7" s="183"/>
      <c r="R7" s="182">
        <v>5</v>
      </c>
      <c r="S7" s="185" t="s">
        <v>142</v>
      </c>
    </row>
    <row r="8" spans="2:29" x14ac:dyDescent="0.25">
      <c r="E8" s="270" t="s">
        <v>97</v>
      </c>
      <c r="G8" s="270"/>
      <c r="I8" s="270" t="s">
        <v>75</v>
      </c>
      <c r="K8" s="270" t="s">
        <v>154</v>
      </c>
      <c r="M8" s="182" t="s">
        <v>120</v>
      </c>
      <c r="N8" s="268" t="s">
        <v>139</v>
      </c>
      <c r="O8" s="183"/>
      <c r="P8" s="184"/>
      <c r="Q8" s="183"/>
      <c r="R8" s="182">
        <v>6</v>
      </c>
      <c r="S8" s="185" t="s">
        <v>142</v>
      </c>
    </row>
    <row r="9" spans="2:29" x14ac:dyDescent="0.25">
      <c r="E9" s="270" t="s">
        <v>98</v>
      </c>
      <c r="G9" s="270"/>
      <c r="I9" s="270" t="s">
        <v>66</v>
      </c>
      <c r="K9" s="270" t="s">
        <v>155</v>
      </c>
      <c r="M9" s="182" t="s">
        <v>121</v>
      </c>
      <c r="N9" s="268" t="s">
        <v>139</v>
      </c>
      <c r="O9" s="183"/>
      <c r="P9" s="184"/>
      <c r="Q9" s="183"/>
      <c r="R9" s="182">
        <v>7</v>
      </c>
      <c r="S9" s="185" t="s">
        <v>142</v>
      </c>
    </row>
    <row r="10" spans="2:29" ht="15.6" customHeight="1" x14ac:dyDescent="0.25">
      <c r="E10" s="270"/>
      <c r="G10" s="270"/>
      <c r="I10" s="270" t="s">
        <v>67</v>
      </c>
      <c r="K10" s="270" t="s">
        <v>156</v>
      </c>
      <c r="M10" s="182" t="s">
        <v>122</v>
      </c>
      <c r="N10" s="268" t="s">
        <v>140</v>
      </c>
      <c r="O10" s="183"/>
      <c r="P10" s="183"/>
      <c r="Q10" s="183"/>
      <c r="R10" s="182">
        <v>8</v>
      </c>
      <c r="S10" s="185" t="s">
        <v>143</v>
      </c>
    </row>
    <row r="11" spans="2:29" x14ac:dyDescent="0.25">
      <c r="E11" s="270"/>
      <c r="G11" s="270"/>
      <c r="I11" s="270" t="s">
        <v>68</v>
      </c>
      <c r="K11" s="270" t="s">
        <v>99</v>
      </c>
      <c r="M11" s="182" t="s">
        <v>123</v>
      </c>
      <c r="N11" s="268" t="s">
        <v>140</v>
      </c>
      <c r="R11" s="182">
        <v>9</v>
      </c>
      <c r="S11" s="185" t="s">
        <v>143</v>
      </c>
      <c r="AC11" s="11"/>
    </row>
    <row r="12" spans="2:29" x14ac:dyDescent="0.25">
      <c r="E12" s="270"/>
      <c r="G12" s="270"/>
      <c r="I12" s="270" t="s">
        <v>70</v>
      </c>
      <c r="K12" s="270" t="s">
        <v>157</v>
      </c>
      <c r="M12" s="182" t="s">
        <v>124</v>
      </c>
      <c r="N12" s="268" t="s">
        <v>140</v>
      </c>
      <c r="R12" s="182">
        <v>10</v>
      </c>
      <c r="S12" s="185" t="s">
        <v>143</v>
      </c>
      <c r="AC12" s="11"/>
    </row>
    <row r="13" spans="2:29" x14ac:dyDescent="0.25">
      <c r="E13" s="271"/>
      <c r="G13" s="271"/>
      <c r="I13" s="270" t="s">
        <v>76</v>
      </c>
      <c r="K13" s="270" t="s">
        <v>93</v>
      </c>
      <c r="M13" s="182" t="s">
        <v>125</v>
      </c>
      <c r="N13" s="268" t="s">
        <v>140</v>
      </c>
      <c r="R13" s="182">
        <v>11</v>
      </c>
      <c r="S13" s="185" t="s">
        <v>143</v>
      </c>
      <c r="AC13" s="11"/>
    </row>
    <row r="14" spans="2:29" x14ac:dyDescent="0.25">
      <c r="E14" s="188"/>
      <c r="G14" s="183"/>
      <c r="I14" s="270"/>
      <c r="K14" s="270"/>
      <c r="M14" s="182" t="s">
        <v>126</v>
      </c>
      <c r="N14" s="268" t="s">
        <v>140</v>
      </c>
      <c r="R14" s="182">
        <v>12</v>
      </c>
      <c r="S14" s="185" t="s">
        <v>143</v>
      </c>
      <c r="AC14" s="11"/>
    </row>
    <row r="15" spans="2:29" x14ac:dyDescent="0.25">
      <c r="E15" s="188"/>
      <c r="G15" s="183"/>
      <c r="I15" s="270"/>
      <c r="K15" s="270"/>
      <c r="M15" s="182" t="s">
        <v>127</v>
      </c>
      <c r="N15" s="268" t="s">
        <v>140</v>
      </c>
      <c r="R15" s="182">
        <v>13</v>
      </c>
      <c r="S15" s="185" t="s">
        <v>144</v>
      </c>
      <c r="AC15" s="11"/>
    </row>
    <row r="16" spans="2:29" x14ac:dyDescent="0.25">
      <c r="E16"/>
      <c r="G16" s="183"/>
      <c r="I16" s="270"/>
      <c r="K16" s="270"/>
      <c r="M16" s="182" t="s">
        <v>128</v>
      </c>
      <c r="N16" s="268" t="s">
        <v>140</v>
      </c>
      <c r="R16" s="182">
        <v>14</v>
      </c>
      <c r="S16" s="185" t="s">
        <v>144</v>
      </c>
      <c r="AC16" s="11"/>
    </row>
    <row r="17" spans="3:29" s="10" customFormat="1" x14ac:dyDescent="0.25">
      <c r="E17" s="188"/>
      <c r="F17"/>
      <c r="G17" s="183"/>
      <c r="I17" s="270"/>
      <c r="K17" s="270"/>
      <c r="M17" s="182" t="s">
        <v>129</v>
      </c>
      <c r="N17" s="268" t="s">
        <v>140</v>
      </c>
      <c r="R17" s="189">
        <v>15</v>
      </c>
      <c r="S17" s="190" t="s">
        <v>144</v>
      </c>
      <c r="T17"/>
      <c r="AC17" s="11"/>
    </row>
    <row r="18" spans="3:29" s="10" customFormat="1" x14ac:dyDescent="0.25">
      <c r="F18"/>
      <c r="I18" s="270"/>
      <c r="K18" s="270"/>
      <c r="M18" s="182" t="s">
        <v>130</v>
      </c>
      <c r="N18" s="268" t="s">
        <v>140</v>
      </c>
      <c r="R18" s="191"/>
      <c r="S18"/>
      <c r="T18"/>
      <c r="AC18" s="11"/>
    </row>
    <row r="19" spans="3:29" s="10" customFormat="1" x14ac:dyDescent="0.25">
      <c r="F19"/>
      <c r="I19" s="270"/>
      <c r="K19" s="270"/>
      <c r="M19" s="182" t="s">
        <v>131</v>
      </c>
      <c r="N19" s="268" t="s">
        <v>141</v>
      </c>
      <c r="R19"/>
      <c r="S19"/>
      <c r="T19"/>
      <c r="AC19" s="11"/>
    </row>
    <row r="20" spans="3:29" s="10" customFormat="1" x14ac:dyDescent="0.25">
      <c r="F20"/>
      <c r="I20" s="270"/>
      <c r="K20" s="270"/>
      <c r="M20" s="182" t="s">
        <v>132</v>
      </c>
      <c r="N20" s="268" t="s">
        <v>141</v>
      </c>
      <c r="R20"/>
      <c r="S20"/>
      <c r="T20"/>
      <c r="AC20" s="11"/>
    </row>
    <row r="21" spans="3:29" s="10" customFormat="1" x14ac:dyDescent="0.25">
      <c r="F21"/>
      <c r="I21" s="270"/>
      <c r="K21" s="270"/>
      <c r="M21" s="182" t="s">
        <v>133</v>
      </c>
      <c r="N21" s="268" t="s">
        <v>141</v>
      </c>
      <c r="R21"/>
      <c r="S21"/>
      <c r="T21"/>
      <c r="AC21" s="11"/>
    </row>
    <row r="22" spans="3:29" s="10" customFormat="1" x14ac:dyDescent="0.25">
      <c r="F22"/>
      <c r="I22" s="270"/>
      <c r="K22" s="270"/>
      <c r="M22" s="182" t="s">
        <v>134</v>
      </c>
      <c r="N22" s="268" t="s">
        <v>141</v>
      </c>
      <c r="R22"/>
      <c r="S22"/>
      <c r="T22"/>
      <c r="AC22" s="11"/>
    </row>
    <row r="23" spans="3:29" s="10" customFormat="1" x14ac:dyDescent="0.25">
      <c r="C23" s="10" t="s">
        <v>179</v>
      </c>
      <c r="F23"/>
      <c r="I23" s="270"/>
      <c r="K23" s="270"/>
      <c r="M23" s="182" t="s">
        <v>135</v>
      </c>
      <c r="N23" s="268" t="s">
        <v>141</v>
      </c>
      <c r="R23"/>
      <c r="S23"/>
      <c r="T23"/>
      <c r="AC23" s="11"/>
    </row>
    <row r="24" spans="3:29" s="10" customFormat="1" x14ac:dyDescent="0.25">
      <c r="F24"/>
      <c r="I24" s="270"/>
      <c r="K24" s="270"/>
      <c r="M24" s="182" t="s">
        <v>136</v>
      </c>
      <c r="N24" s="268" t="s">
        <v>141</v>
      </c>
      <c r="R24"/>
      <c r="S24"/>
      <c r="T24"/>
      <c r="AC24" s="11"/>
    </row>
    <row r="25" spans="3:29" s="10" customFormat="1" x14ac:dyDescent="0.25">
      <c r="F25"/>
      <c r="I25" s="270"/>
      <c r="K25" s="270"/>
      <c r="M25" s="182" t="s">
        <v>137</v>
      </c>
      <c r="N25" s="268" t="s">
        <v>141</v>
      </c>
      <c r="R25"/>
      <c r="S25"/>
      <c r="T25"/>
      <c r="AC25" s="11"/>
    </row>
    <row r="26" spans="3:29" s="10" customFormat="1" x14ac:dyDescent="0.25">
      <c r="F26"/>
      <c r="I26" s="271"/>
      <c r="K26" s="271"/>
      <c r="M26" s="189" t="s">
        <v>138</v>
      </c>
      <c r="N26" s="269" t="s">
        <v>141</v>
      </c>
      <c r="R26"/>
      <c r="S26"/>
      <c r="T26"/>
      <c r="AC26" s="11"/>
    </row>
  </sheetData>
  <sheetProtection algorithmName="SHA-512" hashValue="C9XnN0g3r7xD3OANPlWDGtnZSaAdVWjpbf2gWGWI+CBDPwClbwEIvPFr3wHfaX7Ve7RQjRXEcsW04NhSDNv2Og==" saltValue="9sY1P8rSIGkaMTyaNY66jw==" spinCount="100000" sheet="1" formatCells="0" formatColumns="0" formatRows="0" sort="0" autoFilter="0"/>
  <mergeCells count="2">
    <mergeCell ref="R1:S1"/>
    <mergeCell ref="M1:N1"/>
  </mergeCells>
  <pageMargins left="0.7" right="0.7" top="0.75" bottom="0.75" header="0.3" footer="0.3"/>
  <tableParts count="10">
    <tablePart r:id="rId1"/>
    <tablePart r:id="rId2"/>
    <tablePart r:id="rId3"/>
    <tablePart r:id="rId4"/>
    <tablePart r:id="rId5"/>
    <tablePart r:id="rId6"/>
    <tablePart r:id="rId7"/>
    <tablePart r:id="rId8"/>
    <tablePart r:id="rId9"/>
    <tablePart r:id="rId10"/>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0C13CD-4510-4DA0-A167-21E0776CE447}">
  <dimension ref="A1:AE96"/>
  <sheetViews>
    <sheetView showGridLines="0" zoomScaleNormal="100" workbookViewId="0">
      <selection activeCell="AB13" sqref="AB13"/>
    </sheetView>
  </sheetViews>
  <sheetFormatPr defaultColWidth="0" defaultRowHeight="15" x14ac:dyDescent="0.25"/>
  <cols>
    <col min="1" max="1" width="1.42578125" customWidth="1"/>
    <col min="2" max="2" width="13.140625" customWidth="1"/>
    <col min="3" max="3" width="2" customWidth="1"/>
    <col min="4" max="4" width="12.5703125" customWidth="1"/>
    <col min="5" max="5" width="2.7109375" customWidth="1"/>
    <col min="6" max="6" width="11" customWidth="1"/>
    <col min="7" max="7" width="14" customWidth="1"/>
    <col min="8" max="8" width="2.42578125" customWidth="1"/>
    <col min="9" max="9" width="8" customWidth="1"/>
    <col min="10" max="10" width="12.140625" customWidth="1"/>
    <col min="11" max="11" width="4.140625" customWidth="1"/>
    <col min="12" max="12" width="9.28515625" customWidth="1"/>
    <col min="13" max="13" width="2.85546875" customWidth="1"/>
    <col min="14" max="14" width="5.42578125" customWidth="1"/>
    <col min="15" max="15" width="8.28515625" customWidth="1"/>
    <col min="16" max="16" width="5.7109375" customWidth="1"/>
    <col min="17" max="17" width="8.42578125" customWidth="1"/>
    <col min="18" max="18" width="5" customWidth="1"/>
    <col min="19" max="19" width="6.140625" customWidth="1"/>
    <col min="20" max="20" width="10.7109375" bestFit="1" customWidth="1"/>
    <col min="21" max="22" width="20.7109375" customWidth="1"/>
    <col min="23" max="23" width="11.42578125" customWidth="1"/>
    <col min="24" max="24" width="20.7109375" customWidth="1"/>
    <col min="25" max="27" width="13.140625" customWidth="1"/>
    <col min="28" max="28" width="14.28515625" customWidth="1"/>
    <col min="29" max="31" width="8.85546875" customWidth="1"/>
    <col min="32" max="16384" width="8.85546875" hidden="1"/>
  </cols>
  <sheetData>
    <row r="1" spans="2:17" ht="6.4" customHeight="1" x14ac:dyDescent="0.25"/>
    <row r="2" spans="2:17" ht="15.75" x14ac:dyDescent="0.25">
      <c r="B2" s="214" t="s">
        <v>110</v>
      </c>
      <c r="Q2" s="13"/>
    </row>
    <row r="3" spans="2:17" ht="5.45" customHeight="1" x14ac:dyDescent="0.25">
      <c r="B3" s="215"/>
      <c r="Q3" s="174"/>
    </row>
    <row r="4" spans="2:17" x14ac:dyDescent="0.25">
      <c r="B4" s="301" t="s">
        <v>112</v>
      </c>
      <c r="C4" s="301"/>
      <c r="D4" s="301"/>
      <c r="E4" s="301"/>
      <c r="F4" s="301"/>
      <c r="G4" s="301"/>
      <c r="H4" s="216"/>
      <c r="I4" s="216"/>
      <c r="J4" s="216"/>
      <c r="K4" s="216"/>
      <c r="L4" s="216"/>
      <c r="M4" s="216"/>
      <c r="N4" s="216"/>
      <c r="O4" s="216"/>
    </row>
    <row r="6" spans="2:17" ht="24.4" customHeight="1" x14ac:dyDescent="0.25">
      <c r="B6" s="335" t="s">
        <v>63</v>
      </c>
      <c r="C6" s="336"/>
      <c r="D6" s="320" t="s">
        <v>160</v>
      </c>
      <c r="E6" s="321"/>
      <c r="F6" s="321"/>
      <c r="G6" s="322"/>
      <c r="J6" s="217" t="s">
        <v>159</v>
      </c>
    </row>
    <row r="7" spans="2:17" x14ac:dyDescent="0.25">
      <c r="J7" s="174"/>
    </row>
    <row r="8" spans="2:17" ht="18.75" customHeight="1" x14ac:dyDescent="0.25">
      <c r="B8" s="218" t="s">
        <v>28</v>
      </c>
      <c r="C8" s="320">
        <v>2027</v>
      </c>
      <c r="D8" s="321"/>
      <c r="E8" s="321"/>
      <c r="F8" s="321"/>
      <c r="G8" s="322"/>
      <c r="J8" s="217" t="s">
        <v>111</v>
      </c>
    </row>
    <row r="10" spans="2:17" ht="15" customHeight="1" x14ac:dyDescent="0.25">
      <c r="B10" s="170" t="s">
        <v>109</v>
      </c>
      <c r="D10" s="170" t="s">
        <v>109</v>
      </c>
      <c r="F10" s="278" t="s">
        <v>109</v>
      </c>
      <c r="G10" s="278"/>
      <c r="I10" s="330" t="s">
        <v>109</v>
      </c>
      <c r="J10" s="330"/>
      <c r="K10" s="330"/>
      <c r="L10" s="330"/>
      <c r="N10" s="278" t="s">
        <v>65</v>
      </c>
      <c r="O10" s="278"/>
      <c r="P10" s="278"/>
    </row>
    <row r="11" spans="2:17" ht="30" customHeight="1" x14ac:dyDescent="0.25">
      <c r="B11" s="219" t="s">
        <v>1</v>
      </c>
      <c r="D11" s="220" t="s">
        <v>64</v>
      </c>
      <c r="F11" s="329" t="s">
        <v>148</v>
      </c>
      <c r="G11" s="329"/>
      <c r="I11" s="329" t="s">
        <v>148</v>
      </c>
      <c r="J11" s="329"/>
      <c r="K11" s="329"/>
      <c r="L11" s="329"/>
      <c r="N11" s="339" t="s">
        <v>33</v>
      </c>
      <c r="O11" s="339"/>
      <c r="P11" s="221" t="s">
        <v>34</v>
      </c>
    </row>
    <row r="12" spans="2:17" ht="43.5" customHeight="1" x14ac:dyDescent="0.25">
      <c r="B12" s="222" t="s">
        <v>39</v>
      </c>
      <c r="D12" s="222">
        <v>1</v>
      </c>
      <c r="F12" s="328" t="s">
        <v>72</v>
      </c>
      <c r="G12" s="328"/>
      <c r="I12" s="328" t="s">
        <v>149</v>
      </c>
      <c r="J12" s="328"/>
      <c r="K12" s="328"/>
      <c r="L12" s="328"/>
      <c r="N12" s="338" t="s">
        <v>115</v>
      </c>
      <c r="O12" s="338"/>
      <c r="P12" s="223" t="s">
        <v>139</v>
      </c>
    </row>
    <row r="13" spans="2:17" ht="24" customHeight="1" x14ac:dyDescent="0.25">
      <c r="B13" s="222" t="s">
        <v>17</v>
      </c>
      <c r="D13" s="222">
        <v>2</v>
      </c>
      <c r="F13" s="328" t="s">
        <v>71</v>
      </c>
      <c r="G13" s="328"/>
      <c r="I13" s="328" t="s">
        <v>150</v>
      </c>
      <c r="J13" s="328"/>
      <c r="K13" s="328"/>
      <c r="L13" s="328"/>
      <c r="N13" s="338" t="s">
        <v>116</v>
      </c>
      <c r="O13" s="338"/>
      <c r="P13" s="223" t="s">
        <v>139</v>
      </c>
    </row>
    <row r="14" spans="2:17" ht="26.25" customHeight="1" x14ac:dyDescent="0.25">
      <c r="B14" s="222" t="s">
        <v>18</v>
      </c>
      <c r="D14" s="222">
        <v>3</v>
      </c>
      <c r="F14" s="328" t="s">
        <v>73</v>
      </c>
      <c r="G14" s="328"/>
      <c r="I14" s="328" t="s">
        <v>151</v>
      </c>
      <c r="J14" s="328"/>
      <c r="K14" s="328"/>
      <c r="L14" s="328"/>
      <c r="N14" s="338" t="s">
        <v>117</v>
      </c>
      <c r="O14" s="338"/>
      <c r="P14" s="223" t="s">
        <v>139</v>
      </c>
    </row>
    <row r="15" spans="2:17" ht="32.25" customHeight="1" x14ac:dyDescent="0.25">
      <c r="B15" s="222" t="s">
        <v>19</v>
      </c>
      <c r="D15" s="222">
        <v>4</v>
      </c>
      <c r="F15" s="328" t="s">
        <v>74</v>
      </c>
      <c r="G15" s="328"/>
      <c r="I15" s="328" t="s">
        <v>152</v>
      </c>
      <c r="J15" s="328"/>
      <c r="K15" s="328"/>
      <c r="L15" s="328"/>
      <c r="N15" s="338" t="s">
        <v>118</v>
      </c>
      <c r="O15" s="338"/>
      <c r="P15" s="223" t="s">
        <v>139</v>
      </c>
    </row>
    <row r="16" spans="2:17" ht="27.75" customHeight="1" x14ac:dyDescent="0.25">
      <c r="B16" s="222" t="s">
        <v>91</v>
      </c>
      <c r="D16" s="222">
        <v>5</v>
      </c>
      <c r="F16" s="328" t="s">
        <v>70</v>
      </c>
      <c r="G16" s="328"/>
      <c r="I16" s="328" t="s">
        <v>153</v>
      </c>
      <c r="J16" s="328"/>
      <c r="K16" s="328"/>
      <c r="L16" s="328"/>
      <c r="N16" s="338" t="s">
        <v>119</v>
      </c>
      <c r="O16" s="338"/>
      <c r="P16" s="223" t="s">
        <v>139</v>
      </c>
    </row>
    <row r="17" spans="2:27" ht="19.7" customHeight="1" x14ac:dyDescent="0.25">
      <c r="B17" s="222" t="s">
        <v>97</v>
      </c>
      <c r="D17" s="222"/>
      <c r="F17" s="328" t="s">
        <v>69</v>
      </c>
      <c r="G17" s="328"/>
      <c r="I17" s="328" t="s">
        <v>154</v>
      </c>
      <c r="J17" s="328"/>
      <c r="K17" s="328"/>
      <c r="L17" s="328"/>
      <c r="N17" s="338" t="s">
        <v>120</v>
      </c>
      <c r="O17" s="338"/>
      <c r="P17" s="223" t="s">
        <v>139</v>
      </c>
    </row>
    <row r="18" spans="2:27" ht="19.7" customHeight="1" x14ac:dyDescent="0.25">
      <c r="B18" s="222" t="s">
        <v>98</v>
      </c>
      <c r="D18" s="222"/>
      <c r="E18" s="188"/>
      <c r="F18" s="328" t="s">
        <v>66</v>
      </c>
      <c r="G18" s="328"/>
      <c r="I18" s="328" t="s">
        <v>155</v>
      </c>
      <c r="J18" s="328"/>
      <c r="K18" s="328"/>
      <c r="L18" s="328"/>
      <c r="N18" s="338" t="s">
        <v>121</v>
      </c>
      <c r="O18" s="338"/>
      <c r="P18" s="223" t="s">
        <v>139</v>
      </c>
    </row>
    <row r="19" spans="2:27" ht="19.7" customHeight="1" x14ac:dyDescent="0.25">
      <c r="B19" s="222"/>
      <c r="D19" s="222"/>
      <c r="F19" s="328" t="s">
        <v>67</v>
      </c>
      <c r="G19" s="328"/>
      <c r="I19" s="328" t="s">
        <v>156</v>
      </c>
      <c r="J19" s="328"/>
      <c r="K19" s="328"/>
      <c r="L19" s="328"/>
      <c r="N19" s="338" t="s">
        <v>122</v>
      </c>
      <c r="O19" s="338"/>
      <c r="P19" s="223" t="s">
        <v>140</v>
      </c>
    </row>
    <row r="20" spans="2:27" ht="19.7" customHeight="1" x14ac:dyDescent="0.25">
      <c r="B20" s="222"/>
      <c r="D20" s="222"/>
      <c r="F20" s="328" t="s">
        <v>68</v>
      </c>
      <c r="G20" s="328"/>
      <c r="I20" s="328" t="s">
        <v>99</v>
      </c>
      <c r="J20" s="328"/>
      <c r="K20" s="328"/>
      <c r="L20" s="328"/>
      <c r="N20" s="338" t="s">
        <v>123</v>
      </c>
      <c r="O20" s="338"/>
      <c r="P20" s="223" t="s">
        <v>140</v>
      </c>
    </row>
    <row r="21" spans="2:27" ht="19.7" customHeight="1" x14ac:dyDescent="0.25">
      <c r="B21" s="222"/>
      <c r="D21" s="222"/>
      <c r="F21" s="328" t="s">
        <v>75</v>
      </c>
      <c r="G21" s="328"/>
      <c r="I21" s="328" t="s">
        <v>157</v>
      </c>
      <c r="J21" s="328"/>
      <c r="K21" s="328"/>
      <c r="L21" s="328"/>
      <c r="N21" s="338" t="s">
        <v>124</v>
      </c>
      <c r="O21" s="338"/>
      <c r="P21" s="223" t="s">
        <v>140</v>
      </c>
    </row>
    <row r="22" spans="2:27" ht="19.7" customHeight="1" x14ac:dyDescent="0.25">
      <c r="B22" s="224"/>
      <c r="D22" s="224"/>
      <c r="F22" s="328" t="s">
        <v>76</v>
      </c>
      <c r="G22" s="328"/>
      <c r="I22" s="328" t="s">
        <v>93</v>
      </c>
      <c r="J22" s="328"/>
      <c r="K22" s="328"/>
      <c r="L22" s="328"/>
      <c r="N22" s="338" t="s">
        <v>125</v>
      </c>
      <c r="O22" s="338"/>
      <c r="P22" s="223" t="s">
        <v>140</v>
      </c>
    </row>
    <row r="28" spans="2:27" x14ac:dyDescent="0.25">
      <c r="B28" s="301" t="s">
        <v>145</v>
      </c>
      <c r="C28" s="301"/>
      <c r="D28" s="301"/>
      <c r="E28" s="301"/>
      <c r="F28" s="301"/>
      <c r="G28" s="301"/>
      <c r="H28" s="216"/>
      <c r="I28" s="216"/>
      <c r="J28" s="216"/>
      <c r="K28" s="216"/>
      <c r="L28" s="216"/>
      <c r="M28" s="216"/>
      <c r="N28" s="216"/>
      <c r="O28" s="216"/>
    </row>
    <row r="29" spans="2:27" ht="15.75" thickBot="1" x14ac:dyDescent="0.3">
      <c r="B29" s="13" t="s">
        <v>28</v>
      </c>
      <c r="C29" s="337">
        <v>2025</v>
      </c>
      <c r="D29" s="337"/>
      <c r="E29" s="15"/>
      <c r="F29" s="15"/>
      <c r="G29" s="15"/>
      <c r="H29" s="15"/>
      <c r="I29" s="15"/>
      <c r="J29" s="15"/>
      <c r="K29" s="15"/>
      <c r="L29" s="15"/>
      <c r="M29" s="15"/>
      <c r="N29" s="15"/>
      <c r="O29" s="15"/>
      <c r="P29" s="15"/>
      <c r="Q29" s="15"/>
      <c r="R29" s="15"/>
      <c r="S29" s="15"/>
      <c r="T29" s="15"/>
      <c r="U29" s="15"/>
      <c r="V29" s="162"/>
      <c r="W29" s="17" t="s">
        <v>59</v>
      </c>
      <c r="X29" s="14">
        <v>18</v>
      </c>
      <c r="Y29" s="17" t="s">
        <v>62</v>
      </c>
      <c r="Z29" s="14">
        <v>4</v>
      </c>
    </row>
    <row r="30" spans="2:27" ht="24.6" customHeight="1" thickBot="1" x14ac:dyDescent="0.3">
      <c r="B30" s="225" t="s">
        <v>104</v>
      </c>
      <c r="C30" s="318" t="s">
        <v>105</v>
      </c>
      <c r="D30" s="323"/>
      <c r="E30" s="323"/>
      <c r="F30" s="226" t="s">
        <v>0</v>
      </c>
      <c r="G30" s="226" t="s">
        <v>89</v>
      </c>
      <c r="H30" s="318" t="s">
        <v>84</v>
      </c>
      <c r="I30" s="319"/>
      <c r="J30" s="227" t="s">
        <v>100</v>
      </c>
      <c r="K30" s="318" t="s">
        <v>90</v>
      </c>
      <c r="L30" s="319"/>
      <c r="M30" s="318" t="s">
        <v>1</v>
      </c>
      <c r="N30" s="319"/>
      <c r="O30" s="228" t="s">
        <v>2</v>
      </c>
      <c r="P30" s="228" t="s">
        <v>3</v>
      </c>
      <c r="Q30" s="228" t="s">
        <v>33</v>
      </c>
      <c r="R30" s="228" t="s">
        <v>34</v>
      </c>
      <c r="S30" s="228" t="s">
        <v>26</v>
      </c>
      <c r="T30" s="228" t="s">
        <v>30</v>
      </c>
      <c r="U30" s="228" t="s">
        <v>174</v>
      </c>
      <c r="V30" s="229" t="s">
        <v>80</v>
      </c>
      <c r="W30" s="228" t="s">
        <v>81</v>
      </c>
      <c r="X30" s="228" t="s">
        <v>92</v>
      </c>
      <c r="Y30" s="230" t="s">
        <v>95</v>
      </c>
      <c r="Z30" s="230" t="s">
        <v>169</v>
      </c>
      <c r="AA30" s="231" t="s">
        <v>96</v>
      </c>
    </row>
    <row r="31" spans="2:27" ht="19.7" customHeight="1" x14ac:dyDescent="0.25">
      <c r="B31" s="232" t="s">
        <v>161</v>
      </c>
      <c r="C31" s="326" t="s">
        <v>175</v>
      </c>
      <c r="D31" s="327"/>
      <c r="E31" s="327"/>
      <c r="F31" s="233">
        <v>45659</v>
      </c>
      <c r="G31" s="233">
        <v>45662</v>
      </c>
      <c r="H31" s="316" t="s">
        <v>42</v>
      </c>
      <c r="I31" s="317"/>
      <c r="J31" s="234" t="s">
        <v>102</v>
      </c>
      <c r="K31" s="333" t="s">
        <v>88</v>
      </c>
      <c r="L31" s="334"/>
      <c r="M31" s="333" t="s">
        <v>19</v>
      </c>
      <c r="N31" s="334"/>
      <c r="O31" s="235">
        <v>1</v>
      </c>
      <c r="P31" s="236" t="s">
        <v>51</v>
      </c>
      <c r="Q31" s="237" t="s">
        <v>135</v>
      </c>
      <c r="R31" s="236" t="s">
        <v>141</v>
      </c>
      <c r="S31" s="235">
        <v>2</v>
      </c>
      <c r="T31" s="236" t="s">
        <v>142</v>
      </c>
      <c r="U31" s="235" t="s">
        <v>67</v>
      </c>
      <c r="V31" s="238"/>
      <c r="W31" s="235" t="s">
        <v>42</v>
      </c>
      <c r="X31" s="239" t="s">
        <v>162</v>
      </c>
      <c r="Y31" s="240" t="s">
        <v>163</v>
      </c>
      <c r="Z31" s="240" t="s">
        <v>164</v>
      </c>
      <c r="AA31" s="240" t="s">
        <v>96</v>
      </c>
    </row>
    <row r="32" spans="2:27" ht="19.7" customHeight="1" x14ac:dyDescent="0.25">
      <c r="B32" s="241" t="s">
        <v>165</v>
      </c>
      <c r="C32" s="324" t="s">
        <v>176</v>
      </c>
      <c r="D32" s="325"/>
      <c r="E32" s="325"/>
      <c r="F32" s="242">
        <v>45659</v>
      </c>
      <c r="G32" s="242">
        <v>45660</v>
      </c>
      <c r="H32" s="314" t="s">
        <v>42</v>
      </c>
      <c r="I32" s="315"/>
      <c r="J32" s="243" t="s">
        <v>102</v>
      </c>
      <c r="K32" s="331" t="s">
        <v>77</v>
      </c>
      <c r="L32" s="332"/>
      <c r="M32" s="331" t="s">
        <v>97</v>
      </c>
      <c r="N32" s="332"/>
      <c r="O32" s="235">
        <v>1</v>
      </c>
      <c r="P32" s="236" t="s">
        <v>51</v>
      </c>
      <c r="Q32" s="237" t="s">
        <v>115</v>
      </c>
      <c r="R32" s="236" t="s">
        <v>139</v>
      </c>
      <c r="S32" s="235">
        <v>9</v>
      </c>
      <c r="T32" s="236" t="s">
        <v>143</v>
      </c>
      <c r="U32" s="235" t="s">
        <v>68</v>
      </c>
      <c r="V32" s="238"/>
      <c r="W32" s="235" t="s">
        <v>42</v>
      </c>
      <c r="X32" s="239" t="s">
        <v>166</v>
      </c>
      <c r="Y32" s="240" t="s">
        <v>163</v>
      </c>
      <c r="Z32" s="240" t="s">
        <v>164</v>
      </c>
      <c r="AA32" s="240" t="s">
        <v>96</v>
      </c>
    </row>
    <row r="33" spans="2:27" ht="19.7" customHeight="1" x14ac:dyDescent="0.25">
      <c r="B33" s="232" t="s">
        <v>167</v>
      </c>
      <c r="C33" s="324" t="s">
        <v>177</v>
      </c>
      <c r="D33" s="325"/>
      <c r="E33" s="325"/>
      <c r="F33" s="242">
        <v>45663</v>
      </c>
      <c r="G33" s="242">
        <v>45671</v>
      </c>
      <c r="H33" s="314" t="s">
        <v>42</v>
      </c>
      <c r="I33" s="315"/>
      <c r="J33" s="243" t="s">
        <v>102</v>
      </c>
      <c r="K33" s="331" t="s">
        <v>77</v>
      </c>
      <c r="L33" s="332"/>
      <c r="M33" s="331" t="s">
        <v>17</v>
      </c>
      <c r="N33" s="332"/>
      <c r="O33" s="235">
        <v>1</v>
      </c>
      <c r="P33" s="236" t="s">
        <v>47</v>
      </c>
      <c r="Q33" s="237" t="s">
        <v>133</v>
      </c>
      <c r="R33" s="236" t="s">
        <v>141</v>
      </c>
      <c r="S33" s="235">
        <v>15</v>
      </c>
      <c r="T33" s="236" t="s">
        <v>144</v>
      </c>
      <c r="U33" s="235" t="s">
        <v>69</v>
      </c>
      <c r="V33" s="238"/>
      <c r="W33" s="235" t="s">
        <v>42</v>
      </c>
      <c r="X33" s="239" t="s">
        <v>168</v>
      </c>
      <c r="Y33" s="240" t="s">
        <v>163</v>
      </c>
      <c r="Z33" s="240" t="s">
        <v>164</v>
      </c>
      <c r="AA33" s="240" t="s">
        <v>96</v>
      </c>
    </row>
    <row r="45" spans="2:27" x14ac:dyDescent="0.25">
      <c r="B45" s="301" t="s">
        <v>113</v>
      </c>
      <c r="C45" s="301"/>
      <c r="D45" s="301"/>
      <c r="E45" s="301"/>
      <c r="F45" s="301"/>
      <c r="G45" s="301"/>
      <c r="H45" s="216"/>
      <c r="I45" s="216"/>
      <c r="J45" s="216"/>
      <c r="K45" s="216"/>
      <c r="L45" s="216"/>
      <c r="M45" s="216"/>
      <c r="N45" s="216"/>
      <c r="O45" s="216"/>
    </row>
    <row r="60" spans="2:7" x14ac:dyDescent="0.25">
      <c r="B60" s="301" t="s">
        <v>114</v>
      </c>
      <c r="C60" s="301"/>
      <c r="D60" s="301"/>
      <c r="E60" s="301"/>
      <c r="F60" s="301"/>
      <c r="G60" s="301"/>
    </row>
    <row r="61" spans="2:7" ht="16.5" thickBot="1" x14ac:dyDescent="0.3">
      <c r="B61" s="300" t="s">
        <v>178</v>
      </c>
      <c r="C61" s="300"/>
      <c r="D61" s="300"/>
      <c r="F61" s="300" t="s">
        <v>178</v>
      </c>
      <c r="G61" s="300"/>
    </row>
    <row r="62" spans="2:7" ht="15.75" thickBot="1" x14ac:dyDescent="0.3">
      <c r="B62" s="244" t="s">
        <v>5</v>
      </c>
      <c r="C62" s="304" t="s">
        <v>55</v>
      </c>
      <c r="D62" s="305"/>
      <c r="F62" s="245" t="s">
        <v>6</v>
      </c>
      <c r="G62" s="246" t="s">
        <v>55</v>
      </c>
    </row>
    <row r="63" spans="2:7" x14ac:dyDescent="0.25">
      <c r="B63" s="247">
        <v>1</v>
      </c>
      <c r="C63" s="340">
        <v>120</v>
      </c>
      <c r="D63" s="341"/>
      <c r="F63" s="248">
        <v>1</v>
      </c>
      <c r="G63" s="249"/>
    </row>
    <row r="64" spans="2:7" x14ac:dyDescent="0.25">
      <c r="B64" s="250">
        <v>2</v>
      </c>
      <c r="C64" s="302">
        <v>125</v>
      </c>
      <c r="D64" s="303"/>
      <c r="F64" s="250">
        <v>2</v>
      </c>
      <c r="G64" s="251"/>
    </row>
    <row r="65" spans="2:7" x14ac:dyDescent="0.25">
      <c r="B65" s="250">
        <v>3</v>
      </c>
      <c r="C65" s="302">
        <v>130</v>
      </c>
      <c r="D65" s="303"/>
      <c r="F65" s="250">
        <v>3</v>
      </c>
      <c r="G65" s="251"/>
    </row>
    <row r="66" spans="2:7" x14ac:dyDescent="0.25">
      <c r="B66" s="250">
        <v>4</v>
      </c>
      <c r="C66" s="302">
        <v>140</v>
      </c>
      <c r="D66" s="303"/>
      <c r="F66" s="250">
        <v>4</v>
      </c>
      <c r="G66" s="251"/>
    </row>
    <row r="67" spans="2:7" x14ac:dyDescent="0.25">
      <c r="B67" s="250">
        <v>5</v>
      </c>
      <c r="C67" s="302">
        <v>142</v>
      </c>
      <c r="D67" s="303"/>
      <c r="F67" s="250">
        <v>5</v>
      </c>
      <c r="G67" s="251"/>
    </row>
    <row r="68" spans="2:7" x14ac:dyDescent="0.25">
      <c r="B68" s="250">
        <v>6</v>
      </c>
      <c r="C68" s="302">
        <v>141</v>
      </c>
      <c r="D68" s="303"/>
      <c r="F68" s="250">
        <v>6</v>
      </c>
      <c r="G68" s="251"/>
    </row>
    <row r="69" spans="2:7" x14ac:dyDescent="0.25">
      <c r="B69" s="250">
        <v>7</v>
      </c>
      <c r="C69" s="302">
        <v>136</v>
      </c>
      <c r="D69" s="303"/>
      <c r="F69" s="250">
        <v>7</v>
      </c>
      <c r="G69" s="251"/>
    </row>
    <row r="70" spans="2:7" x14ac:dyDescent="0.25">
      <c r="B70" s="250">
        <v>8</v>
      </c>
      <c r="C70" s="302">
        <v>150</v>
      </c>
      <c r="D70" s="303"/>
      <c r="F70" s="250">
        <v>8</v>
      </c>
      <c r="G70" s="251"/>
    </row>
    <row r="71" spans="2:7" x14ac:dyDescent="0.25">
      <c r="B71" s="250">
        <v>9</v>
      </c>
      <c r="C71" s="302">
        <v>152</v>
      </c>
      <c r="D71" s="303"/>
      <c r="F71" s="250">
        <v>9</v>
      </c>
      <c r="G71" s="251"/>
    </row>
    <row r="72" spans="2:7" x14ac:dyDescent="0.25">
      <c r="B72" s="250">
        <v>10</v>
      </c>
      <c r="C72" s="302">
        <v>156</v>
      </c>
      <c r="D72" s="303"/>
      <c r="F72" s="250">
        <v>10</v>
      </c>
      <c r="G72" s="251"/>
    </row>
    <row r="73" spans="2:7" x14ac:dyDescent="0.25">
      <c r="B73" s="250">
        <v>11</v>
      </c>
      <c r="C73" s="302">
        <v>160</v>
      </c>
      <c r="D73" s="303"/>
      <c r="F73" s="250">
        <v>11</v>
      </c>
      <c r="G73" s="251"/>
    </row>
    <row r="74" spans="2:7" x14ac:dyDescent="0.25">
      <c r="B74" s="250">
        <v>12</v>
      </c>
      <c r="C74" s="302">
        <v>155</v>
      </c>
      <c r="D74" s="303"/>
      <c r="F74" s="250">
        <v>12</v>
      </c>
      <c r="G74" s="251"/>
    </row>
    <row r="75" spans="2:7" x14ac:dyDescent="0.25">
      <c r="B75" s="250">
        <v>13</v>
      </c>
      <c r="C75" s="302">
        <v>151</v>
      </c>
      <c r="D75" s="303"/>
      <c r="F75" s="250">
        <v>13</v>
      </c>
      <c r="G75" s="251"/>
    </row>
    <row r="76" spans="2:7" x14ac:dyDescent="0.25">
      <c r="B76" s="250">
        <v>14</v>
      </c>
      <c r="C76" s="302">
        <v>153</v>
      </c>
      <c r="D76" s="303"/>
      <c r="F76" s="250">
        <v>14</v>
      </c>
      <c r="G76" s="251"/>
    </row>
    <row r="77" spans="2:7" x14ac:dyDescent="0.25">
      <c r="B77" s="250">
        <v>15</v>
      </c>
      <c r="C77" s="302">
        <v>150</v>
      </c>
      <c r="D77" s="303"/>
      <c r="F77" s="250">
        <v>15</v>
      </c>
      <c r="G77" s="251"/>
    </row>
    <row r="78" spans="2:7" x14ac:dyDescent="0.25">
      <c r="B78" s="250">
        <v>16</v>
      </c>
      <c r="C78" s="302">
        <v>152</v>
      </c>
      <c r="D78" s="303"/>
      <c r="F78" s="250">
        <v>16</v>
      </c>
      <c r="G78" s="251"/>
    </row>
    <row r="79" spans="2:7" x14ac:dyDescent="0.25">
      <c r="B79" s="250">
        <v>17</v>
      </c>
      <c r="C79" s="302">
        <v>156</v>
      </c>
      <c r="D79" s="303"/>
      <c r="F79" s="250">
        <v>17</v>
      </c>
      <c r="G79" s="251"/>
    </row>
    <row r="80" spans="2:7" x14ac:dyDescent="0.25">
      <c r="B80" s="250">
        <v>18</v>
      </c>
      <c r="C80" s="302">
        <v>160</v>
      </c>
      <c r="D80" s="303"/>
      <c r="F80" s="250">
        <v>18</v>
      </c>
      <c r="G80" s="251"/>
    </row>
    <row r="81" spans="2:7" x14ac:dyDescent="0.25">
      <c r="B81" s="250">
        <v>19</v>
      </c>
      <c r="C81" s="302">
        <v>155</v>
      </c>
      <c r="D81" s="303"/>
      <c r="F81" s="250">
        <v>19</v>
      </c>
      <c r="G81" s="251"/>
    </row>
    <row r="82" spans="2:7" x14ac:dyDescent="0.25">
      <c r="B82" s="250">
        <v>20</v>
      </c>
      <c r="C82" s="302">
        <v>160</v>
      </c>
      <c r="D82" s="303"/>
      <c r="F82" s="250">
        <v>20</v>
      </c>
      <c r="G82" s="251"/>
    </row>
    <row r="83" spans="2:7" x14ac:dyDescent="0.25">
      <c r="B83" s="250">
        <v>21</v>
      </c>
      <c r="C83" s="302">
        <v>155</v>
      </c>
      <c r="D83" s="303"/>
      <c r="F83" s="250">
        <v>21</v>
      </c>
      <c r="G83" s="251"/>
    </row>
    <row r="84" spans="2:7" x14ac:dyDescent="0.25">
      <c r="B84" s="250">
        <v>22</v>
      </c>
      <c r="C84" s="302">
        <v>151</v>
      </c>
      <c r="D84" s="303"/>
      <c r="F84" s="250">
        <v>22</v>
      </c>
      <c r="G84" s="251"/>
    </row>
    <row r="85" spans="2:7" x14ac:dyDescent="0.25">
      <c r="B85" s="250">
        <v>23</v>
      </c>
      <c r="C85" s="302">
        <v>152</v>
      </c>
      <c r="D85" s="303"/>
      <c r="F85" s="250">
        <v>23</v>
      </c>
      <c r="G85" s="251"/>
    </row>
    <row r="86" spans="2:7" x14ac:dyDescent="0.25">
      <c r="B86" s="250">
        <v>24</v>
      </c>
      <c r="C86" s="302">
        <v>160</v>
      </c>
      <c r="D86" s="303"/>
      <c r="F86" s="250">
        <v>24</v>
      </c>
      <c r="G86" s="251"/>
    </row>
    <row r="87" spans="2:7" x14ac:dyDescent="0.25">
      <c r="B87" s="250">
        <v>25</v>
      </c>
      <c r="C87" s="302">
        <v>160</v>
      </c>
      <c r="D87" s="303"/>
      <c r="F87" s="250">
        <v>25</v>
      </c>
      <c r="G87" s="251"/>
    </row>
    <row r="88" spans="2:7" x14ac:dyDescent="0.25">
      <c r="B88" s="250">
        <v>26</v>
      </c>
      <c r="C88" s="302">
        <v>155</v>
      </c>
      <c r="D88" s="303"/>
      <c r="F88" s="250">
        <v>26</v>
      </c>
      <c r="G88" s="251"/>
    </row>
    <row r="89" spans="2:7" x14ac:dyDescent="0.25">
      <c r="B89" s="250">
        <v>27</v>
      </c>
      <c r="C89" s="302">
        <v>151</v>
      </c>
      <c r="D89" s="303"/>
      <c r="F89" s="250">
        <v>27</v>
      </c>
      <c r="G89" s="251"/>
    </row>
    <row r="90" spans="2:7" ht="15.75" thickBot="1" x14ac:dyDescent="0.3">
      <c r="B90" s="250">
        <v>28</v>
      </c>
      <c r="C90" s="312">
        <v>145</v>
      </c>
      <c r="D90" s="313"/>
      <c r="F90" s="250">
        <v>28</v>
      </c>
      <c r="G90" s="251"/>
    </row>
    <row r="91" spans="2:7" x14ac:dyDescent="0.25">
      <c r="B91" s="252" t="s">
        <v>35</v>
      </c>
      <c r="C91" s="310">
        <v>4477</v>
      </c>
      <c r="D91" s="311"/>
      <c r="F91" s="250">
        <v>29</v>
      </c>
      <c r="G91" s="251"/>
    </row>
    <row r="92" spans="2:7" x14ac:dyDescent="0.25">
      <c r="B92" s="253" t="s">
        <v>56</v>
      </c>
      <c r="C92" s="308">
        <v>18</v>
      </c>
      <c r="D92" s="309"/>
      <c r="F92" s="250">
        <v>30</v>
      </c>
      <c r="G92" s="251"/>
    </row>
    <row r="93" spans="2:7" ht="15.75" thickBot="1" x14ac:dyDescent="0.3">
      <c r="B93" s="254" t="s">
        <v>57</v>
      </c>
      <c r="C93" s="306">
        <v>4</v>
      </c>
      <c r="D93" s="307"/>
      <c r="F93" s="205">
        <v>31</v>
      </c>
      <c r="G93" s="213">
        <v>4235</v>
      </c>
    </row>
    <row r="94" spans="2:7" x14ac:dyDescent="0.25">
      <c r="F94" s="255" t="s">
        <v>35</v>
      </c>
      <c r="G94" s="256">
        <v>4235</v>
      </c>
    </row>
    <row r="95" spans="2:7" x14ac:dyDescent="0.25">
      <c r="F95" s="257" t="s">
        <v>56</v>
      </c>
      <c r="G95" s="258">
        <v>22</v>
      </c>
    </row>
    <row r="96" spans="2:7" ht="15.75" thickBot="1" x14ac:dyDescent="0.3">
      <c r="F96" s="254" t="s">
        <v>57</v>
      </c>
      <c r="G96" s="206">
        <v>5.2</v>
      </c>
    </row>
  </sheetData>
  <sheetProtection algorithmName="SHA-512" hashValue="BLvExFaTFg9oVq7u4GdD0hy7SK29KB3eeVKPmUsTrDyyb1R/HSptxQrx7gq/tOXKsozPcAonvU7KgDp61+iMyA==" saltValue="UkvH35kYld0UQNSg8Yc+SA==" spinCount="100000" sheet="1"/>
  <mergeCells count="97">
    <mergeCell ref="B61:D61"/>
    <mergeCell ref="C67:D67"/>
    <mergeCell ref="C66:D66"/>
    <mergeCell ref="C65:D65"/>
    <mergeCell ref="C64:D64"/>
    <mergeCell ref="C63:D63"/>
    <mergeCell ref="N14:O14"/>
    <mergeCell ref="N13:O13"/>
    <mergeCell ref="N12:O12"/>
    <mergeCell ref="N10:P10"/>
    <mergeCell ref="N11:O11"/>
    <mergeCell ref="N22:O22"/>
    <mergeCell ref="N21:O21"/>
    <mergeCell ref="N20:O20"/>
    <mergeCell ref="N19:O19"/>
    <mergeCell ref="I22:L22"/>
    <mergeCell ref="I21:L21"/>
    <mergeCell ref="I20:L20"/>
    <mergeCell ref="I19:L19"/>
    <mergeCell ref="N18:O18"/>
    <mergeCell ref="N17:O17"/>
    <mergeCell ref="N16:O16"/>
    <mergeCell ref="N15:O15"/>
    <mergeCell ref="I18:L18"/>
    <mergeCell ref="I17:L17"/>
    <mergeCell ref="I16:L16"/>
    <mergeCell ref="I15:L15"/>
    <mergeCell ref="B6:C6"/>
    <mergeCell ref="B4:G4"/>
    <mergeCell ref="C33:E33"/>
    <mergeCell ref="D6:G6"/>
    <mergeCell ref="C29:D29"/>
    <mergeCell ref="F22:G22"/>
    <mergeCell ref="F21:G21"/>
    <mergeCell ref="F20:G20"/>
    <mergeCell ref="F12:G12"/>
    <mergeCell ref="F11:G11"/>
    <mergeCell ref="F10:G10"/>
    <mergeCell ref="F18:G18"/>
    <mergeCell ref="F17:G17"/>
    <mergeCell ref="F16:G16"/>
    <mergeCell ref="F15:G15"/>
    <mergeCell ref="F14:G14"/>
    <mergeCell ref="M33:N33"/>
    <mergeCell ref="M32:N32"/>
    <mergeCell ref="M31:N31"/>
    <mergeCell ref="M30:N30"/>
    <mergeCell ref="K33:L33"/>
    <mergeCell ref="K32:L32"/>
    <mergeCell ref="K31:L31"/>
    <mergeCell ref="K30:L30"/>
    <mergeCell ref="H33:I33"/>
    <mergeCell ref="H32:I32"/>
    <mergeCell ref="H31:I31"/>
    <mergeCell ref="H30:I30"/>
    <mergeCell ref="C8:G8"/>
    <mergeCell ref="C30:E30"/>
    <mergeCell ref="C32:E32"/>
    <mergeCell ref="C31:E31"/>
    <mergeCell ref="F13:G13"/>
    <mergeCell ref="F19:G19"/>
    <mergeCell ref="I11:L11"/>
    <mergeCell ref="I14:L14"/>
    <mergeCell ref="I13:L13"/>
    <mergeCell ref="I12:L12"/>
    <mergeCell ref="I10:L10"/>
    <mergeCell ref="C93:D93"/>
    <mergeCell ref="C92:D92"/>
    <mergeCell ref="C91:D91"/>
    <mergeCell ref="C90:D90"/>
    <mergeCell ref="C89:D89"/>
    <mergeCell ref="C88:D88"/>
    <mergeCell ref="C87:D87"/>
    <mergeCell ref="C86:D86"/>
    <mergeCell ref="C85:D85"/>
    <mergeCell ref="C84:D84"/>
    <mergeCell ref="C83:D83"/>
    <mergeCell ref="C82:D82"/>
    <mergeCell ref="C81:D81"/>
    <mergeCell ref="C80:D80"/>
    <mergeCell ref="C79:D79"/>
    <mergeCell ref="F61:G61"/>
    <mergeCell ref="B28:G28"/>
    <mergeCell ref="B45:G45"/>
    <mergeCell ref="B60:G60"/>
    <mergeCell ref="C78:D78"/>
    <mergeCell ref="C77:D77"/>
    <mergeCell ref="C76:D76"/>
    <mergeCell ref="C75:D75"/>
    <mergeCell ref="C74:D74"/>
    <mergeCell ref="C62:D62"/>
    <mergeCell ref="C73:D73"/>
    <mergeCell ref="C72:D72"/>
    <mergeCell ref="C71:D71"/>
    <mergeCell ref="C70:D70"/>
    <mergeCell ref="C69:D69"/>
    <mergeCell ref="C68:D68"/>
  </mergeCells>
  <pageMargins left="0.7" right="0.7" top="0.75" bottom="0.75" header="0.3" footer="0.3"/>
  <pageSetup orientation="portrait" r:id="rId1"/>
  <drawing r:id="rId2"/>
  <tableParts count="2">
    <tablePart r:id="rId3"/>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2EF30A-5B1A-4081-A013-358929BDC1F8}">
  <sheetPr>
    <pageSetUpPr autoPageBreaks="0" fitToPage="1"/>
  </sheetPr>
  <dimension ref="A1:V197"/>
  <sheetViews>
    <sheetView showGridLines="0" zoomScaleNormal="100" zoomScaleSheetLayoutView="98" workbookViewId="0">
      <selection activeCell="B4" sqref="B4"/>
    </sheetView>
  </sheetViews>
  <sheetFormatPr defaultRowHeight="15" x14ac:dyDescent="0.25"/>
  <cols>
    <col min="1" max="1" width="1.28515625" customWidth="1"/>
    <col min="2" max="2" width="5.85546875" customWidth="1"/>
    <col min="3" max="3" width="17.140625" customWidth="1"/>
    <col min="4" max="4" width="9.28515625" customWidth="1"/>
    <col min="5" max="5" width="11" customWidth="1"/>
    <col min="6" max="6" width="8" customWidth="1"/>
    <col min="7" max="7" width="12.140625" customWidth="1"/>
    <col min="8" max="8" width="10.5703125" customWidth="1"/>
    <col min="9" max="9" width="7.7109375" customWidth="1"/>
    <col min="10" max="10" width="6" customWidth="1"/>
    <col min="11" max="11" width="4.7109375" customWidth="1"/>
    <col min="12" max="12" width="9.28515625" customWidth="1"/>
    <col min="13" max="14" width="4.7109375" customWidth="1"/>
    <col min="15" max="15" width="12.140625" customWidth="1"/>
    <col min="16" max="17" width="23.7109375" customWidth="1"/>
    <col min="18" max="18" width="8.7109375" customWidth="1"/>
    <col min="19" max="19" width="23.7109375" customWidth="1"/>
    <col min="20" max="22" width="11.7109375" customWidth="1"/>
    <col min="23" max="24" width="10.7109375" customWidth="1"/>
  </cols>
  <sheetData>
    <row r="1" spans="1:22" ht="18.75" customHeight="1" x14ac:dyDescent="0.25">
      <c r="B1" s="13" t="s">
        <v>28</v>
      </c>
      <c r="C1" s="14">
        <f>'Data Validation'!$C$4</f>
        <v>0</v>
      </c>
      <c r="D1" s="15" t="str">
        <f>IF(OR($C$1="",$C$1=0),"Enter Year in Data Validation tab",'Data Validation'!$C$2&amp;" January ")</f>
        <v>Enter Year in Data Validation tab</v>
      </c>
      <c r="E1" s="16"/>
      <c r="F1" s="16"/>
      <c r="G1" s="16"/>
      <c r="H1" s="16"/>
      <c r="I1" s="16"/>
      <c r="J1" s="16"/>
      <c r="K1" s="16"/>
      <c r="L1" s="16"/>
      <c r="M1" s="16"/>
      <c r="N1" s="4"/>
      <c r="O1" s="16"/>
      <c r="P1" s="16"/>
      <c r="Q1" s="16"/>
      <c r="R1" s="17" t="s">
        <v>59</v>
      </c>
      <c r="S1" s="14" t="str">
        <f>IF(COUNTIFS(Jan[Resident Name],"&lt;&gt;")=0,"No Data",COUNTIFS(Jan[Resident Name],"&lt;&gt;"))</f>
        <v>No Data</v>
      </c>
      <c r="T1" s="17" t="s">
        <v>62</v>
      </c>
      <c r="U1" s="14" t="str">
        <f>'Fall Rate and Census'!$B$36</f>
        <v>No Data</v>
      </c>
    </row>
    <row r="2" spans="1:22" ht="8.1" customHeight="1" x14ac:dyDescent="0.25">
      <c r="B2" s="18"/>
      <c r="C2" s="16"/>
      <c r="D2" s="16"/>
      <c r="E2" s="16"/>
      <c r="F2" s="16"/>
      <c r="G2" s="16"/>
      <c r="H2" s="16"/>
      <c r="I2" s="16"/>
      <c r="J2" s="16"/>
      <c r="K2" s="16"/>
      <c r="L2" s="16"/>
      <c r="M2" s="16"/>
      <c r="N2" s="16"/>
      <c r="O2" s="16"/>
      <c r="P2" s="16"/>
      <c r="Q2" s="16"/>
      <c r="R2" s="16"/>
    </row>
    <row r="3" spans="1:22" ht="22.35" customHeight="1" x14ac:dyDescent="0.25">
      <c r="B3" s="19" t="s">
        <v>104</v>
      </c>
      <c r="C3" s="19" t="s">
        <v>105</v>
      </c>
      <c r="D3" s="20" t="s">
        <v>0</v>
      </c>
      <c r="E3" s="20" t="s">
        <v>89</v>
      </c>
      <c r="F3" s="20" t="s">
        <v>84</v>
      </c>
      <c r="G3" s="20" t="s">
        <v>100</v>
      </c>
      <c r="H3" s="20" t="s">
        <v>90</v>
      </c>
      <c r="I3" s="20" t="s">
        <v>1</v>
      </c>
      <c r="J3" s="20" t="s">
        <v>2</v>
      </c>
      <c r="K3" s="20" t="s">
        <v>3</v>
      </c>
      <c r="L3" s="20" t="s">
        <v>33</v>
      </c>
      <c r="M3" s="20" t="s">
        <v>34</v>
      </c>
      <c r="N3" s="20" t="s">
        <v>26</v>
      </c>
      <c r="O3" s="20" t="s">
        <v>30</v>
      </c>
      <c r="P3" s="19" t="s">
        <v>158</v>
      </c>
      <c r="Q3" s="19" t="s">
        <v>80</v>
      </c>
      <c r="R3" s="20" t="s">
        <v>81</v>
      </c>
      <c r="S3" s="20" t="s">
        <v>92</v>
      </c>
      <c r="T3" s="12" t="s">
        <v>95</v>
      </c>
      <c r="U3" s="12" t="s">
        <v>94</v>
      </c>
      <c r="V3" s="12" t="s">
        <v>96</v>
      </c>
    </row>
    <row r="4" spans="1:22" ht="20.85" customHeight="1" x14ac:dyDescent="0.25">
      <c r="A4" s="192"/>
      <c r="B4" s="266"/>
      <c r="C4" s="5"/>
      <c r="D4" s="263"/>
      <c r="E4" s="263"/>
      <c r="F4" s="266"/>
      <c r="G4" s="267"/>
      <c r="H4" s="2"/>
      <c r="I4" s="2"/>
      <c r="J4" s="2"/>
      <c r="K4" s="24" t="str">
        <f>IF(Jan[[#This Row],[Date of Incident]]="","",TEXT(Jan[[#This Row],[Date of Incident]],"ddd"))</f>
        <v/>
      </c>
      <c r="L4" s="1"/>
      <c r="M4" s="24" t="str">
        <f>IFERROR(VLOOKUP(Jan[[#This Row],[Hour]],Shifts[],2,FALSE),"")</f>
        <v/>
      </c>
      <c r="N4" s="2"/>
      <c r="O4" s="24" t="str">
        <f>IFERROR(VLOOKUP(Jan[[#This Row],[BIMS Score]],BIMS[],2,FALSE),"")</f>
        <v/>
      </c>
      <c r="P4" s="3"/>
      <c r="Q4" s="3"/>
      <c r="R4" s="2"/>
      <c r="S4" s="168"/>
      <c r="T4" s="3"/>
      <c r="U4" s="3"/>
      <c r="V4" s="3"/>
    </row>
    <row r="5" spans="1:22" ht="20.85" customHeight="1" x14ac:dyDescent="0.25">
      <c r="A5" s="192"/>
      <c r="B5" s="266"/>
      <c r="C5" s="5"/>
      <c r="D5" s="263"/>
      <c r="E5" s="263"/>
      <c r="F5" s="266"/>
      <c r="G5" s="267"/>
      <c r="H5" s="2"/>
      <c r="I5" s="2"/>
      <c r="J5" s="2"/>
      <c r="K5" s="24" t="str">
        <f>IF(Jan[[#This Row],[Date of Incident]]="","",TEXT(Jan[[#This Row],[Date of Incident]],"ddd"))</f>
        <v/>
      </c>
      <c r="L5" s="1"/>
      <c r="M5" s="24" t="str">
        <f>IFERROR(VLOOKUP(Jan[[#This Row],[Hour]],Shifts[],2,FALSE),"")</f>
        <v/>
      </c>
      <c r="N5" s="2"/>
      <c r="O5" s="24" t="str">
        <f>IFERROR(VLOOKUP(Jan[[#This Row],[BIMS Score]],BIMS[],2,FALSE),"")</f>
        <v/>
      </c>
      <c r="P5" s="3"/>
      <c r="Q5" s="3"/>
      <c r="R5" s="2"/>
      <c r="S5" s="168"/>
      <c r="T5" s="3"/>
      <c r="U5" s="3"/>
      <c r="V5" s="3"/>
    </row>
    <row r="6" spans="1:22" ht="20.85" customHeight="1" x14ac:dyDescent="0.25">
      <c r="A6" s="192"/>
      <c r="B6" s="266"/>
      <c r="C6" s="5"/>
      <c r="D6" s="263"/>
      <c r="E6" s="263"/>
      <c r="F6" s="266"/>
      <c r="G6" s="267"/>
      <c r="H6" s="2"/>
      <c r="I6" s="2"/>
      <c r="J6" s="2"/>
      <c r="K6" s="24" t="str">
        <f>IF(Jan[[#This Row],[Date of Incident]]="","",TEXT(Jan[[#This Row],[Date of Incident]],"ddd"))</f>
        <v/>
      </c>
      <c r="L6" s="1"/>
      <c r="M6" s="24" t="str">
        <f>IFERROR(VLOOKUP(Jan[[#This Row],[Hour]],Shifts[],2,FALSE),"")</f>
        <v/>
      </c>
      <c r="N6" s="2"/>
      <c r="O6" s="24" t="str">
        <f>IFERROR(VLOOKUP(Jan[[#This Row],[BIMS Score]],BIMS[],2,FALSE),"")</f>
        <v/>
      </c>
      <c r="P6" s="3"/>
      <c r="Q6" s="3"/>
      <c r="R6" s="2"/>
      <c r="S6" s="168"/>
      <c r="T6" s="3"/>
      <c r="U6" s="3"/>
      <c r="V6" s="3"/>
    </row>
    <row r="7" spans="1:22" ht="20.85" customHeight="1" x14ac:dyDescent="0.25">
      <c r="A7" s="192"/>
      <c r="B7" s="266"/>
      <c r="C7" s="5"/>
      <c r="D7" s="263"/>
      <c r="E7" s="263"/>
      <c r="F7" s="266"/>
      <c r="G7" s="267"/>
      <c r="H7" s="2"/>
      <c r="I7" s="2"/>
      <c r="J7" s="2"/>
      <c r="K7" s="24" t="str">
        <f>IF(Jan[[#This Row],[Date of Incident]]="","",TEXT(Jan[[#This Row],[Date of Incident]],"ddd"))</f>
        <v/>
      </c>
      <c r="L7" s="1"/>
      <c r="M7" s="24" t="str">
        <f>IFERROR(VLOOKUP(Jan[[#This Row],[Hour]],Shifts[],2,FALSE),"")</f>
        <v/>
      </c>
      <c r="N7" s="2"/>
      <c r="O7" s="24" t="str">
        <f>IFERROR(VLOOKUP(Jan[[#This Row],[BIMS Score]],BIMS[],2,FALSE),"")</f>
        <v/>
      </c>
      <c r="P7" s="3"/>
      <c r="Q7" s="3"/>
      <c r="R7" s="2"/>
      <c r="S7" s="168"/>
      <c r="T7" s="3"/>
      <c r="U7" s="3"/>
      <c r="V7" s="3"/>
    </row>
    <row r="8" spans="1:22" ht="20.85" customHeight="1" x14ac:dyDescent="0.25">
      <c r="A8" s="192"/>
      <c r="B8" s="266"/>
      <c r="C8" s="5"/>
      <c r="D8" s="263"/>
      <c r="E8" s="263"/>
      <c r="F8" s="266"/>
      <c r="G8" s="267"/>
      <c r="H8" s="2"/>
      <c r="I8" s="2"/>
      <c r="J8" s="2"/>
      <c r="K8" s="24" t="str">
        <f>IF(Jan[[#This Row],[Date of Incident]]="","",TEXT(Jan[[#This Row],[Date of Incident]],"ddd"))</f>
        <v/>
      </c>
      <c r="L8" s="1"/>
      <c r="M8" s="24" t="str">
        <f>IFERROR(VLOOKUP(Jan[[#This Row],[Hour]],Shifts[],2,FALSE),"")</f>
        <v/>
      </c>
      <c r="N8" s="2"/>
      <c r="O8" s="24" t="str">
        <f>IFERROR(VLOOKUP(Jan[[#This Row],[BIMS Score]],BIMS[],2,FALSE),"")</f>
        <v/>
      </c>
      <c r="P8" s="3"/>
      <c r="Q8" s="3"/>
      <c r="R8" s="2"/>
      <c r="S8" s="168"/>
      <c r="T8" s="3"/>
      <c r="U8" s="3"/>
      <c r="V8" s="3"/>
    </row>
    <row r="9" spans="1:22" ht="20.85" customHeight="1" x14ac:dyDescent="0.25">
      <c r="A9" s="192"/>
      <c r="B9" s="266"/>
      <c r="C9" s="5"/>
      <c r="D9" s="263"/>
      <c r="E9" s="263"/>
      <c r="F9" s="266"/>
      <c r="G9" s="267"/>
      <c r="H9" s="2"/>
      <c r="I9" s="2"/>
      <c r="J9" s="2"/>
      <c r="K9" s="24" t="str">
        <f>IF(Jan[[#This Row],[Date of Incident]]="","",TEXT(Jan[[#This Row],[Date of Incident]],"ddd"))</f>
        <v/>
      </c>
      <c r="L9" s="1"/>
      <c r="M9" s="24" t="str">
        <f>IFERROR(VLOOKUP(Jan[[#This Row],[Hour]],Shifts[],2,FALSE),"")</f>
        <v/>
      </c>
      <c r="N9" s="2"/>
      <c r="O9" s="24" t="str">
        <f>IFERROR(VLOOKUP(Jan[[#This Row],[BIMS Score]],BIMS[],2,FALSE),"")</f>
        <v/>
      </c>
      <c r="P9" s="3"/>
      <c r="Q9" s="3"/>
      <c r="R9" s="2"/>
      <c r="S9" s="168"/>
      <c r="T9" s="3"/>
      <c r="U9" s="3"/>
      <c r="V9" s="3"/>
    </row>
    <row r="10" spans="1:22" ht="20.85" customHeight="1" x14ac:dyDescent="0.25">
      <c r="A10" s="192"/>
      <c r="B10" s="266"/>
      <c r="C10" s="5"/>
      <c r="D10" s="263"/>
      <c r="E10" s="263"/>
      <c r="F10" s="266"/>
      <c r="G10" s="267"/>
      <c r="H10" s="2"/>
      <c r="I10" s="2"/>
      <c r="J10" s="2"/>
      <c r="K10" s="24" t="str">
        <f>IF(Jan[[#This Row],[Date of Incident]]="","",TEXT(Jan[[#This Row],[Date of Incident]],"ddd"))</f>
        <v/>
      </c>
      <c r="L10" s="1"/>
      <c r="M10" s="24" t="str">
        <f>IFERROR(VLOOKUP(Jan[[#This Row],[Hour]],Shifts[],2,FALSE),"")</f>
        <v/>
      </c>
      <c r="N10" s="2"/>
      <c r="O10" s="24" t="str">
        <f>IFERROR(VLOOKUP(Jan[[#This Row],[BIMS Score]],BIMS[],2,FALSE),"")</f>
        <v/>
      </c>
      <c r="P10" s="3"/>
      <c r="Q10" s="3"/>
      <c r="R10" s="2"/>
      <c r="S10" s="168"/>
      <c r="T10" s="3"/>
      <c r="U10" s="3"/>
      <c r="V10" s="3"/>
    </row>
    <row r="11" spans="1:22" ht="20.85" customHeight="1" x14ac:dyDescent="0.25">
      <c r="A11" s="192"/>
      <c r="B11" s="266"/>
      <c r="C11" s="5"/>
      <c r="D11" s="263"/>
      <c r="E11" s="263"/>
      <c r="F11" s="266"/>
      <c r="G11" s="267"/>
      <c r="H11" s="2"/>
      <c r="I11" s="2"/>
      <c r="J11" s="2"/>
      <c r="K11" s="24" t="str">
        <f>IF(Jan[[#This Row],[Date of Incident]]="","",TEXT(Jan[[#This Row],[Date of Incident]],"ddd"))</f>
        <v/>
      </c>
      <c r="L11" s="1"/>
      <c r="M11" s="24" t="str">
        <f>IFERROR(VLOOKUP(Jan[[#This Row],[Hour]],Shifts[],2,FALSE),"")</f>
        <v/>
      </c>
      <c r="N11" s="2"/>
      <c r="O11" s="24" t="str">
        <f>IFERROR(VLOOKUP(Jan[[#This Row],[BIMS Score]],BIMS[],2,FALSE),"")</f>
        <v/>
      </c>
      <c r="P11" s="3"/>
      <c r="Q11" s="3"/>
      <c r="R11" s="2"/>
      <c r="S11" s="168"/>
      <c r="T11" s="3"/>
      <c r="U11" s="3"/>
      <c r="V11" s="3"/>
    </row>
    <row r="12" spans="1:22" ht="20.85" customHeight="1" x14ac:dyDescent="0.25">
      <c r="A12" s="192"/>
      <c r="B12" s="267"/>
      <c r="C12" s="5"/>
      <c r="D12" s="264"/>
      <c r="E12" s="263"/>
      <c r="F12" s="267"/>
      <c r="G12" s="267"/>
      <c r="H12" s="2"/>
      <c r="I12" s="2"/>
      <c r="J12" s="2"/>
      <c r="K12" s="24" t="str">
        <f>IF(Jan[[#This Row],[Date of Incident]]="","",TEXT(Jan[[#This Row],[Date of Incident]],"ddd"))</f>
        <v/>
      </c>
      <c r="L12" s="1"/>
      <c r="M12" s="24" t="str">
        <f>IFERROR(VLOOKUP(Jan[[#This Row],[Hour]],Shifts[],2,FALSE),"")</f>
        <v/>
      </c>
      <c r="N12" s="2"/>
      <c r="O12" s="24" t="str">
        <f>IFERROR(VLOOKUP(Jan[[#This Row],[BIMS Score]],BIMS[],2,FALSE),"")</f>
        <v/>
      </c>
      <c r="P12" s="3"/>
      <c r="Q12" s="3"/>
      <c r="R12" s="2"/>
      <c r="S12" s="168"/>
      <c r="T12" s="3"/>
      <c r="U12" s="3"/>
      <c r="V12" s="3"/>
    </row>
    <row r="13" spans="1:22" ht="20.85" customHeight="1" x14ac:dyDescent="0.25">
      <c r="A13" s="192"/>
      <c r="B13" s="267"/>
      <c r="C13" s="5"/>
      <c r="D13" s="264"/>
      <c r="E13" s="263"/>
      <c r="F13" s="267"/>
      <c r="G13" s="267"/>
      <c r="H13" s="2"/>
      <c r="I13" s="2"/>
      <c r="J13" s="2"/>
      <c r="K13" s="24" t="str">
        <f>IF(Jan[[#This Row],[Date of Incident]]="","",TEXT(Jan[[#This Row],[Date of Incident]],"ddd"))</f>
        <v/>
      </c>
      <c r="L13" s="1"/>
      <c r="M13" s="24" t="str">
        <f>IFERROR(VLOOKUP(Jan[[#This Row],[Hour]],Shifts[],2,FALSE),"")</f>
        <v/>
      </c>
      <c r="N13" s="2"/>
      <c r="O13" s="24" t="str">
        <f>IFERROR(VLOOKUP(Jan[[#This Row],[BIMS Score]],BIMS[],2,FALSE),"")</f>
        <v/>
      </c>
      <c r="P13" s="3"/>
      <c r="Q13" s="3"/>
      <c r="R13" s="2"/>
      <c r="S13" s="168"/>
      <c r="T13" s="3"/>
      <c r="U13" s="3"/>
      <c r="V13" s="3"/>
    </row>
    <row r="14" spans="1:22" ht="20.85" customHeight="1" x14ac:dyDescent="0.25">
      <c r="A14" s="192"/>
      <c r="B14" s="267"/>
      <c r="C14" s="5"/>
      <c r="D14" s="264"/>
      <c r="E14" s="263"/>
      <c r="F14" s="267"/>
      <c r="G14" s="267"/>
      <c r="H14" s="2"/>
      <c r="I14" s="2"/>
      <c r="J14" s="2"/>
      <c r="K14" s="24" t="str">
        <f>IF(Jan[[#This Row],[Date of Incident]]="","",TEXT(Jan[[#This Row],[Date of Incident]],"ddd"))</f>
        <v/>
      </c>
      <c r="L14" s="1"/>
      <c r="M14" s="24" t="str">
        <f>IFERROR(VLOOKUP(Jan[[#This Row],[Hour]],Shifts[],2,FALSE),"")</f>
        <v/>
      </c>
      <c r="N14" s="2"/>
      <c r="O14" s="24" t="str">
        <f>IFERROR(VLOOKUP(Jan[[#This Row],[BIMS Score]],BIMS[],2,FALSE),"")</f>
        <v/>
      </c>
      <c r="P14" s="3"/>
      <c r="Q14" s="3"/>
      <c r="R14" s="2"/>
      <c r="S14" s="168"/>
      <c r="T14" s="3"/>
      <c r="U14" s="3"/>
      <c r="V14" s="3"/>
    </row>
    <row r="15" spans="1:22" ht="20.85" customHeight="1" x14ac:dyDescent="0.25">
      <c r="A15" s="192"/>
      <c r="B15" s="267"/>
      <c r="C15" s="5"/>
      <c r="D15" s="264"/>
      <c r="E15" s="263"/>
      <c r="F15" s="267"/>
      <c r="G15" s="267"/>
      <c r="H15" s="2"/>
      <c r="I15" s="2"/>
      <c r="J15" s="2"/>
      <c r="K15" s="24" t="str">
        <f>IF(Jan[[#This Row],[Date of Incident]]="","",TEXT(Jan[[#This Row],[Date of Incident]],"ddd"))</f>
        <v/>
      </c>
      <c r="L15" s="1"/>
      <c r="M15" s="24" t="str">
        <f>IFERROR(VLOOKUP(Jan[[#This Row],[Hour]],Shifts[],2,FALSE),"")</f>
        <v/>
      </c>
      <c r="N15" s="2"/>
      <c r="O15" s="24" t="str">
        <f>IFERROR(VLOOKUP(Jan[[#This Row],[BIMS Score]],BIMS[],2,FALSE),"")</f>
        <v/>
      </c>
      <c r="P15" s="3"/>
      <c r="Q15" s="3"/>
      <c r="R15" s="2"/>
      <c r="S15" s="168"/>
      <c r="T15" s="3"/>
      <c r="U15" s="3"/>
      <c r="V15" s="3"/>
    </row>
    <row r="16" spans="1:22" ht="20.85" customHeight="1" x14ac:dyDescent="0.25">
      <c r="A16" s="192"/>
      <c r="B16" s="267"/>
      <c r="C16" s="3"/>
      <c r="D16" s="264"/>
      <c r="E16" s="264"/>
      <c r="F16" s="267"/>
      <c r="G16" s="267"/>
      <c r="H16" s="2"/>
      <c r="I16" s="2"/>
      <c r="J16" s="2"/>
      <c r="K16" s="24" t="str">
        <f>IF(Jan[[#This Row],[Date of Incident]]="","",TEXT(Jan[[#This Row],[Date of Incident]],"ddd"))</f>
        <v/>
      </c>
      <c r="L16" s="1"/>
      <c r="M16" s="24" t="str">
        <f>IFERROR(VLOOKUP(Jan[[#This Row],[Hour]],Shifts[],2,FALSE),"")</f>
        <v/>
      </c>
      <c r="N16" s="2"/>
      <c r="O16" s="24" t="str">
        <f>IFERROR(VLOOKUP(Jan[[#This Row],[BIMS Score]],BIMS[],2,FALSE),"")</f>
        <v/>
      </c>
      <c r="P16" s="3"/>
      <c r="Q16" s="3"/>
      <c r="R16" s="2"/>
      <c r="S16" s="168"/>
      <c r="T16" s="3"/>
      <c r="U16" s="3"/>
      <c r="V16" s="3"/>
    </row>
    <row r="17" spans="1:22" ht="20.85" customHeight="1" x14ac:dyDescent="0.25">
      <c r="A17" s="192"/>
      <c r="B17" s="267"/>
      <c r="C17" s="3"/>
      <c r="D17" s="264"/>
      <c r="E17" s="264"/>
      <c r="F17" s="267"/>
      <c r="G17" s="267"/>
      <c r="H17" s="2"/>
      <c r="I17" s="2"/>
      <c r="J17" s="2"/>
      <c r="K17" s="24" t="str">
        <f>IF(Jan[[#This Row],[Date of Incident]]="","",TEXT(Jan[[#This Row],[Date of Incident]],"ddd"))</f>
        <v/>
      </c>
      <c r="L17" s="1"/>
      <c r="M17" s="24" t="str">
        <f>IFERROR(VLOOKUP(Jan[[#This Row],[Hour]],Shifts[],2,FALSE),"")</f>
        <v/>
      </c>
      <c r="N17" s="2"/>
      <c r="O17" s="24" t="str">
        <f>IFERROR(VLOOKUP(Jan[[#This Row],[BIMS Score]],BIMS[],2,FALSE),"")</f>
        <v/>
      </c>
      <c r="P17" s="3"/>
      <c r="Q17" s="3"/>
      <c r="R17" s="2"/>
      <c r="S17" s="168"/>
      <c r="T17" s="3"/>
      <c r="U17" s="3"/>
      <c r="V17" s="3"/>
    </row>
    <row r="18" spans="1:22" ht="20.85" customHeight="1" x14ac:dyDescent="0.25">
      <c r="A18" s="192"/>
      <c r="B18" s="267"/>
      <c r="C18" s="3"/>
      <c r="D18" s="264"/>
      <c r="E18" s="264"/>
      <c r="F18" s="267"/>
      <c r="G18" s="267"/>
      <c r="H18" s="2"/>
      <c r="I18" s="2"/>
      <c r="J18" s="2"/>
      <c r="K18" s="24" t="str">
        <f>IF(Jan[[#This Row],[Date of Incident]]="","",TEXT(Jan[[#This Row],[Date of Incident]],"ddd"))</f>
        <v/>
      </c>
      <c r="L18" s="1"/>
      <c r="M18" s="24" t="str">
        <f>IFERROR(VLOOKUP(Jan[[#This Row],[Hour]],Shifts[],2,FALSE),"")</f>
        <v/>
      </c>
      <c r="N18" s="2"/>
      <c r="O18" s="24" t="str">
        <f>IFERROR(VLOOKUP(Jan[[#This Row],[BIMS Score]],BIMS[],2,FALSE),"")</f>
        <v/>
      </c>
      <c r="P18" s="3"/>
      <c r="Q18" s="3"/>
      <c r="R18" s="2"/>
      <c r="S18" s="168"/>
      <c r="T18" s="3"/>
      <c r="U18" s="3"/>
      <c r="V18" s="3"/>
    </row>
    <row r="19" spans="1:22" ht="20.85" customHeight="1" x14ac:dyDescent="0.25">
      <c r="A19" s="192"/>
      <c r="B19" s="267"/>
      <c r="C19" s="3"/>
      <c r="D19" s="264"/>
      <c r="E19" s="264"/>
      <c r="F19" s="267"/>
      <c r="G19" s="267"/>
      <c r="H19" s="2"/>
      <c r="I19" s="2"/>
      <c r="J19" s="2"/>
      <c r="K19" s="24" t="str">
        <f>IF(Jan[[#This Row],[Date of Incident]]="","",TEXT(Jan[[#This Row],[Date of Incident]],"ddd"))</f>
        <v/>
      </c>
      <c r="L19" s="1"/>
      <c r="M19" s="24" t="str">
        <f>IFERROR(VLOOKUP(Jan[[#This Row],[Hour]],Shifts[],2,FALSE),"")</f>
        <v/>
      </c>
      <c r="N19" s="2"/>
      <c r="O19" s="24" t="str">
        <f>IFERROR(VLOOKUP(Jan[[#This Row],[BIMS Score]],BIMS[],2,FALSE),"")</f>
        <v/>
      </c>
      <c r="P19" s="3"/>
      <c r="Q19" s="3"/>
      <c r="R19" s="2"/>
      <c r="S19" s="168"/>
      <c r="T19" s="3"/>
      <c r="U19" s="3"/>
      <c r="V19" s="3"/>
    </row>
    <row r="20" spans="1:22" ht="20.85" customHeight="1" x14ac:dyDescent="0.25">
      <c r="A20" s="192"/>
      <c r="B20" s="267"/>
      <c r="C20" s="3"/>
      <c r="D20" s="264"/>
      <c r="E20" s="264"/>
      <c r="F20" s="267"/>
      <c r="G20" s="267"/>
      <c r="H20" s="2"/>
      <c r="I20" s="2"/>
      <c r="J20" s="2"/>
      <c r="K20" s="24" t="str">
        <f>IF(Jan[[#This Row],[Date of Incident]]="","",TEXT(Jan[[#This Row],[Date of Incident]],"ddd"))</f>
        <v/>
      </c>
      <c r="L20" s="1"/>
      <c r="M20" s="24" t="str">
        <f>IFERROR(VLOOKUP(Jan[[#This Row],[Hour]],Shifts[],2,FALSE),"")</f>
        <v/>
      </c>
      <c r="N20" s="2"/>
      <c r="O20" s="24" t="str">
        <f>IFERROR(VLOOKUP(Jan[[#This Row],[BIMS Score]],BIMS[],2,FALSE),"")</f>
        <v/>
      </c>
      <c r="P20" s="3"/>
      <c r="Q20" s="3"/>
      <c r="R20" s="2"/>
      <c r="S20" s="168"/>
      <c r="T20" s="3"/>
      <c r="U20" s="3"/>
      <c r="V20" s="3"/>
    </row>
    <row r="21" spans="1:22" ht="20.85" customHeight="1" x14ac:dyDescent="0.25">
      <c r="A21" s="192"/>
      <c r="B21" s="267"/>
      <c r="C21" s="3"/>
      <c r="D21" s="264"/>
      <c r="E21" s="264"/>
      <c r="F21" s="267"/>
      <c r="G21" s="267"/>
      <c r="H21" s="2"/>
      <c r="I21" s="2"/>
      <c r="J21" s="2"/>
      <c r="K21" s="24" t="str">
        <f>IF(Jan[[#This Row],[Date of Incident]]="","",TEXT(Jan[[#This Row],[Date of Incident]],"ddd"))</f>
        <v/>
      </c>
      <c r="L21" s="1"/>
      <c r="M21" s="24" t="str">
        <f>IFERROR(VLOOKUP(Jan[[#This Row],[Hour]],Shifts[],2,FALSE),"")</f>
        <v/>
      </c>
      <c r="N21" s="2"/>
      <c r="O21" s="24" t="str">
        <f>IFERROR(VLOOKUP(Jan[[#This Row],[BIMS Score]],BIMS[],2,FALSE),"")</f>
        <v/>
      </c>
      <c r="P21" s="3"/>
      <c r="Q21" s="3"/>
      <c r="R21" s="2"/>
      <c r="S21" s="168"/>
      <c r="T21" s="3"/>
      <c r="U21" s="3"/>
      <c r="V21" s="3"/>
    </row>
    <row r="22" spans="1:22" ht="20.85" customHeight="1" x14ac:dyDescent="0.25">
      <c r="A22" s="192"/>
      <c r="B22" s="267"/>
      <c r="C22" s="3"/>
      <c r="D22" s="264"/>
      <c r="E22" s="264"/>
      <c r="F22" s="267"/>
      <c r="G22" s="267"/>
      <c r="H22" s="2"/>
      <c r="I22" s="2"/>
      <c r="J22" s="2"/>
      <c r="K22" s="24" t="str">
        <f>IF(Jan[[#This Row],[Date of Incident]]="","",TEXT(Jan[[#This Row],[Date of Incident]],"ddd"))</f>
        <v/>
      </c>
      <c r="L22" s="1"/>
      <c r="M22" s="24" t="str">
        <f>IFERROR(VLOOKUP(Jan[[#This Row],[Hour]],Shifts[],2,FALSE),"")</f>
        <v/>
      </c>
      <c r="N22" s="1"/>
      <c r="O22" s="24" t="str">
        <f>IFERROR(VLOOKUP(Jan[[#This Row],[BIMS Score]],BIMS[],2,FALSE),"")</f>
        <v/>
      </c>
      <c r="P22" s="3"/>
      <c r="Q22" s="3"/>
      <c r="R22" s="2"/>
      <c r="S22" s="168"/>
      <c r="T22" s="3"/>
      <c r="U22" s="3"/>
      <c r="V22" s="3"/>
    </row>
    <row r="23" spans="1:22" ht="20.85" customHeight="1" x14ac:dyDescent="0.25">
      <c r="A23" s="192"/>
      <c r="B23" s="267"/>
      <c r="C23" s="3"/>
      <c r="D23" s="264"/>
      <c r="E23" s="264"/>
      <c r="F23" s="267"/>
      <c r="G23" s="267"/>
      <c r="H23" s="2"/>
      <c r="I23" s="2"/>
      <c r="J23" s="2"/>
      <c r="K23" s="24" t="str">
        <f>IF(Jan[[#This Row],[Date of Incident]]="","",TEXT(Jan[[#This Row],[Date of Incident]],"ddd"))</f>
        <v/>
      </c>
      <c r="L23" s="1"/>
      <c r="M23" s="24" t="str">
        <f>IFERROR(VLOOKUP(Jan[[#This Row],[Hour]],Shifts[],2,FALSE),"")</f>
        <v/>
      </c>
      <c r="N23" s="1"/>
      <c r="O23" s="24" t="str">
        <f>IFERROR(VLOOKUP(Jan[[#This Row],[BIMS Score]],BIMS[],2,FALSE),"")</f>
        <v/>
      </c>
      <c r="P23" s="3"/>
      <c r="Q23" s="3"/>
      <c r="R23" s="2"/>
      <c r="S23" s="168"/>
      <c r="T23" s="3"/>
      <c r="U23" s="3"/>
      <c r="V23" s="3"/>
    </row>
    <row r="24" spans="1:22" s="10" customFormat="1" ht="20.65" customHeight="1" x14ac:dyDescent="0.25">
      <c r="A24" s="193"/>
      <c r="B24" s="266"/>
      <c r="C24" s="5"/>
      <c r="D24" s="263"/>
      <c r="E24" s="263"/>
      <c r="F24" s="267"/>
      <c r="G24" s="267"/>
      <c r="H24" s="1"/>
      <c r="I24" s="1"/>
      <c r="J24" s="1"/>
      <c r="K24" s="24" t="str">
        <f>IF(Jan[[#This Row],[Date of Incident]]="","",TEXT(Jan[[#This Row],[Date of Incident]],"ddd"))</f>
        <v/>
      </c>
      <c r="L24" s="1"/>
      <c r="M24" s="24" t="str">
        <f>IFERROR(VLOOKUP(Jan[[#This Row],[Hour]],Shifts[],2,FALSE),"")</f>
        <v/>
      </c>
      <c r="N24" s="1"/>
      <c r="O24" s="24" t="str">
        <f>IFERROR(VLOOKUP(Jan[[#This Row],[BIMS Score]],BIMS[],2,FALSE),"")</f>
        <v/>
      </c>
      <c r="P24" s="3"/>
      <c r="Q24" s="3"/>
      <c r="R24" s="2"/>
      <c r="S24" s="168"/>
      <c r="T24" s="5"/>
      <c r="U24" s="5"/>
      <c r="V24" s="3"/>
    </row>
    <row r="25" spans="1:22" ht="20.85" customHeight="1" x14ac:dyDescent="0.25">
      <c r="A25" s="192"/>
      <c r="B25" s="266"/>
      <c r="C25" s="5"/>
      <c r="D25" s="263"/>
      <c r="E25" s="263"/>
      <c r="F25" s="267"/>
      <c r="G25" s="267"/>
      <c r="H25" s="1"/>
      <c r="I25" s="1"/>
      <c r="J25" s="1"/>
      <c r="K25" s="24" t="str">
        <f>IF(Jan[[#This Row],[Date of Incident]]="","",TEXT(Jan[[#This Row],[Date of Incident]],"ddd"))</f>
        <v/>
      </c>
      <c r="L25" s="1"/>
      <c r="M25" s="24" t="str">
        <f>IFERROR(VLOOKUP(Jan[[#This Row],[Hour]],Shifts[],2,FALSE),"")</f>
        <v/>
      </c>
      <c r="N25" s="1"/>
      <c r="O25" s="24" t="str">
        <f>IFERROR(VLOOKUP(Jan[[#This Row],[BIMS Score]],BIMS[],2,FALSE),"")</f>
        <v/>
      </c>
      <c r="P25" s="3"/>
      <c r="Q25" s="3"/>
      <c r="R25" s="2"/>
      <c r="S25" s="168"/>
      <c r="T25" s="5"/>
      <c r="U25" s="5"/>
      <c r="V25" s="3"/>
    </row>
    <row r="26" spans="1:22" ht="20.85" customHeight="1" x14ac:dyDescent="0.25">
      <c r="A26" s="192"/>
      <c r="B26" s="266"/>
      <c r="C26" s="5"/>
      <c r="D26" s="263"/>
      <c r="E26" s="263"/>
      <c r="F26" s="267"/>
      <c r="G26" s="267"/>
      <c r="H26" s="1"/>
      <c r="I26" s="1"/>
      <c r="J26" s="1"/>
      <c r="K26" s="24" t="str">
        <f>IF(Jan[[#This Row],[Date of Incident]]="","",TEXT(Jan[[#This Row],[Date of Incident]],"ddd"))</f>
        <v/>
      </c>
      <c r="L26" s="1"/>
      <c r="M26" s="24" t="str">
        <f>IFERROR(VLOOKUP(Jan[[#This Row],[Hour]],Shifts[],2,FALSE),"")</f>
        <v/>
      </c>
      <c r="N26" s="1"/>
      <c r="O26" s="24" t="str">
        <f>IFERROR(VLOOKUP(Jan[[#This Row],[BIMS Score]],BIMS[],2,FALSE),"")</f>
        <v/>
      </c>
      <c r="P26" s="3"/>
      <c r="Q26" s="3"/>
      <c r="R26" s="2"/>
      <c r="S26" s="168"/>
      <c r="T26" s="5"/>
      <c r="U26" s="5"/>
      <c r="V26" s="3"/>
    </row>
    <row r="27" spans="1:22" ht="20.85" customHeight="1" x14ac:dyDescent="0.25">
      <c r="A27" s="192"/>
      <c r="B27" s="266"/>
      <c r="C27" s="5"/>
      <c r="D27" s="263"/>
      <c r="E27" s="263"/>
      <c r="F27" s="267"/>
      <c r="G27" s="267"/>
      <c r="H27" s="1"/>
      <c r="I27" s="1"/>
      <c r="J27" s="1"/>
      <c r="K27" s="24" t="str">
        <f>IF(Jan[[#This Row],[Date of Incident]]="","",TEXT(Jan[[#This Row],[Date of Incident]],"ddd"))</f>
        <v/>
      </c>
      <c r="L27" s="1"/>
      <c r="M27" s="24" t="str">
        <f>IFERROR(VLOOKUP(Jan[[#This Row],[Hour]],Shifts[],2,FALSE),"")</f>
        <v/>
      </c>
      <c r="N27" s="1"/>
      <c r="O27" s="24" t="str">
        <f>IFERROR(VLOOKUP(Jan[[#This Row],[BIMS Score]],BIMS[],2,FALSE),"")</f>
        <v/>
      </c>
      <c r="P27" s="3"/>
      <c r="Q27" s="3"/>
      <c r="R27" s="2"/>
      <c r="S27" s="168"/>
      <c r="T27" s="5"/>
      <c r="U27" s="5"/>
      <c r="V27" s="3"/>
    </row>
    <row r="28" spans="1:22" ht="20.85" customHeight="1" x14ac:dyDescent="0.25">
      <c r="A28" s="192"/>
      <c r="B28" s="266"/>
      <c r="C28" s="5"/>
      <c r="D28" s="263"/>
      <c r="E28" s="263"/>
      <c r="F28" s="267"/>
      <c r="G28" s="267"/>
      <c r="H28" s="1"/>
      <c r="I28" s="1"/>
      <c r="J28" s="1"/>
      <c r="K28" s="24" t="str">
        <f>IF(Jan[[#This Row],[Date of Incident]]="","",TEXT(Jan[[#This Row],[Date of Incident]],"ddd"))</f>
        <v/>
      </c>
      <c r="L28" s="1"/>
      <c r="M28" s="24" t="str">
        <f>IFERROR(VLOOKUP(Jan[[#This Row],[Hour]],Shifts[],2,FALSE),"")</f>
        <v/>
      </c>
      <c r="N28" s="1"/>
      <c r="O28" s="24" t="str">
        <f>IFERROR(VLOOKUP(Jan[[#This Row],[BIMS Score]],BIMS[],2,FALSE),"")</f>
        <v/>
      </c>
      <c r="P28" s="3"/>
      <c r="Q28" s="3"/>
      <c r="R28" s="2"/>
      <c r="S28" s="168"/>
      <c r="T28" s="5"/>
      <c r="U28" s="5"/>
      <c r="V28" s="3"/>
    </row>
    <row r="29" spans="1:22" ht="20.85" customHeight="1" x14ac:dyDescent="0.25">
      <c r="A29" s="174"/>
      <c r="B29" s="266"/>
      <c r="C29" s="5"/>
      <c r="D29" s="263"/>
      <c r="E29" s="263"/>
      <c r="F29" s="267"/>
      <c r="G29" s="267"/>
      <c r="H29" s="1"/>
      <c r="I29" s="1"/>
      <c r="J29" s="1"/>
      <c r="K29" s="24" t="str">
        <f>IF(Jan[[#This Row],[Date of Incident]]="","",TEXT(Jan[[#This Row],[Date of Incident]],"ddd"))</f>
        <v/>
      </c>
      <c r="L29" s="1"/>
      <c r="M29" s="24" t="str">
        <f>IFERROR(VLOOKUP(Jan[[#This Row],[Hour]],Shifts[],2,FALSE),"")</f>
        <v/>
      </c>
      <c r="N29" s="2"/>
      <c r="O29" s="24" t="str">
        <f>IFERROR(VLOOKUP(Jan[[#This Row],[BIMS Score]],BIMS[],2,FALSE),"")</f>
        <v/>
      </c>
      <c r="P29" s="3"/>
      <c r="Q29" s="3"/>
      <c r="R29" s="2"/>
      <c r="S29" s="168"/>
      <c r="T29" s="5"/>
      <c r="U29" s="5"/>
      <c r="V29" s="5"/>
    </row>
    <row r="30" spans="1:22" ht="20.85" customHeight="1" x14ac:dyDescent="0.25">
      <c r="A30" s="174"/>
      <c r="B30" s="266"/>
      <c r="C30" s="5"/>
      <c r="D30" s="263"/>
      <c r="E30" s="263"/>
      <c r="F30" s="267"/>
      <c r="G30" s="267"/>
      <c r="H30" s="1"/>
      <c r="I30" s="1"/>
      <c r="J30" s="1"/>
      <c r="K30" s="24" t="str">
        <f>IF(Jan[[#This Row],[Date of Incident]]="","",TEXT(Jan[[#This Row],[Date of Incident]],"ddd"))</f>
        <v/>
      </c>
      <c r="L30" s="1"/>
      <c r="M30" s="24" t="str">
        <f>IFERROR(VLOOKUP(Jan[[#This Row],[Hour]],Shifts[],2,FALSE),"")</f>
        <v/>
      </c>
      <c r="N30" s="2"/>
      <c r="O30" s="24" t="str">
        <f>IFERROR(VLOOKUP(Jan[[#This Row],[BIMS Score]],BIMS[],2,FALSE),"")</f>
        <v/>
      </c>
      <c r="P30" s="3"/>
      <c r="Q30" s="3"/>
      <c r="R30" s="2"/>
      <c r="S30" s="168"/>
      <c r="T30" s="5"/>
      <c r="U30" s="5"/>
      <c r="V30" s="5"/>
    </row>
    <row r="31" spans="1:22" ht="20.85" customHeight="1" x14ac:dyDescent="0.25">
      <c r="A31" s="174"/>
      <c r="B31" s="266"/>
      <c r="C31" s="5"/>
      <c r="D31" s="263"/>
      <c r="E31" s="263"/>
      <c r="F31" s="267"/>
      <c r="G31" s="267"/>
      <c r="H31" s="1"/>
      <c r="I31" s="1"/>
      <c r="J31" s="1"/>
      <c r="K31" s="24" t="str">
        <f>IF(Jan[[#This Row],[Date of Incident]]="","",TEXT(Jan[[#This Row],[Date of Incident]],"ddd"))</f>
        <v/>
      </c>
      <c r="L31" s="1"/>
      <c r="M31" s="24" t="str">
        <f>IFERROR(VLOOKUP(Jan[[#This Row],[Hour]],Shifts[],2,FALSE),"")</f>
        <v/>
      </c>
      <c r="N31" s="2"/>
      <c r="O31" s="24" t="str">
        <f>IFERROR(VLOOKUP(Jan[[#This Row],[BIMS Score]],BIMS[],2,FALSE),"")</f>
        <v/>
      </c>
      <c r="P31" s="3"/>
      <c r="Q31" s="3"/>
      <c r="R31" s="2"/>
      <c r="S31" s="168"/>
      <c r="T31" s="5"/>
      <c r="U31" s="5"/>
      <c r="V31" s="5"/>
    </row>
    <row r="32" spans="1:22" ht="20.85" customHeight="1" x14ac:dyDescent="0.25">
      <c r="A32" s="174"/>
      <c r="B32" s="266"/>
      <c r="C32" s="5"/>
      <c r="D32" s="263"/>
      <c r="E32" s="263"/>
      <c r="F32" s="267"/>
      <c r="G32" s="267"/>
      <c r="H32" s="1"/>
      <c r="I32" s="1"/>
      <c r="J32" s="1"/>
      <c r="K32" s="24" t="str">
        <f>IF(Jan[[#This Row],[Date of Incident]]="","",TEXT(Jan[[#This Row],[Date of Incident]],"ddd"))</f>
        <v/>
      </c>
      <c r="L32" s="1"/>
      <c r="M32" s="24" t="str">
        <f>IFERROR(VLOOKUP(Jan[[#This Row],[Hour]],Shifts[],2,FALSE),"")</f>
        <v/>
      </c>
      <c r="N32" s="2"/>
      <c r="O32" s="24" t="str">
        <f>IFERROR(VLOOKUP(Jan[[#This Row],[BIMS Score]],BIMS[],2,FALSE),"")</f>
        <v/>
      </c>
      <c r="P32" s="3"/>
      <c r="Q32" s="3"/>
      <c r="R32" s="2"/>
      <c r="S32" s="168"/>
      <c r="T32" s="5"/>
      <c r="U32" s="5"/>
      <c r="V32" s="5"/>
    </row>
    <row r="33" spans="1:22" ht="20.85" customHeight="1" x14ac:dyDescent="0.25">
      <c r="A33" s="174"/>
      <c r="B33" s="266"/>
      <c r="C33" s="5"/>
      <c r="D33" s="263"/>
      <c r="E33" s="263"/>
      <c r="F33" s="267"/>
      <c r="G33" s="267"/>
      <c r="H33" s="1"/>
      <c r="I33" s="1"/>
      <c r="J33" s="1"/>
      <c r="K33" s="24" t="str">
        <f>IF(Jan[[#This Row],[Date of Incident]]="","",TEXT(Jan[[#This Row],[Date of Incident]],"ddd"))</f>
        <v/>
      </c>
      <c r="L33" s="1"/>
      <c r="M33" s="24" t="str">
        <f>IFERROR(VLOOKUP(Jan[[#This Row],[Hour]],Shifts[],2,FALSE),"")</f>
        <v/>
      </c>
      <c r="N33" s="2"/>
      <c r="O33" s="24" t="str">
        <f>IFERROR(VLOOKUP(Jan[[#This Row],[BIMS Score]],BIMS[],2,FALSE),"")</f>
        <v/>
      </c>
      <c r="P33" s="3"/>
      <c r="Q33" s="3"/>
      <c r="R33" s="2"/>
      <c r="S33" s="168"/>
      <c r="T33" s="5"/>
      <c r="U33" s="5"/>
      <c r="V33" s="5"/>
    </row>
    <row r="34" spans="1:22" ht="20.85" customHeight="1" x14ac:dyDescent="0.25">
      <c r="A34" s="174"/>
      <c r="B34" s="266"/>
      <c r="C34" s="5"/>
      <c r="D34" s="263"/>
      <c r="E34" s="263"/>
      <c r="F34" s="267"/>
      <c r="G34" s="267"/>
      <c r="H34" s="1"/>
      <c r="I34" s="1"/>
      <c r="J34" s="1"/>
      <c r="K34" s="24" t="str">
        <f>IF(Jan[[#This Row],[Date of Incident]]="","",TEXT(Jan[[#This Row],[Date of Incident]],"ddd"))</f>
        <v/>
      </c>
      <c r="L34" s="1"/>
      <c r="M34" s="24" t="str">
        <f>IFERROR(VLOOKUP(Jan[[#This Row],[Hour]],Shifts[],2,FALSE),"")</f>
        <v/>
      </c>
      <c r="N34" s="2"/>
      <c r="O34" s="24" t="str">
        <f>IFERROR(VLOOKUP(Jan[[#This Row],[BIMS Score]],BIMS[],2,FALSE),"")</f>
        <v/>
      </c>
      <c r="P34" s="3"/>
      <c r="Q34" s="3"/>
      <c r="R34" s="2"/>
      <c r="S34" s="168"/>
      <c r="T34" s="5"/>
      <c r="U34" s="5"/>
      <c r="V34" s="5"/>
    </row>
    <row r="35" spans="1:22" ht="20.85" customHeight="1" x14ac:dyDescent="0.25">
      <c r="A35" s="174"/>
      <c r="B35" s="266"/>
      <c r="C35" s="5"/>
      <c r="D35" s="263"/>
      <c r="E35" s="263"/>
      <c r="F35" s="267"/>
      <c r="G35" s="267"/>
      <c r="H35" s="1"/>
      <c r="I35" s="1"/>
      <c r="J35" s="1"/>
      <c r="K35" s="24" t="str">
        <f>IF(Jan[[#This Row],[Date of Incident]]="","",TEXT(Jan[[#This Row],[Date of Incident]],"ddd"))</f>
        <v/>
      </c>
      <c r="L35" s="1"/>
      <c r="M35" s="24" t="str">
        <f>IFERROR(VLOOKUP(Jan[[#This Row],[Hour]],Shifts[],2,FALSE),"")</f>
        <v/>
      </c>
      <c r="N35" s="2"/>
      <c r="O35" s="24" t="str">
        <f>IFERROR(VLOOKUP(Jan[[#This Row],[BIMS Score]],BIMS[],2,FALSE),"")</f>
        <v/>
      </c>
      <c r="P35" s="3"/>
      <c r="Q35" s="3"/>
      <c r="R35" s="2"/>
      <c r="S35" s="168"/>
      <c r="T35" s="5"/>
      <c r="U35" s="5"/>
      <c r="V35" s="5"/>
    </row>
    <row r="36" spans="1:22" ht="20.85" customHeight="1" x14ac:dyDescent="0.25">
      <c r="A36" s="174"/>
      <c r="B36" s="266"/>
      <c r="C36" s="5"/>
      <c r="D36" s="263"/>
      <c r="E36" s="263"/>
      <c r="F36" s="267"/>
      <c r="G36" s="267"/>
      <c r="H36" s="1"/>
      <c r="I36" s="1"/>
      <c r="J36" s="1"/>
      <c r="K36" s="24" t="str">
        <f>IF(Jan[[#This Row],[Date of Incident]]="","",TEXT(Jan[[#This Row],[Date of Incident]],"ddd"))</f>
        <v/>
      </c>
      <c r="L36" s="1"/>
      <c r="M36" s="24" t="str">
        <f>IFERROR(VLOOKUP(Jan[[#This Row],[Hour]],Shifts[],2,FALSE),"")</f>
        <v/>
      </c>
      <c r="N36" s="2"/>
      <c r="O36" s="24" t="str">
        <f>IFERROR(VLOOKUP(Jan[[#This Row],[BIMS Score]],BIMS[],2,FALSE),"")</f>
        <v/>
      </c>
      <c r="P36" s="3"/>
      <c r="Q36" s="3"/>
      <c r="R36" s="2"/>
      <c r="S36" s="168"/>
      <c r="T36" s="5"/>
      <c r="U36" s="5"/>
      <c r="V36" s="5"/>
    </row>
    <row r="37" spans="1:22" ht="20.85" customHeight="1" x14ac:dyDescent="0.25">
      <c r="A37" s="174"/>
      <c r="B37" s="266"/>
      <c r="C37" s="5"/>
      <c r="D37" s="263"/>
      <c r="E37" s="263"/>
      <c r="F37" s="267"/>
      <c r="G37" s="267"/>
      <c r="H37" s="1"/>
      <c r="I37" s="1"/>
      <c r="J37" s="1"/>
      <c r="K37" s="24" t="str">
        <f>IF(Jan[[#This Row],[Date of Incident]]="","",TEXT(Jan[[#This Row],[Date of Incident]],"ddd"))</f>
        <v/>
      </c>
      <c r="L37" s="1"/>
      <c r="M37" s="24" t="str">
        <f>IFERROR(VLOOKUP(Jan[[#This Row],[Hour]],Shifts[],2,FALSE),"")</f>
        <v/>
      </c>
      <c r="N37" s="2"/>
      <c r="O37" s="24" t="str">
        <f>IFERROR(VLOOKUP(Jan[[#This Row],[BIMS Score]],BIMS[],2,FALSE),"")</f>
        <v/>
      </c>
      <c r="P37" s="3"/>
      <c r="Q37" s="3"/>
      <c r="R37" s="2"/>
      <c r="S37" s="168"/>
      <c r="T37" s="5"/>
      <c r="U37" s="5"/>
      <c r="V37" s="5"/>
    </row>
    <row r="38" spans="1:22" ht="20.85" customHeight="1" x14ac:dyDescent="0.25">
      <c r="A38" s="174"/>
      <c r="B38" s="266"/>
      <c r="C38" s="5"/>
      <c r="D38" s="263"/>
      <c r="E38" s="263"/>
      <c r="F38" s="267"/>
      <c r="G38" s="267"/>
      <c r="H38" s="1"/>
      <c r="I38" s="1"/>
      <c r="J38" s="1"/>
      <c r="K38" s="24" t="str">
        <f>IF(Jan[[#This Row],[Date of Incident]]="","",TEXT(Jan[[#This Row],[Date of Incident]],"ddd"))</f>
        <v/>
      </c>
      <c r="L38" s="1"/>
      <c r="M38" s="24" t="str">
        <f>IFERROR(VLOOKUP(Jan[[#This Row],[Hour]],Shifts[],2,FALSE),"")</f>
        <v/>
      </c>
      <c r="N38" s="2"/>
      <c r="O38" s="24" t="str">
        <f>IFERROR(VLOOKUP(Jan[[#This Row],[BIMS Score]],BIMS[],2,FALSE),"")</f>
        <v/>
      </c>
      <c r="P38" s="3"/>
      <c r="Q38" s="3"/>
      <c r="R38" s="2"/>
      <c r="S38" s="168"/>
      <c r="T38" s="5"/>
      <c r="U38" s="5"/>
      <c r="V38" s="5"/>
    </row>
    <row r="39" spans="1:22" ht="20.85" customHeight="1" x14ac:dyDescent="0.25">
      <c r="A39" s="174"/>
      <c r="B39" s="266"/>
      <c r="C39" s="5"/>
      <c r="D39" s="263"/>
      <c r="E39" s="263"/>
      <c r="F39" s="267"/>
      <c r="G39" s="267"/>
      <c r="H39" s="1"/>
      <c r="I39" s="1"/>
      <c r="J39" s="1"/>
      <c r="K39" s="24" t="str">
        <f>IF(Jan[[#This Row],[Date of Incident]]="","",TEXT(Jan[[#This Row],[Date of Incident]],"ddd"))</f>
        <v/>
      </c>
      <c r="L39" s="1"/>
      <c r="M39" s="24" t="str">
        <f>IFERROR(VLOOKUP(Jan[[#This Row],[Hour]],Shifts[],2,FALSE),"")</f>
        <v/>
      </c>
      <c r="N39" s="2"/>
      <c r="O39" s="24" t="str">
        <f>IFERROR(VLOOKUP(Jan[[#This Row],[BIMS Score]],BIMS[],2,FALSE),"")</f>
        <v/>
      </c>
      <c r="P39" s="3"/>
      <c r="Q39" s="3"/>
      <c r="R39" s="2"/>
      <c r="S39" s="168"/>
      <c r="T39" s="5"/>
      <c r="U39" s="5"/>
      <c r="V39" s="5"/>
    </row>
    <row r="40" spans="1:22" ht="20.85" customHeight="1" x14ac:dyDescent="0.25">
      <c r="A40" s="174"/>
      <c r="B40" s="266"/>
      <c r="C40" s="5"/>
      <c r="D40" s="263"/>
      <c r="E40" s="263"/>
      <c r="F40" s="267"/>
      <c r="G40" s="267"/>
      <c r="H40" s="1"/>
      <c r="I40" s="1"/>
      <c r="J40" s="1"/>
      <c r="K40" s="24" t="str">
        <f>IF(Jan[[#This Row],[Date of Incident]]="","",TEXT(Jan[[#This Row],[Date of Incident]],"ddd"))</f>
        <v/>
      </c>
      <c r="L40" s="1"/>
      <c r="M40" s="24" t="str">
        <f>IFERROR(VLOOKUP(Jan[[#This Row],[Hour]],Shifts[],2,FALSE),"")</f>
        <v/>
      </c>
      <c r="N40" s="2"/>
      <c r="O40" s="24" t="str">
        <f>IFERROR(VLOOKUP(Jan[[#This Row],[BIMS Score]],BIMS[],2,FALSE),"")</f>
        <v/>
      </c>
      <c r="P40" s="3"/>
      <c r="Q40" s="3"/>
      <c r="R40" s="2"/>
      <c r="S40" s="168"/>
      <c r="T40" s="5"/>
      <c r="U40" s="5"/>
      <c r="V40" s="5"/>
    </row>
    <row r="41" spans="1:22" x14ac:dyDescent="0.25">
      <c r="B41" s="26"/>
      <c r="C41" s="21"/>
      <c r="D41" s="22"/>
      <c r="E41" s="23"/>
      <c r="F41" s="26"/>
      <c r="G41" s="26"/>
      <c r="H41" s="26"/>
      <c r="I41" s="26"/>
      <c r="J41" s="26"/>
      <c r="K41" s="26"/>
      <c r="L41" s="26"/>
      <c r="M41" s="26"/>
      <c r="N41" s="20"/>
      <c r="O41" s="25"/>
      <c r="P41" s="21"/>
      <c r="Q41" s="21"/>
      <c r="R41" s="25"/>
    </row>
    <row r="42" spans="1:22" x14ac:dyDescent="0.25">
      <c r="B42" s="26"/>
      <c r="C42" s="21"/>
      <c r="D42" s="22"/>
      <c r="E42" s="23"/>
      <c r="F42" s="26"/>
      <c r="G42" s="26"/>
      <c r="H42" s="26"/>
      <c r="I42" s="26"/>
      <c r="J42" s="26"/>
      <c r="K42" s="26"/>
      <c r="L42" s="26"/>
      <c r="M42" s="26"/>
      <c r="N42" s="20"/>
      <c r="O42" s="25"/>
      <c r="P42" s="21"/>
      <c r="Q42" s="21"/>
      <c r="R42" s="25"/>
    </row>
    <row r="43" spans="1:22" x14ac:dyDescent="0.25">
      <c r="B43" s="26"/>
      <c r="C43" s="21"/>
      <c r="D43" s="22"/>
      <c r="E43" s="23"/>
      <c r="F43" s="26"/>
      <c r="G43" s="26"/>
      <c r="H43" s="26"/>
      <c r="I43" s="26"/>
      <c r="J43" s="26"/>
      <c r="K43" s="26"/>
      <c r="L43" s="26"/>
      <c r="M43" s="26"/>
      <c r="N43" s="20"/>
      <c r="O43" s="25"/>
      <c r="P43" s="21"/>
      <c r="Q43" s="21"/>
      <c r="R43" s="25"/>
    </row>
    <row r="44" spans="1:22" x14ac:dyDescent="0.25">
      <c r="B44" s="26"/>
      <c r="C44" s="21"/>
      <c r="D44" s="22"/>
      <c r="E44" s="23"/>
      <c r="F44" s="26"/>
      <c r="G44" s="26"/>
      <c r="H44" s="26"/>
      <c r="I44" s="26"/>
      <c r="J44" s="26"/>
      <c r="K44" s="26"/>
      <c r="L44" s="26"/>
      <c r="M44" s="26"/>
      <c r="N44" s="20"/>
      <c r="O44" s="25"/>
      <c r="P44" s="21"/>
      <c r="Q44" s="21"/>
      <c r="R44" s="25"/>
    </row>
    <row r="45" spans="1:22" x14ac:dyDescent="0.25">
      <c r="B45" s="26"/>
      <c r="C45" s="21"/>
      <c r="D45" s="22"/>
      <c r="E45" s="23"/>
      <c r="F45" s="26"/>
      <c r="G45" s="26"/>
      <c r="H45" s="26"/>
      <c r="I45" s="26"/>
      <c r="J45" s="26"/>
      <c r="K45" s="26"/>
      <c r="L45" s="26"/>
      <c r="M45" s="26"/>
      <c r="N45" s="20"/>
      <c r="O45" s="25"/>
      <c r="P45" s="21"/>
      <c r="Q45" s="21"/>
      <c r="R45" s="25"/>
    </row>
    <row r="46" spans="1:22" x14ac:dyDescent="0.25">
      <c r="B46" s="26"/>
      <c r="C46" s="21"/>
      <c r="D46" s="22"/>
      <c r="E46" s="23"/>
      <c r="F46" s="26"/>
      <c r="G46" s="26"/>
      <c r="H46" s="26"/>
      <c r="I46" s="26"/>
      <c r="J46" s="26"/>
      <c r="K46" s="26"/>
      <c r="L46" s="26"/>
      <c r="M46" s="26"/>
      <c r="N46" s="20"/>
      <c r="O46" s="25"/>
      <c r="P46" s="21"/>
      <c r="Q46" s="21"/>
      <c r="R46" s="25"/>
    </row>
    <row r="47" spans="1:22" x14ac:dyDescent="0.25">
      <c r="B47" s="26"/>
      <c r="C47" s="21"/>
      <c r="D47" s="22"/>
      <c r="E47" s="23"/>
      <c r="F47" s="26"/>
      <c r="G47" s="26"/>
      <c r="H47" s="26"/>
      <c r="I47" s="26"/>
      <c r="J47" s="26"/>
      <c r="K47" s="26"/>
      <c r="L47" s="26"/>
      <c r="M47" s="26"/>
      <c r="N47" s="20"/>
      <c r="O47" s="25"/>
      <c r="P47" s="21"/>
      <c r="Q47" s="21"/>
      <c r="R47" s="25"/>
    </row>
    <row r="48" spans="1:22" x14ac:dyDescent="0.25">
      <c r="B48" s="26"/>
      <c r="C48" s="21"/>
      <c r="D48" s="22"/>
      <c r="E48" s="23"/>
      <c r="F48" s="26"/>
      <c r="G48" s="26"/>
      <c r="H48" s="26"/>
      <c r="I48" s="26"/>
      <c r="J48" s="26"/>
      <c r="K48" s="26"/>
      <c r="L48" s="26"/>
      <c r="M48" s="26"/>
      <c r="N48" s="20"/>
      <c r="O48" s="25"/>
      <c r="P48" s="21"/>
      <c r="Q48" s="21"/>
      <c r="R48" s="25"/>
    </row>
    <row r="49" spans="1:18" x14ac:dyDescent="0.25">
      <c r="B49" s="26"/>
      <c r="C49" s="21"/>
      <c r="D49" s="22"/>
      <c r="E49" s="23"/>
      <c r="F49" s="26"/>
      <c r="G49" s="26"/>
      <c r="H49" s="26"/>
      <c r="I49" s="26"/>
      <c r="J49" s="26"/>
      <c r="K49" s="26"/>
      <c r="L49" s="26"/>
      <c r="M49" s="26"/>
      <c r="N49" s="20"/>
      <c r="O49" s="25"/>
      <c r="P49" s="21"/>
      <c r="Q49" s="21"/>
      <c r="R49" s="25"/>
    </row>
    <row r="50" spans="1:18" ht="15.75" thickBot="1" x14ac:dyDescent="0.3">
      <c r="B50" s="26"/>
      <c r="C50" s="21"/>
      <c r="D50" s="22"/>
      <c r="E50" s="23"/>
      <c r="F50" s="26"/>
      <c r="G50" s="26"/>
      <c r="H50" s="26"/>
      <c r="I50" s="26"/>
      <c r="Q50" s="21"/>
    </row>
    <row r="51" spans="1:18" ht="22.35" customHeight="1" thickBot="1" x14ac:dyDescent="0.3">
      <c r="B51" s="280" t="s">
        <v>85</v>
      </c>
      <c r="C51" s="281"/>
      <c r="D51" s="282"/>
      <c r="F51" s="280" t="s">
        <v>100</v>
      </c>
      <c r="G51" s="281"/>
      <c r="H51" s="282"/>
    </row>
    <row r="52" spans="1:18" ht="15.6" customHeight="1" x14ac:dyDescent="0.25">
      <c r="B52" s="283" t="s">
        <v>83</v>
      </c>
      <c r="C52" s="284"/>
      <c r="D52" s="28" t="s">
        <v>35</v>
      </c>
      <c r="F52" s="283" t="s">
        <v>83</v>
      </c>
      <c r="G52" s="284"/>
      <c r="H52" s="28" t="s">
        <v>35</v>
      </c>
    </row>
    <row r="53" spans="1:18" x14ac:dyDescent="0.25">
      <c r="B53" s="29" t="s">
        <v>41</v>
      </c>
      <c r="C53" s="30"/>
      <c r="D53" s="31">
        <f>COUNTIFS(Jan[Witnessed
Fall?],$B53)</f>
        <v>0</v>
      </c>
      <c r="F53" s="29" t="s">
        <v>79</v>
      </c>
      <c r="G53" s="30"/>
      <c r="H53" s="31">
        <f>COUNTIFS(Jan[Fall Circumstances],$F53)</f>
        <v>0</v>
      </c>
    </row>
    <row r="54" spans="1:18" ht="15.75" thickBot="1" x14ac:dyDescent="0.3">
      <c r="B54" s="32" t="s">
        <v>42</v>
      </c>
      <c r="C54" s="33"/>
      <c r="D54" s="34">
        <f>COUNTIFS(Jan[Witnessed
Fall?],$B54)</f>
        <v>0</v>
      </c>
      <c r="F54" s="29" t="s">
        <v>101</v>
      </c>
      <c r="G54" s="30"/>
      <c r="H54" s="31">
        <f>COUNTIFS(Jan[Fall Circumstances],$F54)</f>
        <v>0</v>
      </c>
    </row>
    <row r="55" spans="1:18" ht="15.6" customHeight="1" thickBot="1" x14ac:dyDescent="0.3">
      <c r="B55" s="285" t="s">
        <v>16</v>
      </c>
      <c r="C55" s="286"/>
      <c r="D55" s="35">
        <f>SUM(D53:D54)</f>
        <v>0</v>
      </c>
      <c r="F55" s="32" t="s">
        <v>102</v>
      </c>
      <c r="G55" s="33"/>
      <c r="H55" s="36">
        <f>COUNTIFS(Jan[Fall Circumstances],$F55)</f>
        <v>0</v>
      </c>
    </row>
    <row r="56" spans="1:18" ht="15.6" customHeight="1" thickBot="1" x14ac:dyDescent="0.3">
      <c r="A56" s="26"/>
      <c r="B56" s="21"/>
      <c r="C56" s="22"/>
      <c r="D56" s="26"/>
      <c r="F56" s="285" t="s">
        <v>16</v>
      </c>
      <c r="G56" s="286"/>
      <c r="H56" s="37">
        <f>SUM(H53:H55)</f>
        <v>0</v>
      </c>
    </row>
    <row r="57" spans="1:18" ht="15.75" thickBot="1" x14ac:dyDescent="0.3">
      <c r="A57" s="26"/>
      <c r="B57" s="21"/>
      <c r="C57" s="22"/>
      <c r="D57" s="26"/>
      <c r="F57" s="26"/>
      <c r="G57" s="21"/>
      <c r="H57" s="22"/>
      <c r="L57" s="21"/>
      <c r="O57" s="22"/>
    </row>
    <row r="58" spans="1:18" ht="15.75" thickBot="1" x14ac:dyDescent="0.3">
      <c r="A58" s="26"/>
      <c r="B58" s="21"/>
      <c r="C58" s="22"/>
      <c r="D58" s="26"/>
      <c r="F58" s="280" t="s">
        <v>103</v>
      </c>
      <c r="G58" s="281"/>
      <c r="H58" s="282"/>
      <c r="L58" s="21"/>
      <c r="O58" s="22"/>
    </row>
    <row r="59" spans="1:18" x14ac:dyDescent="0.25">
      <c r="A59" s="26"/>
      <c r="B59" s="21"/>
      <c r="C59" s="22"/>
      <c r="D59" s="26"/>
      <c r="F59" s="283" t="s">
        <v>26</v>
      </c>
      <c r="G59" s="284"/>
      <c r="H59" s="28" t="s">
        <v>35</v>
      </c>
      <c r="L59" s="21"/>
      <c r="O59" s="22"/>
    </row>
    <row r="60" spans="1:18" ht="15.6" customHeight="1" x14ac:dyDescent="0.25">
      <c r="F60" s="29" t="s">
        <v>142</v>
      </c>
      <c r="G60" s="30"/>
      <c r="H60" s="31">
        <f>COUNTIFS(Jan[Cognitive Impairment],$F60)</f>
        <v>0</v>
      </c>
    </row>
    <row r="61" spans="1:18" x14ac:dyDescent="0.25">
      <c r="F61" s="29" t="s">
        <v>143</v>
      </c>
      <c r="G61" s="30"/>
      <c r="H61" s="31">
        <f>COUNTIFS(Jan[Cognitive Impairment],$F61)</f>
        <v>0</v>
      </c>
    </row>
    <row r="62" spans="1:18" ht="15.75" thickBot="1" x14ac:dyDescent="0.3">
      <c r="F62" s="32" t="s">
        <v>144</v>
      </c>
      <c r="G62" s="33"/>
      <c r="H62" s="31">
        <f>COUNTIFS(Jan[Cognitive Impairment],$F62)</f>
        <v>0</v>
      </c>
    </row>
    <row r="63" spans="1:18" ht="15.75" thickBot="1" x14ac:dyDescent="0.3">
      <c r="F63" s="285" t="s">
        <v>16</v>
      </c>
      <c r="G63" s="286"/>
      <c r="H63" s="37">
        <f>SUM(H60:H62)</f>
        <v>0</v>
      </c>
    </row>
    <row r="64" spans="1:18" ht="15.75" thickBot="1" x14ac:dyDescent="0.3"/>
    <row r="65" spans="1:8" ht="21.4" customHeight="1" thickBot="1" x14ac:dyDescent="0.3">
      <c r="B65" s="280" t="s">
        <v>78</v>
      </c>
      <c r="C65" s="281"/>
      <c r="D65" s="281"/>
      <c r="E65" s="281"/>
      <c r="F65" s="281"/>
      <c r="G65" s="282"/>
    </row>
    <row r="66" spans="1:8" ht="15.6" customHeight="1" x14ac:dyDescent="0.25">
      <c r="A66" s="38"/>
      <c r="B66" s="288" t="s">
        <v>86</v>
      </c>
      <c r="C66" s="289"/>
      <c r="D66" s="289"/>
      <c r="E66" s="289"/>
      <c r="F66" s="290"/>
      <c r="G66" s="28" t="s">
        <v>35</v>
      </c>
    </row>
    <row r="67" spans="1:8" x14ac:dyDescent="0.25">
      <c r="A67" s="38"/>
      <c r="B67" s="39" t="str" cm="1">
        <f t="array" ref="B67:B90">IF(_xlfn._xlws.SORT(PriortoFall[What was the resident doing prior to fall?],1,1,TRUE)=0,"",(_xlfn._xlws.SORT(PriortoFall[What was the resident doing prior to fall?],1,1,TRUE)))</f>
        <v>Ambulating with assistive device (walker, cane, wheelchair)</v>
      </c>
      <c r="C67" s="40"/>
      <c r="D67" s="40"/>
      <c r="E67" s="40"/>
      <c r="F67" s="41"/>
      <c r="G67" s="42">
        <f>IF($B67="",NA(),COUNTIFS(Jan[What was resident doing prior to fall?],$B67))</f>
        <v>0</v>
      </c>
      <c r="H67" s="43"/>
    </row>
    <row r="68" spans="1:8" x14ac:dyDescent="0.25">
      <c r="A68" s="38"/>
      <c r="B68" s="44" t="str">
        <v>Ambulating with staff assistance</v>
      </c>
      <c r="C68" s="45"/>
      <c r="D68" s="45"/>
      <c r="E68" s="45"/>
      <c r="F68" s="46"/>
      <c r="G68" s="42">
        <f>IF($B68="",NA(),COUNTIFS(Jan[What was resident doing prior to fall?],$B68))</f>
        <v>0</v>
      </c>
    </row>
    <row r="69" spans="1:8" x14ac:dyDescent="0.25">
      <c r="A69" s="38"/>
      <c r="B69" s="39" t="str">
        <v>Ambulating without assistance or assistive device</v>
      </c>
      <c r="C69" s="40"/>
      <c r="D69" s="40"/>
      <c r="E69" s="40"/>
      <c r="F69" s="41"/>
      <c r="G69" s="42">
        <f>IF($B69="",NA(),COUNTIFS(Jan[What was resident doing prior to fall?],$B69))</f>
        <v>0</v>
      </c>
    </row>
    <row r="70" spans="1:8" x14ac:dyDescent="0.25">
      <c r="A70" s="38"/>
      <c r="B70" s="44" t="str">
        <v>Changing position (e.g., in bed, chair)</v>
      </c>
      <c r="C70" s="45"/>
      <c r="D70" s="45"/>
      <c r="E70" s="45"/>
      <c r="F70" s="46"/>
      <c r="G70" s="42">
        <f>IF($B70="",NA(),COUNTIFS(Jan[What was resident doing prior to fall?],$B70))</f>
        <v>0</v>
      </c>
    </row>
    <row r="71" spans="1:8" x14ac:dyDescent="0.25">
      <c r="A71" s="38"/>
      <c r="B71" s="44" t="str">
        <v>Dressing or undressing</v>
      </c>
      <c r="C71" s="45"/>
      <c r="D71" s="45"/>
      <c r="E71" s="45"/>
      <c r="F71" s="46"/>
      <c r="G71" s="42">
        <f>IF($B71="",NA(),COUNTIFS(Jan[What was resident doing prior to fall?],$B71))</f>
        <v>0</v>
      </c>
    </row>
    <row r="72" spans="1:8" x14ac:dyDescent="0.25">
      <c r="A72" s="38"/>
      <c r="B72" s="44" t="str">
        <v>Other activity</v>
      </c>
      <c r="C72" s="45"/>
      <c r="D72" s="45"/>
      <c r="E72" s="45"/>
      <c r="F72" s="46"/>
      <c r="G72" s="42">
        <f>IF($B72="",NA(),COUNTIFS(Jan[What was resident doing prior to fall?],$B72))</f>
        <v>0</v>
      </c>
    </row>
    <row r="73" spans="1:8" x14ac:dyDescent="0.25">
      <c r="A73" s="38"/>
      <c r="B73" s="44" t="str">
        <v>Reaching for an item</v>
      </c>
      <c r="C73" s="45"/>
      <c r="D73" s="45"/>
      <c r="E73" s="45"/>
      <c r="F73" s="46"/>
      <c r="G73" s="42">
        <f>IF($B73="",NA(),COUNTIFS(Jan[What was resident doing prior to fall?],$B73))</f>
        <v>0</v>
      </c>
    </row>
    <row r="74" spans="1:8" x14ac:dyDescent="0.25">
      <c r="A74" s="38"/>
      <c r="B74" s="44" t="str">
        <v>Showering or bathing</v>
      </c>
      <c r="C74" s="45"/>
      <c r="D74" s="45"/>
      <c r="E74" s="45"/>
      <c r="F74" s="46"/>
      <c r="G74" s="42">
        <f>IF($B74="",NA(),COUNTIFS(Jan[What was resident doing prior to fall?],$B74))</f>
        <v>0</v>
      </c>
    </row>
    <row r="75" spans="1:8" x14ac:dyDescent="0.25">
      <c r="A75" s="38"/>
      <c r="B75" s="44" t="str">
        <v>Toileting</v>
      </c>
      <c r="C75" s="45"/>
      <c r="D75" s="45"/>
      <c r="E75" s="45"/>
      <c r="F75" s="46"/>
      <c r="G75" s="42">
        <f>IF($B75="",NA(),COUNTIFS(Jan[What was resident doing prior to fall?],$B75))</f>
        <v>0</v>
      </c>
    </row>
    <row r="76" spans="1:8" x14ac:dyDescent="0.25">
      <c r="A76" s="38"/>
      <c r="B76" s="44" t="str">
        <v>Transferring to or from bed, chair, wheelchair, etc.</v>
      </c>
      <c r="C76" s="45"/>
      <c r="D76" s="45"/>
      <c r="E76" s="45"/>
      <c r="F76" s="46"/>
      <c r="G76" s="42">
        <f>IF($B76="",NA(),COUNTIFS(Jan[What was resident doing prior to fall?],$B76))</f>
        <v>0</v>
      </c>
    </row>
    <row r="77" spans="1:8" x14ac:dyDescent="0.25">
      <c r="A77" s="38"/>
      <c r="B77" s="39" t="str">
        <v>Unknown</v>
      </c>
      <c r="C77" s="40"/>
      <c r="D77" s="40"/>
      <c r="E77" s="40"/>
      <c r="F77" s="41"/>
      <c r="G77" s="42">
        <f>IF($B77="",NA(),COUNTIFS(Jan[What was resident doing prior to fall?],$B77))</f>
        <v>0</v>
      </c>
    </row>
    <row r="78" spans="1:8" x14ac:dyDescent="0.25">
      <c r="A78" s="38"/>
      <c r="B78" s="44" t="str">
        <v/>
      </c>
      <c r="C78" s="45"/>
      <c r="D78" s="45"/>
      <c r="E78" s="45"/>
      <c r="F78" s="46"/>
      <c r="G78" s="42" t="e">
        <f>IF($B78="",NA(),COUNTIFS(Jan[What was resident doing prior to fall?],$B78))</f>
        <v>#N/A</v>
      </c>
    </row>
    <row r="79" spans="1:8" x14ac:dyDescent="0.25">
      <c r="A79" s="38"/>
      <c r="B79" s="39" t="str">
        <v/>
      </c>
      <c r="C79" s="40"/>
      <c r="D79" s="40"/>
      <c r="E79" s="40"/>
      <c r="F79" s="41"/>
      <c r="G79" s="42" t="e">
        <f>IF($B79="",NA(),COUNTIFS(Jan[What was resident doing prior to fall?],$B79))</f>
        <v>#N/A</v>
      </c>
    </row>
    <row r="80" spans="1:8" x14ac:dyDescent="0.25">
      <c r="A80" s="38"/>
      <c r="B80" s="44" t="str">
        <v/>
      </c>
      <c r="C80" s="45"/>
      <c r="D80" s="45"/>
      <c r="E80" s="45"/>
      <c r="F80" s="46"/>
      <c r="G80" s="42" t="e">
        <f>IF($B80="",NA(),COUNTIFS(Jan[What was resident doing prior to fall?],$B80))</f>
        <v>#N/A</v>
      </c>
    </row>
    <row r="81" spans="1:7" x14ac:dyDescent="0.25">
      <c r="A81" s="38"/>
      <c r="B81" s="39" t="str">
        <v/>
      </c>
      <c r="C81" s="40"/>
      <c r="D81" s="40"/>
      <c r="E81" s="40"/>
      <c r="F81" s="41"/>
      <c r="G81" s="42" t="e">
        <f>IF($B81="",NA(),COUNTIFS(Jan[What was resident doing prior to fall?],$B81))</f>
        <v>#N/A</v>
      </c>
    </row>
    <row r="82" spans="1:7" x14ac:dyDescent="0.25">
      <c r="A82" s="38"/>
      <c r="B82" s="44" t="str">
        <v/>
      </c>
      <c r="C82" s="45"/>
      <c r="D82" s="45"/>
      <c r="E82" s="45"/>
      <c r="F82" s="46"/>
      <c r="G82" s="42" t="e">
        <f>IF($B82="",NA(),COUNTIFS(Jan[What was resident doing prior to fall?],$B82))</f>
        <v>#N/A</v>
      </c>
    </row>
    <row r="83" spans="1:7" x14ac:dyDescent="0.25">
      <c r="A83" s="38"/>
      <c r="B83" s="39" t="str">
        <v/>
      </c>
      <c r="C83" s="40"/>
      <c r="D83" s="40"/>
      <c r="E83" s="40"/>
      <c r="F83" s="41"/>
      <c r="G83" s="42" t="e">
        <f>IF($B83="",NA(),COUNTIFS(Jan[What was resident doing prior to fall?],$B83))</f>
        <v>#N/A</v>
      </c>
    </row>
    <row r="84" spans="1:7" x14ac:dyDescent="0.25">
      <c r="A84" s="38"/>
      <c r="B84" s="44" t="str">
        <v/>
      </c>
      <c r="C84" s="45"/>
      <c r="D84" s="45"/>
      <c r="E84" s="45"/>
      <c r="F84" s="46"/>
      <c r="G84" s="42" t="e">
        <f>IF($B84="",NA(),COUNTIFS(Jan[What was resident doing prior to fall?],$B84))</f>
        <v>#N/A</v>
      </c>
    </row>
    <row r="85" spans="1:7" x14ac:dyDescent="0.25">
      <c r="A85" s="38"/>
      <c r="B85" s="44" t="str">
        <v/>
      </c>
      <c r="C85" s="45"/>
      <c r="D85" s="45"/>
      <c r="E85" s="45"/>
      <c r="F85" s="46"/>
      <c r="G85" s="42" t="e">
        <f>IF($B85="",NA(),COUNTIFS(Jan[What was resident doing prior to fall?],$B85))</f>
        <v>#N/A</v>
      </c>
    </row>
    <row r="86" spans="1:7" x14ac:dyDescent="0.25">
      <c r="A86" s="38"/>
      <c r="B86" s="39" t="str">
        <v/>
      </c>
      <c r="C86" s="40"/>
      <c r="D86" s="40"/>
      <c r="E86" s="40"/>
      <c r="F86" s="41"/>
      <c r="G86" s="42" t="e">
        <f>IF($B86="",NA(),COUNTIFS(Jan[What was resident doing prior to fall?],$B86))</f>
        <v>#N/A</v>
      </c>
    </row>
    <row r="87" spans="1:7" x14ac:dyDescent="0.25">
      <c r="A87" s="38"/>
      <c r="B87" s="44" t="str">
        <v/>
      </c>
      <c r="C87" s="45"/>
      <c r="D87" s="45"/>
      <c r="E87" s="45"/>
      <c r="F87" s="46"/>
      <c r="G87" s="42" t="e">
        <f>IF($B87="",NA(),COUNTIFS(Jan[What was resident doing prior to fall?],$B87))</f>
        <v>#N/A</v>
      </c>
    </row>
    <row r="88" spans="1:7" x14ac:dyDescent="0.25">
      <c r="A88" s="38"/>
      <c r="B88" s="39" t="str">
        <v/>
      </c>
      <c r="C88" s="40"/>
      <c r="D88" s="40"/>
      <c r="E88" s="40"/>
      <c r="F88" s="41"/>
      <c r="G88" s="42" t="e">
        <f>IF($B88="",NA(),COUNTIFS(Jan[What was resident doing prior to fall?],$B88))</f>
        <v>#N/A</v>
      </c>
    </row>
    <row r="89" spans="1:7" x14ac:dyDescent="0.25">
      <c r="A89" s="38"/>
      <c r="B89" s="44" t="str">
        <v/>
      </c>
      <c r="C89" s="45"/>
      <c r="D89" s="45"/>
      <c r="E89" s="45"/>
      <c r="F89" s="46"/>
      <c r="G89" s="42" t="e">
        <f>IF($B89="",NA(),COUNTIFS(Jan[What was resident doing prior to fall?],$B89))</f>
        <v>#N/A</v>
      </c>
    </row>
    <row r="90" spans="1:7" ht="15.75" thickBot="1" x14ac:dyDescent="0.3">
      <c r="A90" s="38"/>
      <c r="B90" s="47" t="str">
        <v/>
      </c>
      <c r="C90" s="47"/>
      <c r="D90" s="47"/>
      <c r="E90" s="47"/>
      <c r="F90" s="48"/>
      <c r="G90" s="42" t="e">
        <f>IF($B90="",NA(),COUNTIFS(Jan[What was resident doing prior to fall?],$B90))</f>
        <v>#N/A</v>
      </c>
    </row>
    <row r="91" spans="1:7" ht="15.6" customHeight="1" thickBot="1" x14ac:dyDescent="0.3">
      <c r="B91" s="285" t="s">
        <v>35</v>
      </c>
      <c r="C91" s="286"/>
      <c r="D91" s="286"/>
      <c r="E91" s="286"/>
      <c r="F91" s="287"/>
      <c r="G91" s="37">
        <f>_xlfn.AGGREGATE(9,6,G67:G90)</f>
        <v>0</v>
      </c>
    </row>
    <row r="92" spans="1:7" ht="15.75" thickBot="1" x14ac:dyDescent="0.3"/>
    <row r="93" spans="1:7" ht="22.35" customHeight="1" thickBot="1" x14ac:dyDescent="0.3">
      <c r="B93" s="293" t="str">
        <f>"Falls by Location"</f>
        <v>Falls by Location</v>
      </c>
      <c r="C93" s="294"/>
      <c r="D93" s="295"/>
    </row>
    <row r="94" spans="1:7" x14ac:dyDescent="0.25">
      <c r="A94" s="38"/>
      <c r="B94" s="298" t="s">
        <v>1</v>
      </c>
      <c r="C94" s="299"/>
      <c r="D94" s="49" t="s">
        <v>35</v>
      </c>
    </row>
    <row r="95" spans="1:7" x14ac:dyDescent="0.25">
      <c r="A95" s="38"/>
      <c r="B95" s="50" t="str" cm="1">
        <f t="array" ref="B95:B105">IF(_xlfn._xlws.SORT(Location[Location],1,1,TRUE)=0,"",(_xlfn._xlws.SORT(Location[Location],1,1,TRUE)))</f>
        <v>Activity Room</v>
      </c>
      <c r="C95" s="51"/>
      <c r="D95" s="52">
        <f>IF($B95="",NA(),COUNTIFS(Jan[Location],$B95))</f>
        <v>0</v>
      </c>
    </row>
    <row r="96" spans="1:7" x14ac:dyDescent="0.25">
      <c r="A96" s="38"/>
      <c r="B96" s="50" t="str">
        <v>Bedroom</v>
      </c>
      <c r="C96" s="51"/>
      <c r="D96" s="52">
        <f>IF($B96="",NA(),COUNTIFS(Jan[Location],$B96))</f>
        <v>0</v>
      </c>
    </row>
    <row r="97" spans="1:4" x14ac:dyDescent="0.25">
      <c r="A97" s="38"/>
      <c r="B97" s="50" t="str">
        <v>Bathroom</v>
      </c>
      <c r="C97" s="51"/>
      <c r="D97" s="52">
        <f>IF($B97="",NA(),COUNTIFS(Jan[Location],$B97))</f>
        <v>0</v>
      </c>
    </row>
    <row r="98" spans="1:4" x14ac:dyDescent="0.25">
      <c r="A98" s="38"/>
      <c r="B98" s="50" t="str">
        <v>Hallway</v>
      </c>
      <c r="C98" s="51"/>
      <c r="D98" s="52">
        <f>IF($B98="",NA(),COUNTIFS(Jan[Location],$B98))</f>
        <v>0</v>
      </c>
    </row>
    <row r="99" spans="1:4" x14ac:dyDescent="0.25">
      <c r="A99" s="38"/>
      <c r="B99" s="50" t="str">
        <v>Offsite</v>
      </c>
      <c r="C99" s="51"/>
      <c r="D99" s="52">
        <f>IF($B99="",NA(),COUNTIFS(Jan[Location],$B99))</f>
        <v>0</v>
      </c>
    </row>
    <row r="100" spans="1:4" x14ac:dyDescent="0.25">
      <c r="A100" s="38"/>
      <c r="B100" s="53" t="str">
        <v>Shower Room</v>
      </c>
      <c r="C100" s="54"/>
      <c r="D100" s="52">
        <f>IF($B100="",NA(),COUNTIFS(Jan[Location],$B100))</f>
        <v>0</v>
      </c>
    </row>
    <row r="101" spans="1:4" x14ac:dyDescent="0.25">
      <c r="A101" s="38"/>
      <c r="B101" s="55" t="str">
        <v>Dining Room</v>
      </c>
      <c r="C101" s="56"/>
      <c r="D101" s="52">
        <f>IF($B101="",NA(),COUNTIFS(Jan[Location],$B101))</f>
        <v>0</v>
      </c>
    </row>
    <row r="102" spans="1:4" x14ac:dyDescent="0.25">
      <c r="A102" s="38"/>
      <c r="B102" s="57" t="str">
        <v/>
      </c>
      <c r="C102" s="58"/>
      <c r="D102" s="52" t="e">
        <f>IF($B102="",NA(),COUNTIFS(Jan[Location],$B102))</f>
        <v>#N/A</v>
      </c>
    </row>
    <row r="103" spans="1:4" x14ac:dyDescent="0.25">
      <c r="A103" s="38"/>
      <c r="B103" s="59" t="str">
        <v/>
      </c>
      <c r="C103" s="51"/>
      <c r="D103" s="52" t="e">
        <f>IF($B103="",NA(),COUNTIFS(Jan[Location],$B103))</f>
        <v>#N/A</v>
      </c>
    </row>
    <row r="104" spans="1:4" x14ac:dyDescent="0.25">
      <c r="A104" s="38"/>
      <c r="B104" s="53" t="str">
        <v/>
      </c>
      <c r="C104" s="60"/>
      <c r="D104" s="52" t="e">
        <f>IF($B104="",NA(),COUNTIFS(Jan[Location],$B104))</f>
        <v>#N/A</v>
      </c>
    </row>
    <row r="105" spans="1:4" ht="15.75" thickBot="1" x14ac:dyDescent="0.3">
      <c r="A105" s="38"/>
      <c r="B105" s="59" t="str">
        <v/>
      </c>
      <c r="C105" s="61"/>
      <c r="D105" s="52" t="e">
        <f>IF($B105="",NA(),COUNTIFS(Jan[Location],$B105))</f>
        <v>#N/A</v>
      </c>
    </row>
    <row r="106" spans="1:4" ht="15.75" thickBot="1" x14ac:dyDescent="0.3">
      <c r="B106" s="296" t="s">
        <v>16</v>
      </c>
      <c r="C106" s="297"/>
      <c r="D106" s="37">
        <f>_xlfn.AGGREGATE(9,6,D95:D105)</f>
        <v>0</v>
      </c>
    </row>
    <row r="107" spans="1:4" ht="15.75" thickBot="1" x14ac:dyDescent="0.3"/>
    <row r="108" spans="1:4" ht="21.4" customHeight="1" thickBot="1" x14ac:dyDescent="0.3">
      <c r="B108" s="280" t="str">
        <f>"Falls by Nursing Station "</f>
        <v xml:space="preserve">Falls by Nursing Station </v>
      </c>
      <c r="C108" s="281"/>
      <c r="D108" s="282"/>
    </row>
    <row r="109" spans="1:4" ht="15.75" x14ac:dyDescent="0.25">
      <c r="B109" s="291" t="s">
        <v>2</v>
      </c>
      <c r="C109" s="291"/>
      <c r="D109" s="28" t="s">
        <v>35</v>
      </c>
    </row>
    <row r="110" spans="1:4" x14ac:dyDescent="0.25">
      <c r="B110" s="62" cm="1">
        <f t="array" ref="B110:B120">IF(_xlfn._xlws.SORT(NS[Nurses Stations],1,1,TRUE)=0,"",(_xlfn._xlws.SORT(NS[Nurses Stations],1,1,TRUE)))</f>
        <v>1</v>
      </c>
      <c r="C110" s="63"/>
      <c r="D110" s="31">
        <f>IF($B110="",NA(),COUNTIFS(Jan[Station],$B110))</f>
        <v>0</v>
      </c>
    </row>
    <row r="111" spans="1:4" x14ac:dyDescent="0.25">
      <c r="B111" s="62">
        <v>2</v>
      </c>
      <c r="C111" s="63"/>
      <c r="D111" s="31">
        <f>IF($B111="",NA(),COUNTIFS(Jan[Station],$B111))</f>
        <v>0</v>
      </c>
    </row>
    <row r="112" spans="1:4" x14ac:dyDescent="0.25">
      <c r="B112" s="62">
        <v>3</v>
      </c>
      <c r="C112" s="63"/>
      <c r="D112" s="31">
        <f>IF($B112="",NA(),COUNTIFS(Jan[Station],$B112))</f>
        <v>0</v>
      </c>
    </row>
    <row r="113" spans="2:4" x14ac:dyDescent="0.25">
      <c r="B113" s="62">
        <v>4</v>
      </c>
      <c r="C113" s="63"/>
      <c r="D113" s="31">
        <f>IF($B113="",NA(),COUNTIFS(Jan[Station],$B113))</f>
        <v>0</v>
      </c>
    </row>
    <row r="114" spans="2:4" x14ac:dyDescent="0.25">
      <c r="B114" s="62">
        <v>5</v>
      </c>
      <c r="C114" s="63"/>
      <c r="D114" s="31">
        <f>IF($B114="",NA(),COUNTIFS(Jan[Station],$B114))</f>
        <v>0</v>
      </c>
    </row>
    <row r="115" spans="2:4" x14ac:dyDescent="0.25">
      <c r="B115" s="62" t="str">
        <v/>
      </c>
      <c r="C115" s="63"/>
      <c r="D115" s="31" t="e">
        <f>IF($B115="",NA(),COUNTIFS(Jan[Station],$B115))</f>
        <v>#N/A</v>
      </c>
    </row>
    <row r="116" spans="2:4" x14ac:dyDescent="0.25">
      <c r="B116" s="62" t="str">
        <v/>
      </c>
      <c r="C116" s="63"/>
      <c r="D116" s="31" t="e">
        <f>IF($B116="",NA(),COUNTIFS(Jan[Station],$B116))</f>
        <v>#N/A</v>
      </c>
    </row>
    <row r="117" spans="2:4" x14ac:dyDescent="0.25">
      <c r="B117" s="62" t="str">
        <v/>
      </c>
      <c r="C117" s="63"/>
      <c r="D117" s="31" t="e">
        <f>IF($B117="",NA(),COUNTIFS(Jan[Station],$B117))</f>
        <v>#N/A</v>
      </c>
    </row>
    <row r="118" spans="2:4" x14ac:dyDescent="0.25">
      <c r="B118" s="62" t="str">
        <v/>
      </c>
      <c r="C118" s="63"/>
      <c r="D118" s="31" t="e">
        <f>IF($B118="",NA(),COUNTIFS(Jan[Station],$B118))</f>
        <v>#N/A</v>
      </c>
    </row>
    <row r="119" spans="2:4" x14ac:dyDescent="0.25">
      <c r="B119" s="62" t="str">
        <v/>
      </c>
      <c r="C119" s="63"/>
      <c r="D119" s="31" t="e">
        <f>IF($B119="",NA(),COUNTIFS(Jan[Station],$B119))</f>
        <v>#N/A</v>
      </c>
    </row>
    <row r="120" spans="2:4" ht="15.75" thickBot="1" x14ac:dyDescent="0.3">
      <c r="B120" s="64" t="str">
        <v/>
      </c>
      <c r="C120" s="63"/>
      <c r="D120" s="31" t="e">
        <f>IF($B120="",NA(),COUNTIFS(Jan[Station],$B120))</f>
        <v>#N/A</v>
      </c>
    </row>
    <row r="121" spans="2:4" ht="15.6" customHeight="1" thickBot="1" x14ac:dyDescent="0.3">
      <c r="B121" s="285" t="s">
        <v>16</v>
      </c>
      <c r="C121" s="286"/>
      <c r="D121" s="37">
        <f>_xlfn.AGGREGATE(9,6,D110:D120)</f>
        <v>0</v>
      </c>
    </row>
    <row r="122" spans="2:4" ht="15.6" customHeight="1" thickBot="1" x14ac:dyDescent="0.3">
      <c r="B122" s="65"/>
      <c r="C122" s="66"/>
      <c r="D122" s="67"/>
    </row>
    <row r="123" spans="2:4" ht="21.95" customHeight="1" thickBot="1" x14ac:dyDescent="0.3">
      <c r="B123" s="280" t="str">
        <f>"Falls by Day of the Week "</f>
        <v xml:space="preserve">Falls by Day of the Week </v>
      </c>
      <c r="C123" s="281"/>
      <c r="D123" s="282"/>
    </row>
    <row r="124" spans="2:4" ht="15.75" x14ac:dyDescent="0.25">
      <c r="B124" s="291" t="s">
        <v>3</v>
      </c>
      <c r="C124" s="291"/>
      <c r="D124" s="28" t="s">
        <v>35</v>
      </c>
    </row>
    <row r="125" spans="2:4" x14ac:dyDescent="0.25">
      <c r="B125" s="292" t="s">
        <v>46</v>
      </c>
      <c r="C125" s="292"/>
      <c r="D125" s="31">
        <f>COUNTIFS(Jan[Day],$B125)</f>
        <v>0</v>
      </c>
    </row>
    <row r="126" spans="2:4" x14ac:dyDescent="0.25">
      <c r="B126" s="292" t="s">
        <v>47</v>
      </c>
      <c r="C126" s="292"/>
      <c r="D126" s="31">
        <f>COUNTIFS(Jan[Day],$B126)</f>
        <v>0</v>
      </c>
    </row>
    <row r="127" spans="2:4" x14ac:dyDescent="0.25">
      <c r="B127" s="292" t="s">
        <v>52</v>
      </c>
      <c r="C127" s="292"/>
      <c r="D127" s="31">
        <f>COUNTIFS(Jan[Day],$B127)</f>
        <v>0</v>
      </c>
    </row>
    <row r="128" spans="2:4" x14ac:dyDescent="0.25">
      <c r="B128" s="292" t="s">
        <v>48</v>
      </c>
      <c r="C128" s="292"/>
      <c r="D128" s="31">
        <f>COUNTIFS(Jan[Day],$B128)</f>
        <v>0</v>
      </c>
    </row>
    <row r="129" spans="2:4" x14ac:dyDescent="0.25">
      <c r="B129" s="292" t="s">
        <v>51</v>
      </c>
      <c r="C129" s="292"/>
      <c r="D129" s="31">
        <f>COUNTIFS(Jan[Day],$B129)</f>
        <v>0</v>
      </c>
    </row>
    <row r="130" spans="2:4" x14ac:dyDescent="0.25">
      <c r="B130" s="292" t="s">
        <v>49</v>
      </c>
      <c r="C130" s="292"/>
      <c r="D130" s="31">
        <f>COUNTIFS(Jan[Day],$B130)</f>
        <v>0</v>
      </c>
    </row>
    <row r="131" spans="2:4" ht="15.75" thickBot="1" x14ac:dyDescent="0.3">
      <c r="B131" s="292" t="s">
        <v>50</v>
      </c>
      <c r="C131" s="292"/>
      <c r="D131" s="34">
        <f>COUNTIFS(Jan[Day],$B131)</f>
        <v>0</v>
      </c>
    </row>
    <row r="132" spans="2:4" ht="15.6" customHeight="1" thickBot="1" x14ac:dyDescent="0.3">
      <c r="B132" s="285" t="s">
        <v>16</v>
      </c>
      <c r="C132" s="286"/>
      <c r="D132" s="37">
        <f>_xlfn.AGGREGATE(9,6,D125:D131)</f>
        <v>0</v>
      </c>
    </row>
    <row r="133" spans="2:4" ht="15.75" thickBot="1" x14ac:dyDescent="0.3"/>
    <row r="134" spans="2:4" ht="21.4" customHeight="1" thickBot="1" x14ac:dyDescent="0.3">
      <c r="B134" s="280" t="str">
        <f>"Falls by Shift"</f>
        <v>Falls by Shift</v>
      </c>
      <c r="C134" s="281"/>
      <c r="D134" s="282"/>
    </row>
    <row r="135" spans="2:4" ht="15.75" x14ac:dyDescent="0.25">
      <c r="B135" s="291" t="s">
        <v>34</v>
      </c>
      <c r="C135" s="291"/>
      <c r="D135" s="28" t="s">
        <v>35</v>
      </c>
    </row>
    <row r="136" spans="2:4" x14ac:dyDescent="0.25">
      <c r="B136" s="29" t="str" cm="1">
        <f t="array" ref="B136:B140">IF(_xlfn._xlws.SORT('Data Validation'!P3:P7,1,1,TRUE)=0,"",(_xlfn._xlws.SORT('Data Validation'!P3:P7,1,1,TRUE)))</f>
        <v>11-7</v>
      </c>
      <c r="C136" s="58"/>
      <c r="D136" s="31">
        <f>IF($B136="",NA(),COUNTIFS(Jan[Shift],$B136))</f>
        <v>0</v>
      </c>
    </row>
    <row r="137" spans="2:4" x14ac:dyDescent="0.25">
      <c r="B137" s="29" t="str">
        <v>11–7</v>
      </c>
      <c r="C137" s="58"/>
      <c r="D137" s="31">
        <f>IF($B137="",NA(),COUNTIFS(Jan[Shift],$B137))</f>
        <v>0</v>
      </c>
    </row>
    <row r="138" spans="2:4" x14ac:dyDescent="0.25">
      <c r="B138" s="29" t="str">
        <v>7–3</v>
      </c>
      <c r="C138" s="58"/>
      <c r="D138" s="31">
        <f>IF($B138="",NA(),COUNTIFS(Jan[Shift],$B138))</f>
        <v>0</v>
      </c>
    </row>
    <row r="139" spans="2:4" x14ac:dyDescent="0.25">
      <c r="B139" s="29" t="str">
        <v>3–11</v>
      </c>
      <c r="C139" s="58"/>
      <c r="D139" s="31">
        <f>IF($B139="",NA(),COUNTIFS(Jan[Shift],$B139))</f>
        <v>0</v>
      </c>
    </row>
    <row r="140" spans="2:4" ht="15.75" thickBot="1" x14ac:dyDescent="0.3">
      <c r="B140" s="29" t="str">
        <v/>
      </c>
      <c r="C140" s="68"/>
      <c r="D140" s="34" t="e">
        <f>IF($B140="",NA(),COUNTIFS(Jan[Shift],$B140))</f>
        <v>#N/A</v>
      </c>
    </row>
    <row r="141" spans="2:4" ht="15.75" thickBot="1" x14ac:dyDescent="0.3">
      <c r="B141" s="285" t="s">
        <v>16</v>
      </c>
      <c r="C141" s="286"/>
      <c r="D141" s="35">
        <f>_xlfn.AGGREGATE(9,6,D136:D140)</f>
        <v>0</v>
      </c>
    </row>
    <row r="142" spans="2:4" ht="15.75" thickBot="1" x14ac:dyDescent="0.3"/>
    <row r="143" spans="2:4" ht="21.4" customHeight="1" thickBot="1" x14ac:dyDescent="0.3">
      <c r="B143" s="280" t="str">
        <f>"Falls by Hour "</f>
        <v xml:space="preserve">Falls by Hour </v>
      </c>
      <c r="C143" s="281"/>
      <c r="D143" s="282"/>
    </row>
    <row r="144" spans="2:4" ht="15.75" x14ac:dyDescent="0.25">
      <c r="B144" s="291" t="s">
        <v>33</v>
      </c>
      <c r="C144" s="291"/>
      <c r="D144" s="28" t="s">
        <v>35</v>
      </c>
    </row>
    <row r="145" spans="2:4" x14ac:dyDescent="0.25">
      <c r="B145" s="292" t="s">
        <v>115</v>
      </c>
      <c r="C145" s="292"/>
      <c r="D145" s="31">
        <f>COUNTIFS(Jan[Hour],$B145)</f>
        <v>0</v>
      </c>
    </row>
    <row r="146" spans="2:4" x14ac:dyDescent="0.25">
      <c r="B146" s="292" t="s">
        <v>116</v>
      </c>
      <c r="C146" s="292"/>
      <c r="D146" s="31">
        <f>COUNTIFS(Jan[Hour],$B146)</f>
        <v>0</v>
      </c>
    </row>
    <row r="147" spans="2:4" x14ac:dyDescent="0.25">
      <c r="B147" s="292" t="s">
        <v>117</v>
      </c>
      <c r="C147" s="292"/>
      <c r="D147" s="31">
        <f>COUNTIFS(Jan[Hour],$B147)</f>
        <v>0</v>
      </c>
    </row>
    <row r="148" spans="2:4" x14ac:dyDescent="0.25">
      <c r="B148" s="292" t="s">
        <v>118</v>
      </c>
      <c r="C148" s="292"/>
      <c r="D148" s="31">
        <f>COUNTIFS(Jan[Hour],$B148)</f>
        <v>0</v>
      </c>
    </row>
    <row r="149" spans="2:4" x14ac:dyDescent="0.25">
      <c r="B149" s="292" t="s">
        <v>119</v>
      </c>
      <c r="C149" s="292"/>
      <c r="D149" s="31">
        <f>COUNTIFS(Jan[Hour],$B149)</f>
        <v>0</v>
      </c>
    </row>
    <row r="150" spans="2:4" x14ac:dyDescent="0.25">
      <c r="B150" s="292" t="s">
        <v>120</v>
      </c>
      <c r="C150" s="292"/>
      <c r="D150" s="31">
        <f>COUNTIFS(Jan[Hour],$B150)</f>
        <v>0</v>
      </c>
    </row>
    <row r="151" spans="2:4" x14ac:dyDescent="0.25">
      <c r="B151" s="292" t="s">
        <v>121</v>
      </c>
      <c r="C151" s="292"/>
      <c r="D151" s="31">
        <f>COUNTIFS(Jan[Hour],$B151)</f>
        <v>0</v>
      </c>
    </row>
    <row r="152" spans="2:4" x14ac:dyDescent="0.25">
      <c r="B152" s="292" t="s">
        <v>122</v>
      </c>
      <c r="C152" s="292"/>
      <c r="D152" s="31">
        <f>COUNTIFS(Jan[Hour],$B152)</f>
        <v>0</v>
      </c>
    </row>
    <row r="153" spans="2:4" x14ac:dyDescent="0.25">
      <c r="B153" s="292" t="s">
        <v>123</v>
      </c>
      <c r="C153" s="292"/>
      <c r="D153" s="31">
        <f>COUNTIFS(Jan[Hour],$B153)</f>
        <v>0</v>
      </c>
    </row>
    <row r="154" spans="2:4" x14ac:dyDescent="0.25">
      <c r="B154" s="292" t="s">
        <v>124</v>
      </c>
      <c r="C154" s="292"/>
      <c r="D154" s="31">
        <f>COUNTIFS(Jan[Hour],$B154)</f>
        <v>0</v>
      </c>
    </row>
    <row r="155" spans="2:4" x14ac:dyDescent="0.25">
      <c r="B155" s="292" t="s">
        <v>125</v>
      </c>
      <c r="C155" s="292"/>
      <c r="D155" s="31">
        <f>COUNTIFS(Jan[Hour],$B155)</f>
        <v>0</v>
      </c>
    </row>
    <row r="156" spans="2:4" x14ac:dyDescent="0.25">
      <c r="B156" s="292" t="s">
        <v>126</v>
      </c>
      <c r="C156" s="292"/>
      <c r="D156" s="31">
        <f>COUNTIFS(Jan[Hour],$B156)</f>
        <v>0</v>
      </c>
    </row>
    <row r="157" spans="2:4" x14ac:dyDescent="0.25">
      <c r="B157" s="292" t="s">
        <v>127</v>
      </c>
      <c r="C157" s="292"/>
      <c r="D157" s="31">
        <f>COUNTIFS(Jan[Hour],$B157)</f>
        <v>0</v>
      </c>
    </row>
    <row r="158" spans="2:4" x14ac:dyDescent="0.25">
      <c r="B158" s="292" t="s">
        <v>128</v>
      </c>
      <c r="C158" s="292"/>
      <c r="D158" s="31">
        <f>COUNTIFS(Jan[Hour],$B158)</f>
        <v>0</v>
      </c>
    </row>
    <row r="159" spans="2:4" x14ac:dyDescent="0.25">
      <c r="B159" s="292" t="s">
        <v>129</v>
      </c>
      <c r="C159" s="292"/>
      <c r="D159" s="31">
        <f>COUNTIFS(Jan[Hour],$B159)</f>
        <v>0</v>
      </c>
    </row>
    <row r="160" spans="2:4" x14ac:dyDescent="0.25">
      <c r="B160" s="292" t="s">
        <v>130</v>
      </c>
      <c r="C160" s="292"/>
      <c r="D160" s="31">
        <f>COUNTIFS(Jan[Hour],$B160)</f>
        <v>0</v>
      </c>
    </row>
    <row r="161" spans="1:8" x14ac:dyDescent="0.25">
      <c r="B161" s="292" t="s">
        <v>131</v>
      </c>
      <c r="C161" s="292"/>
      <c r="D161" s="31">
        <f>COUNTIFS(Jan[Hour],$B161)</f>
        <v>0</v>
      </c>
    </row>
    <row r="162" spans="1:8" x14ac:dyDescent="0.25">
      <c r="B162" s="292" t="s">
        <v>132</v>
      </c>
      <c r="C162" s="292"/>
      <c r="D162" s="31">
        <f>COUNTIFS(Jan[Hour],$B162)</f>
        <v>0</v>
      </c>
    </row>
    <row r="163" spans="1:8" x14ac:dyDescent="0.25">
      <c r="B163" s="292" t="s">
        <v>133</v>
      </c>
      <c r="C163" s="292"/>
      <c r="D163" s="31">
        <f>COUNTIFS(Jan[Hour],$B163)</f>
        <v>0</v>
      </c>
    </row>
    <row r="164" spans="1:8" x14ac:dyDescent="0.25">
      <c r="B164" s="292" t="s">
        <v>134</v>
      </c>
      <c r="C164" s="292"/>
      <c r="D164" s="31">
        <f>COUNTIFS(Jan[Hour],$B164)</f>
        <v>0</v>
      </c>
    </row>
    <row r="165" spans="1:8" x14ac:dyDescent="0.25">
      <c r="B165" s="292" t="s">
        <v>135</v>
      </c>
      <c r="C165" s="292"/>
      <c r="D165" s="31">
        <f>COUNTIFS(Jan[Hour],$B165)</f>
        <v>0</v>
      </c>
    </row>
    <row r="166" spans="1:8" x14ac:dyDescent="0.25">
      <c r="B166" s="292" t="s">
        <v>136</v>
      </c>
      <c r="C166" s="292"/>
      <c r="D166" s="31">
        <f>COUNTIFS(Jan[Hour],$B166)</f>
        <v>0</v>
      </c>
    </row>
    <row r="167" spans="1:8" x14ac:dyDescent="0.25">
      <c r="B167" s="292" t="s">
        <v>137</v>
      </c>
      <c r="C167" s="292"/>
      <c r="D167" s="31">
        <f>COUNTIFS(Jan[Hour],$B167)</f>
        <v>0</v>
      </c>
    </row>
    <row r="168" spans="1:8" ht="15.75" thickBot="1" x14ac:dyDescent="0.3">
      <c r="B168" s="292" t="s">
        <v>138</v>
      </c>
      <c r="C168" s="292"/>
      <c r="D168" s="34">
        <f>COUNTIFS(Jan[Hour],$B168)</f>
        <v>0</v>
      </c>
    </row>
    <row r="169" spans="1:8" ht="15.75" thickBot="1" x14ac:dyDescent="0.3">
      <c r="B169" s="285" t="s">
        <v>35</v>
      </c>
      <c r="C169" s="286"/>
      <c r="D169" s="35">
        <f>SUM(D145:D168)</f>
        <v>0</v>
      </c>
    </row>
    <row r="170" spans="1:8" ht="15.75" thickBot="1" x14ac:dyDescent="0.3"/>
    <row r="171" spans="1:8" ht="21.4" customHeight="1" thickBot="1" x14ac:dyDescent="0.3">
      <c r="B171" s="280" t="str">
        <f>"Falls by Contributing Factors"</f>
        <v>Falls by Contributing Factors</v>
      </c>
      <c r="C171" s="281"/>
      <c r="D171" s="281"/>
      <c r="E171" s="281"/>
      <c r="F171" s="281"/>
      <c r="G171" s="282"/>
    </row>
    <row r="172" spans="1:8" ht="15.6" customHeight="1" x14ac:dyDescent="0.25">
      <c r="A172" s="38"/>
      <c r="B172" s="288" t="s">
        <v>92</v>
      </c>
      <c r="C172" s="289"/>
      <c r="D172" s="289"/>
      <c r="E172" s="289"/>
      <c r="F172" s="290"/>
      <c r="G172" s="28" t="s">
        <v>35</v>
      </c>
    </row>
    <row r="173" spans="1:8" x14ac:dyDescent="0.25">
      <c r="A173" s="38"/>
      <c r="B173" s="44" t="str" cm="1">
        <f t="array" ref="B173:B196">IF(_xlfn._xlws.SORT(CF[Contributing Factors],1,1,TRUE)=0,"",(_xlfn._xlws.SORT(CF[Contributing Factors],1,1,TRUE)))</f>
        <v>Assisted/caregiver transfer</v>
      </c>
      <c r="C173" s="45"/>
      <c r="D173" s="45"/>
      <c r="E173" s="45"/>
      <c r="F173" s="46"/>
      <c r="G173" s="42">
        <f>IF($B173="",NA(),COUNTIFS(Jan[Contributing Factors],$B173))</f>
        <v>0</v>
      </c>
      <c r="H173" s="43"/>
    </row>
    <row r="174" spans="1:8" x14ac:dyDescent="0.25">
      <c r="A174" s="38"/>
      <c r="B174" s="39" t="str">
        <v>Bowel and bladder (B&amp;B) needs</v>
      </c>
      <c r="C174" s="40"/>
      <c r="D174" s="40"/>
      <c r="E174" s="40"/>
      <c r="F174" s="41"/>
      <c r="G174" s="42">
        <f>IF($B174="",NA(),COUNTIFS(Jan[Contributing Factors],$B174))</f>
        <v>0</v>
      </c>
    </row>
    <row r="175" spans="1:8" x14ac:dyDescent="0.25">
      <c r="A175" s="38"/>
      <c r="B175" s="44" t="str">
        <v>Behavioral or situational</v>
      </c>
      <c r="C175" s="45"/>
      <c r="D175" s="45"/>
      <c r="E175" s="45"/>
      <c r="F175" s="46"/>
      <c r="G175" s="42">
        <f>IF($B175="",NA(),COUNTIFS(Jan[Contributing Factors],$B175))</f>
        <v>0</v>
      </c>
    </row>
    <row r="176" spans="1:8" x14ac:dyDescent="0.25">
      <c r="A176" s="38"/>
      <c r="B176" s="39" t="str">
        <v>Change of condition</v>
      </c>
      <c r="C176" s="40"/>
      <c r="D176" s="40"/>
      <c r="E176" s="40"/>
      <c r="F176" s="41"/>
      <c r="G176" s="42">
        <f>IF($B176="",NA(),COUNTIFS(Jan[Contributing Factors],$B176))</f>
        <v>0</v>
      </c>
    </row>
    <row r="177" spans="1:7" x14ac:dyDescent="0.25">
      <c r="A177" s="38"/>
      <c r="B177" s="44" t="str">
        <v>Environmental factors</v>
      </c>
      <c r="C177" s="45"/>
      <c r="D177" s="45"/>
      <c r="E177" s="45"/>
      <c r="F177" s="46"/>
      <c r="G177" s="42">
        <f>IF($B177="",NA(),COUNTIFS(Jan[Contributing Factors],$B177))</f>
        <v>0</v>
      </c>
    </row>
    <row r="178" spans="1:7" x14ac:dyDescent="0.25">
      <c r="A178" s="38"/>
      <c r="B178" s="39" t="str">
        <v>Equipment malfunction</v>
      </c>
      <c r="C178" s="40"/>
      <c r="D178" s="40"/>
      <c r="E178" s="40"/>
      <c r="F178" s="41"/>
      <c r="G178" s="42">
        <f>IF($B178="",NA(),COUNTIFS(Jan[Contributing Factors],$B178))</f>
        <v>0</v>
      </c>
    </row>
    <row r="179" spans="1:7" x14ac:dyDescent="0.25">
      <c r="A179" s="38"/>
      <c r="B179" s="44" t="str">
        <v>Equipment or assistive device</v>
      </c>
      <c r="C179" s="45"/>
      <c r="D179" s="45"/>
      <c r="E179" s="45"/>
      <c r="F179" s="46"/>
      <c r="G179" s="42">
        <f>IF($B179="",NA(),COUNTIFS(Jan[Contributing Factors],$B179))</f>
        <v>0</v>
      </c>
    </row>
    <row r="180" spans="1:7" x14ac:dyDescent="0.25">
      <c r="A180" s="38"/>
      <c r="B180" s="39" t="str">
        <v>Medication related</v>
      </c>
      <c r="C180" s="40"/>
      <c r="D180" s="40"/>
      <c r="E180" s="40"/>
      <c r="F180" s="41"/>
      <c r="G180" s="42">
        <f>IF($B180="",NA(),COUNTIFS(Jan[Contributing Factors],$B180))</f>
        <v>0</v>
      </c>
    </row>
    <row r="181" spans="1:7" x14ac:dyDescent="0.25">
      <c r="A181" s="38"/>
      <c r="B181" s="44" t="str">
        <v>Process(s) not followed</v>
      </c>
      <c r="C181" s="45"/>
      <c r="D181" s="45"/>
      <c r="E181" s="45"/>
      <c r="F181" s="46"/>
      <c r="G181" s="42">
        <f>IF($B181="",NA(),COUNTIFS(Jan[Contributing Factors],$B181))</f>
        <v>0</v>
      </c>
    </row>
    <row r="182" spans="1:7" x14ac:dyDescent="0.25">
      <c r="A182" s="38"/>
      <c r="B182" s="39" t="str">
        <v>Resident health conditions</v>
      </c>
      <c r="C182" s="40"/>
      <c r="D182" s="40"/>
      <c r="E182" s="40"/>
      <c r="F182" s="41"/>
      <c r="G182" s="42">
        <f>IF($B182="",NA(),COUNTIFS(Jan[Contributing Factors],$B182))</f>
        <v>0</v>
      </c>
    </row>
    <row r="183" spans="1:7" x14ac:dyDescent="0.25">
      <c r="A183" s="38"/>
      <c r="B183" s="44" t="str">
        <v>Staff</v>
      </c>
      <c r="C183" s="45"/>
      <c r="D183" s="45"/>
      <c r="E183" s="45"/>
      <c r="F183" s="46"/>
      <c r="G183" s="42">
        <f>IF($B183="",NA(),COUNTIFS(Jan[Contributing Factors],$B183))</f>
        <v>0</v>
      </c>
    </row>
    <row r="184" spans="1:7" x14ac:dyDescent="0.25">
      <c r="A184" s="38"/>
      <c r="B184" s="39" t="str">
        <v/>
      </c>
      <c r="C184" s="40"/>
      <c r="D184" s="40"/>
      <c r="E184" s="40"/>
      <c r="F184" s="41"/>
      <c r="G184" s="42" t="e">
        <f>IF($B184="",NA(),COUNTIFS(Jan[Contributing Factors],$B184))</f>
        <v>#N/A</v>
      </c>
    </row>
    <row r="185" spans="1:7" x14ac:dyDescent="0.25">
      <c r="A185" s="38"/>
      <c r="B185" s="44" t="str">
        <v/>
      </c>
      <c r="C185" s="45"/>
      <c r="D185" s="45"/>
      <c r="E185" s="45"/>
      <c r="F185" s="46"/>
      <c r="G185" s="42" t="e">
        <f>IF($B185="",NA(),COUNTIFS(Jan[Contributing Factors],$B185))</f>
        <v>#N/A</v>
      </c>
    </row>
    <row r="186" spans="1:7" x14ac:dyDescent="0.25">
      <c r="A186" s="38"/>
      <c r="B186" s="39" t="str">
        <v/>
      </c>
      <c r="C186" s="40"/>
      <c r="D186" s="40"/>
      <c r="E186" s="40"/>
      <c r="F186" s="41"/>
      <c r="G186" s="42" t="e">
        <f>IF($B186="",NA(),COUNTIFS(Jan[Contributing Factors],$B186))</f>
        <v>#N/A</v>
      </c>
    </row>
    <row r="187" spans="1:7" x14ac:dyDescent="0.25">
      <c r="A187" s="38"/>
      <c r="B187" s="44" t="str">
        <v/>
      </c>
      <c r="C187" s="45"/>
      <c r="D187" s="45"/>
      <c r="E187" s="45"/>
      <c r="F187" s="46"/>
      <c r="G187" s="42" t="e">
        <f>IF($B187="",NA(),COUNTIFS(Jan[Contributing Factors],$B187))</f>
        <v>#N/A</v>
      </c>
    </row>
    <row r="188" spans="1:7" x14ac:dyDescent="0.25">
      <c r="A188" s="38"/>
      <c r="B188" s="39" t="str">
        <v/>
      </c>
      <c r="C188" s="40"/>
      <c r="D188" s="40"/>
      <c r="E188" s="40"/>
      <c r="F188" s="41"/>
      <c r="G188" s="42" t="e">
        <f>IF($B188="",NA(),COUNTIFS(Jan[Contributing Factors],$B188))</f>
        <v>#N/A</v>
      </c>
    </row>
    <row r="189" spans="1:7" x14ac:dyDescent="0.25">
      <c r="A189" s="38"/>
      <c r="B189" s="44" t="str">
        <v/>
      </c>
      <c r="C189" s="45"/>
      <c r="D189" s="45"/>
      <c r="E189" s="45"/>
      <c r="F189" s="46"/>
      <c r="G189" s="42" t="e">
        <f>IF($B189="",NA(),COUNTIFS(Jan[Contributing Factors],$B189))</f>
        <v>#N/A</v>
      </c>
    </row>
    <row r="190" spans="1:7" x14ac:dyDescent="0.25">
      <c r="A190" s="38"/>
      <c r="B190" s="39" t="str">
        <v/>
      </c>
      <c r="C190" s="40"/>
      <c r="D190" s="40"/>
      <c r="E190" s="40"/>
      <c r="F190" s="41"/>
      <c r="G190" s="42" t="e">
        <f>IF($B190="",NA(),COUNTIFS(Jan[Contributing Factors],$B190))</f>
        <v>#N/A</v>
      </c>
    </row>
    <row r="191" spans="1:7" x14ac:dyDescent="0.25">
      <c r="A191" s="38"/>
      <c r="B191" s="44" t="str">
        <v/>
      </c>
      <c r="C191" s="45"/>
      <c r="D191" s="45"/>
      <c r="E191" s="45"/>
      <c r="F191" s="46"/>
      <c r="G191" s="42" t="e">
        <f>IF($B191="",NA(),COUNTIFS(Jan[Contributing Factors],$B191))</f>
        <v>#N/A</v>
      </c>
    </row>
    <row r="192" spans="1:7" x14ac:dyDescent="0.25">
      <c r="A192" s="38"/>
      <c r="B192" s="39" t="str">
        <v/>
      </c>
      <c r="C192" s="40"/>
      <c r="D192" s="40"/>
      <c r="E192" s="40"/>
      <c r="F192" s="41"/>
      <c r="G192" s="42" t="e">
        <f>IF($B192="",NA(),COUNTIFS(Jan[Contributing Factors],$B192))</f>
        <v>#N/A</v>
      </c>
    </row>
    <row r="193" spans="1:7" x14ac:dyDescent="0.25">
      <c r="A193" s="38"/>
      <c r="B193" s="44" t="str">
        <v/>
      </c>
      <c r="C193" s="45"/>
      <c r="D193" s="45"/>
      <c r="E193" s="45"/>
      <c r="F193" s="46"/>
      <c r="G193" s="42" t="e">
        <f>IF($B193="",NA(),COUNTIFS(Jan[Contributing Factors],$B193))</f>
        <v>#N/A</v>
      </c>
    </row>
    <row r="194" spans="1:7" x14ac:dyDescent="0.25">
      <c r="A194" s="38"/>
      <c r="B194" s="39" t="str">
        <v/>
      </c>
      <c r="C194" s="40"/>
      <c r="D194" s="40"/>
      <c r="E194" s="40"/>
      <c r="F194" s="41"/>
      <c r="G194" s="42" t="e">
        <f>IF($B194="",NA(),COUNTIFS(Jan[Contributing Factors],$B194))</f>
        <v>#N/A</v>
      </c>
    </row>
    <row r="195" spans="1:7" x14ac:dyDescent="0.25">
      <c r="A195" s="38"/>
      <c r="B195" s="44" t="str">
        <v/>
      </c>
      <c r="C195" s="45"/>
      <c r="D195" s="45"/>
      <c r="E195" s="45"/>
      <c r="F195" s="46"/>
      <c r="G195" s="42" t="e">
        <f>IF($B195="",NA(),COUNTIFS(Jan[Contributing Factors],$B195))</f>
        <v>#N/A</v>
      </c>
    </row>
    <row r="196" spans="1:7" ht="15.75" thickBot="1" x14ac:dyDescent="0.3">
      <c r="A196" s="38"/>
      <c r="B196" s="39" t="str">
        <v/>
      </c>
      <c r="C196" s="40"/>
      <c r="D196" s="40"/>
      <c r="E196" s="40"/>
      <c r="F196" s="41"/>
      <c r="G196" s="42" t="e">
        <f>IF($B196="",NA(),COUNTIFS(Jan[Contributing Factors],$B196))</f>
        <v>#N/A</v>
      </c>
    </row>
    <row r="197" spans="1:7" ht="15.6" customHeight="1" thickBot="1" x14ac:dyDescent="0.3">
      <c r="B197" s="285" t="s">
        <v>35</v>
      </c>
      <c r="C197" s="286"/>
      <c r="D197" s="286"/>
      <c r="E197" s="286"/>
      <c r="F197" s="287"/>
      <c r="G197" s="37">
        <f>_xlfn.AGGREGATE(9,6,G173:G196)</f>
        <v>0</v>
      </c>
    </row>
  </sheetData>
  <sheetProtection algorithmName="SHA-512" hashValue="mJ7GjZPNuICzu8v/xO41E3NHlzR3jB0nL7eB/LcKTlFQo+ig1zmvWsarz92NfNwAbYyrKFXwagyaeAa12Iw3wg==" saltValue="uV5z44cgWEnoXLiP3kCEjg==" spinCount="100000" sheet="1" formatCells="0" formatColumns="0" formatRows="0" sort="0" autoFilter="0"/>
  <mergeCells count="61">
    <mergeCell ref="B171:G171"/>
    <mergeCell ref="B172:F172"/>
    <mergeCell ref="B197:F197"/>
    <mergeCell ref="B51:D51"/>
    <mergeCell ref="B52:C52"/>
    <mergeCell ref="B55:C55"/>
    <mergeCell ref="B152:C152"/>
    <mergeCell ref="B153:C153"/>
    <mergeCell ref="B154:C154"/>
    <mergeCell ref="B155:C155"/>
    <mergeCell ref="B156:C156"/>
    <mergeCell ref="B151:C151"/>
    <mergeCell ref="B132:C132"/>
    <mergeCell ref="B134:D134"/>
    <mergeCell ref="B121:C121"/>
    <mergeCell ref="B131:C131"/>
    <mergeCell ref="B148:C148"/>
    <mergeCell ref="B149:C149"/>
    <mergeCell ref="B150:C150"/>
    <mergeCell ref="B141:C141"/>
    <mergeCell ref="B135:C135"/>
    <mergeCell ref="B146:C146"/>
    <mergeCell ref="B147:C147"/>
    <mergeCell ref="B168:C168"/>
    <mergeCell ref="B169:C169"/>
    <mergeCell ref="B143:D143"/>
    <mergeCell ref="B162:C162"/>
    <mergeCell ref="B166:C166"/>
    <mergeCell ref="B163:C163"/>
    <mergeCell ref="B164:C164"/>
    <mergeCell ref="B165:C165"/>
    <mergeCell ref="B167:C167"/>
    <mergeCell ref="B159:C159"/>
    <mergeCell ref="B144:C144"/>
    <mergeCell ref="B157:C157"/>
    <mergeCell ref="B158:C158"/>
    <mergeCell ref="B160:C160"/>
    <mergeCell ref="B161:C161"/>
    <mergeCell ref="B145:C145"/>
    <mergeCell ref="B109:C109"/>
    <mergeCell ref="B130:C130"/>
    <mergeCell ref="B93:D93"/>
    <mergeCell ref="B123:D123"/>
    <mergeCell ref="B108:D108"/>
    <mergeCell ref="B106:C106"/>
    <mergeCell ref="B94:C94"/>
    <mergeCell ref="B129:C129"/>
    <mergeCell ref="B126:C126"/>
    <mergeCell ref="B124:C124"/>
    <mergeCell ref="B125:C125"/>
    <mergeCell ref="B127:C127"/>
    <mergeCell ref="B128:C128"/>
    <mergeCell ref="F51:H51"/>
    <mergeCell ref="F52:G52"/>
    <mergeCell ref="F56:G56"/>
    <mergeCell ref="B65:G65"/>
    <mergeCell ref="B91:F91"/>
    <mergeCell ref="B66:F66"/>
    <mergeCell ref="F58:H58"/>
    <mergeCell ref="F59:G59"/>
    <mergeCell ref="F63:G63"/>
  </mergeCells>
  <phoneticPr fontId="8" type="noConversion"/>
  <conditionalFormatting sqref="C1">
    <cfRule type="expression" dxfId="346" priority="34">
      <formula>OR($C$1="",$C$1=0)</formula>
    </cfRule>
  </conditionalFormatting>
  <conditionalFormatting sqref="D1">
    <cfRule type="cellIs" dxfId="345" priority="35" operator="equal">
      <formula>"Enter year in Data Validation tab"</formula>
    </cfRule>
  </conditionalFormatting>
  <conditionalFormatting sqref="D4:D40">
    <cfRule type="expression" dxfId="344" priority="156">
      <formula>AND($C4&lt;&gt;"",$D4="")</formula>
    </cfRule>
  </conditionalFormatting>
  <conditionalFormatting sqref="D95:D105">
    <cfRule type="expression" dxfId="343" priority="17">
      <formula>ISERROR($D95)</formula>
    </cfRule>
  </conditionalFormatting>
  <conditionalFormatting sqref="D110:D120">
    <cfRule type="expression" dxfId="342" priority="19">
      <formula>ISERROR($D110)</formula>
    </cfRule>
  </conditionalFormatting>
  <conditionalFormatting sqref="D136:D140">
    <cfRule type="expression" dxfId="341" priority="7">
      <formula>ISERROR(D136)</formula>
    </cfRule>
  </conditionalFormatting>
  <conditionalFormatting sqref="E4:E40">
    <cfRule type="expression" dxfId="340" priority="112">
      <formula>AND($C4&lt;&gt;"",$E4="")</formula>
    </cfRule>
  </conditionalFormatting>
  <conditionalFormatting sqref="F4:F40">
    <cfRule type="expression" dxfId="339" priority="26">
      <formula>AND($C4&lt;&gt;"",$F4="")</formula>
    </cfRule>
  </conditionalFormatting>
  <conditionalFormatting sqref="G4:G40">
    <cfRule type="expression" dxfId="338" priority="25">
      <formula>AND($C4&lt;&gt;"",$G4="")</formula>
    </cfRule>
  </conditionalFormatting>
  <conditionalFormatting sqref="G67:G90">
    <cfRule type="expression" dxfId="337" priority="15">
      <formula>ISERROR($G67)</formula>
    </cfRule>
  </conditionalFormatting>
  <conditionalFormatting sqref="G173:G196">
    <cfRule type="expression" dxfId="336" priority="13">
      <formula>ISERROR($G173)</formula>
    </cfRule>
  </conditionalFormatting>
  <conditionalFormatting sqref="H4:H40">
    <cfRule type="expression" dxfId="335" priority="24">
      <formula>AND($C4&lt;&gt;"",$H4="")</formula>
    </cfRule>
  </conditionalFormatting>
  <conditionalFormatting sqref="I4:I40">
    <cfRule type="expression" dxfId="334" priority="23">
      <formula>AND($C4&lt;&gt;"",$I4="")</formula>
    </cfRule>
  </conditionalFormatting>
  <conditionalFormatting sqref="J4:J40">
    <cfRule type="expression" dxfId="333" priority="158">
      <formula>AND($C4&lt;&gt;"",$J4="")</formula>
    </cfRule>
  </conditionalFormatting>
  <conditionalFormatting sqref="L4:L40">
    <cfRule type="expression" dxfId="332" priority="5">
      <formula>AND($C4&lt;&gt;"",$L4="")</formula>
    </cfRule>
  </conditionalFormatting>
  <conditionalFormatting sqref="N4:N40">
    <cfRule type="expression" dxfId="331" priority="6">
      <formula>AND($C4&lt;&gt;"",$N4="")</formula>
    </cfRule>
  </conditionalFormatting>
  <conditionalFormatting sqref="O4:O40">
    <cfRule type="expression" dxfId="330" priority="1">
      <formula>AND($C4&lt;&gt;"",$O4="")</formula>
    </cfRule>
    <cfRule type="cellIs" dxfId="329" priority="2" operator="equal">
      <formula>"Intact (13-15)"</formula>
    </cfRule>
    <cfRule type="cellIs" dxfId="328" priority="3" operator="equal">
      <formula>"Moderate (8-12)"</formula>
    </cfRule>
    <cfRule type="cellIs" dxfId="327" priority="4" operator="equal">
      <formula>"Severe (1-7)"</formula>
    </cfRule>
  </conditionalFormatting>
  <conditionalFormatting sqref="P4:P40">
    <cfRule type="expression" dxfId="326" priority="11">
      <formula>AND($C4&lt;&gt;"",$P4="")</formula>
    </cfRule>
  </conditionalFormatting>
  <conditionalFormatting sqref="Q4:Q40">
    <cfRule type="expression" dxfId="325" priority="9">
      <formula>AND($C4&lt;&gt;"",$Q4="")</formula>
    </cfRule>
  </conditionalFormatting>
  <conditionalFormatting sqref="R4:R40">
    <cfRule type="expression" dxfId="324" priority="187">
      <formula>AND($C4&lt;&gt;"",$R4="")</formula>
    </cfRule>
  </conditionalFormatting>
  <conditionalFormatting sqref="S4:S40">
    <cfRule type="expression" dxfId="323" priority="12">
      <formula>AND($C4&lt;&gt;"",$S4="")</formula>
    </cfRule>
  </conditionalFormatting>
  <conditionalFormatting sqref="T4:T40">
    <cfRule type="expression" dxfId="322" priority="188">
      <formula>AND($C4&lt;&gt;"",$T4="")</formula>
    </cfRule>
  </conditionalFormatting>
  <conditionalFormatting sqref="U4:U40">
    <cfRule type="expression" dxfId="321" priority="178">
      <formula>AND($C4&lt;&gt;"",$U4="")</formula>
    </cfRule>
  </conditionalFormatting>
  <conditionalFormatting sqref="V4:V40">
    <cfRule type="expression" dxfId="320" priority="8">
      <formula>AND($C4&lt;&gt;"",$V4="")</formula>
    </cfRule>
  </conditionalFormatting>
  <dataValidations count="9">
    <dataValidation type="list" allowBlank="1" showInputMessage="1" showErrorMessage="1" sqref="H4:H40" xr:uid="{1BB307B8-B5A5-4EF4-AEBC-0E0180A16682}">
      <formula1>DV_FallType</formula1>
    </dataValidation>
    <dataValidation type="list" allowBlank="1" showInputMessage="1" showErrorMessage="1" sqref="I4:I40" xr:uid="{34397FA3-BE56-4180-8531-46DC31FB0571}">
      <formula1>DV_Location</formula1>
    </dataValidation>
    <dataValidation type="list" allowBlank="1" showInputMessage="1" showErrorMessage="1" sqref="J4:J40" xr:uid="{03B3299E-6765-4930-84C9-34837D6589EC}">
      <formula1>DV_Station</formula1>
    </dataValidation>
    <dataValidation type="list" allowBlank="1" showInputMessage="1" showErrorMessage="1" sqref="L4:L40" xr:uid="{18B06FB5-1839-4A1A-A9C3-A38A79563432}">
      <formula1>DV_Shifts</formula1>
    </dataValidation>
    <dataValidation type="list" allowBlank="1" showInputMessage="1" showErrorMessage="1" sqref="N4:N40" xr:uid="{C0439C0E-4686-4058-B0EE-F5154D88E7A9}">
      <formula1>DV_BIMSScore</formula1>
    </dataValidation>
    <dataValidation type="list" allowBlank="1" showInputMessage="1" showErrorMessage="1" sqref="F4:F40" xr:uid="{04114777-4061-49D8-974D-DEB327449D16}">
      <formula1>DV_Witnessed</formula1>
    </dataValidation>
    <dataValidation type="list" allowBlank="1" showInputMessage="1" showErrorMessage="1" sqref="P4:P40" xr:uid="{C4E86846-F89C-4396-94D2-9E927AE42F1D}">
      <formula1>DV_PriortoFall</formula1>
    </dataValidation>
    <dataValidation type="list" allowBlank="1" showInputMessage="1" showErrorMessage="1" sqref="G4:G40" xr:uid="{2F60A719-4842-4CF7-86CE-ED1C6DDF7A32}">
      <formula1>DV_FallCircumstances</formula1>
    </dataValidation>
    <dataValidation type="list" allowBlank="1" showInputMessage="1" showErrorMessage="1" sqref="R4:R40" xr:uid="{4F5C17C9-5869-49D7-A75A-228850DD6059}">
      <formula1>DV_RCAComp</formula1>
    </dataValidation>
  </dataValidations>
  <printOptions horizontalCentered="1"/>
  <pageMargins left="0.15" right="0.15" top="0.5" bottom="0.25" header="0.3" footer="0.3"/>
  <pageSetup scale="54" fitToHeight="0" orientation="landscape" r:id="rId1"/>
  <rowBreaks count="3" manualBreakCount="3">
    <brk id="49" max="16383" man="1"/>
    <brk id="91" max="16383" man="1"/>
    <brk id="141" max="16383" man="1"/>
  </rowBreaks>
  <drawing r:id="rId2"/>
  <tableParts count="1">
    <tablePart r:id="rId3"/>
  </tableParts>
  <extLst>
    <ext xmlns:x14="http://schemas.microsoft.com/office/spreadsheetml/2009/9/main" uri="{CCE6A557-97BC-4b89-ADB6-D9C93CAAB3DF}">
      <x14:dataValidations xmlns:xm="http://schemas.microsoft.com/office/excel/2006/main" count="1">
        <x14:dataValidation type="list" allowBlank="1" showInputMessage="1" showErrorMessage="1" xr:uid="{5D5B6A7E-59C9-4AB8-89B2-F8123A4B8100}">
          <x14:formula1>
            <xm:f>'Data Validation'!$K$3:$K$26</xm:f>
          </x14:formula1>
          <xm:sqref>S4:S40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A7C690-918F-46A9-8512-406C00115AE2}">
  <sheetPr>
    <pageSetUpPr autoPageBreaks="0" fitToPage="1"/>
  </sheetPr>
  <dimension ref="A1:V197"/>
  <sheetViews>
    <sheetView showGridLines="0" zoomScaleNormal="100" zoomScaleSheetLayoutView="98" workbookViewId="0">
      <selection activeCell="B4" sqref="B4"/>
    </sheetView>
  </sheetViews>
  <sheetFormatPr defaultRowHeight="15" x14ac:dyDescent="0.25"/>
  <cols>
    <col min="1" max="1" width="1.28515625" customWidth="1"/>
    <col min="2" max="2" width="5.85546875" customWidth="1"/>
    <col min="3" max="3" width="17.140625" customWidth="1"/>
    <col min="4" max="4" width="9.28515625" customWidth="1"/>
    <col min="5" max="5" width="11" customWidth="1"/>
    <col min="6" max="6" width="8" customWidth="1"/>
    <col min="7" max="7" width="12.140625" customWidth="1"/>
    <col min="8" max="8" width="10.5703125" customWidth="1"/>
    <col min="9" max="9" width="7.7109375" customWidth="1"/>
    <col min="10" max="10" width="6" customWidth="1"/>
    <col min="11" max="11" width="4.7109375" customWidth="1"/>
    <col min="12" max="12" width="9.28515625" customWidth="1"/>
    <col min="13" max="14" width="4.7109375" customWidth="1"/>
    <col min="15" max="15" width="12.140625" customWidth="1"/>
    <col min="16" max="17" width="23.7109375" customWidth="1"/>
    <col min="18" max="18" width="8.7109375" customWidth="1"/>
    <col min="19" max="19" width="23.7109375" customWidth="1"/>
    <col min="20" max="22" width="11.7109375" customWidth="1"/>
    <col min="23" max="24" width="10.7109375" customWidth="1"/>
  </cols>
  <sheetData>
    <row r="1" spans="1:22" ht="18.75" customHeight="1" x14ac:dyDescent="0.25">
      <c r="B1" s="13" t="s">
        <v>28</v>
      </c>
      <c r="C1" s="14">
        <f>'Data Validation'!$C$4</f>
        <v>0</v>
      </c>
      <c r="D1" s="15" t="str">
        <f>IF(OR($C$1="",$C$1=0),"Enter Year in Data Validation tab",'Data Validation'!$C$2&amp;" February ")</f>
        <v>Enter Year in Data Validation tab</v>
      </c>
      <c r="E1" s="16"/>
      <c r="F1" s="16"/>
      <c r="G1" s="16"/>
      <c r="H1" s="16"/>
      <c r="I1" s="16"/>
      <c r="J1" s="16"/>
      <c r="K1" s="16"/>
      <c r="L1" s="16"/>
      <c r="M1" s="16"/>
      <c r="N1" s="4"/>
      <c r="O1" s="16"/>
      <c r="P1" s="16"/>
      <c r="Q1" s="16"/>
      <c r="R1" s="17" t="s">
        <v>59</v>
      </c>
      <c r="S1" s="14" t="str">
        <f>IF(COUNTIFS(Feb[Resident Name],"&lt;&gt;")=0,"No Data",COUNTIFS(Feb[Resident Name],"&lt;&gt;"))</f>
        <v>No Data</v>
      </c>
      <c r="T1" s="17" t="s">
        <v>62</v>
      </c>
      <c r="U1" s="14" t="str">
        <f>'Fall Rate and Census'!$E$33</f>
        <v>No Data</v>
      </c>
    </row>
    <row r="2" spans="1:22" ht="8.1" customHeight="1" x14ac:dyDescent="0.25">
      <c r="B2" s="18"/>
      <c r="C2" s="16"/>
      <c r="D2" s="16"/>
      <c r="E2" s="16"/>
      <c r="F2" s="16"/>
      <c r="G2" s="16"/>
      <c r="H2" s="16"/>
      <c r="I2" s="16"/>
      <c r="J2" s="16"/>
      <c r="K2" s="16"/>
      <c r="L2" s="16"/>
      <c r="M2" s="16"/>
      <c r="N2" s="16"/>
      <c r="O2" s="16"/>
      <c r="P2" s="16"/>
      <c r="Q2" s="16"/>
      <c r="R2" s="16"/>
    </row>
    <row r="3" spans="1:22" ht="22.35" customHeight="1" x14ac:dyDescent="0.25">
      <c r="B3" s="19" t="s">
        <v>104</v>
      </c>
      <c r="C3" s="19" t="s">
        <v>105</v>
      </c>
      <c r="D3" s="20" t="s">
        <v>0</v>
      </c>
      <c r="E3" s="20" t="s">
        <v>89</v>
      </c>
      <c r="F3" s="20" t="s">
        <v>84</v>
      </c>
      <c r="G3" s="20" t="s">
        <v>100</v>
      </c>
      <c r="H3" s="20" t="s">
        <v>90</v>
      </c>
      <c r="I3" s="20" t="s">
        <v>1</v>
      </c>
      <c r="J3" s="20" t="s">
        <v>2</v>
      </c>
      <c r="K3" s="20" t="s">
        <v>3</v>
      </c>
      <c r="L3" s="20" t="s">
        <v>33</v>
      </c>
      <c r="M3" s="20" t="s">
        <v>34</v>
      </c>
      <c r="N3" s="20" t="s">
        <v>26</v>
      </c>
      <c r="O3" s="20" t="s">
        <v>30</v>
      </c>
      <c r="P3" s="19" t="s">
        <v>158</v>
      </c>
      <c r="Q3" s="19" t="s">
        <v>80</v>
      </c>
      <c r="R3" s="20" t="s">
        <v>81</v>
      </c>
      <c r="S3" s="20" t="s">
        <v>92</v>
      </c>
      <c r="T3" s="12" t="s">
        <v>95</v>
      </c>
      <c r="U3" s="12" t="s">
        <v>94</v>
      </c>
      <c r="V3" s="12" t="s">
        <v>96</v>
      </c>
    </row>
    <row r="4" spans="1:22" ht="20.85" customHeight="1" x14ac:dyDescent="0.25">
      <c r="A4" s="21"/>
      <c r="B4" s="266"/>
      <c r="C4" s="5"/>
      <c r="D4" s="263"/>
      <c r="E4" s="263"/>
      <c r="F4" s="266"/>
      <c r="G4" s="267"/>
      <c r="H4" s="2"/>
      <c r="I4" s="2"/>
      <c r="J4" s="2"/>
      <c r="K4" s="24" t="str">
        <f>IF(Feb[[#This Row],[Date of Incident]]="","",TEXT(Feb[[#This Row],[Date of Incident]],"ddd"))</f>
        <v/>
      </c>
      <c r="L4" s="1"/>
      <c r="M4" s="24" t="str">
        <f>IFERROR(VLOOKUP(Feb[[#This Row],[Hour]],Shifts[],2,FALSE),"")</f>
        <v/>
      </c>
      <c r="N4" s="2"/>
      <c r="O4" s="24" t="str">
        <f>IFERROR(VLOOKUP(Feb[[#This Row],[BIMS Score]],BIMS[],2,FALSE),"")</f>
        <v/>
      </c>
      <c r="P4" s="3"/>
      <c r="Q4" s="3"/>
      <c r="R4" s="2"/>
      <c r="S4" s="168"/>
      <c r="T4" s="3"/>
      <c r="U4" s="3"/>
      <c r="V4" s="3"/>
    </row>
    <row r="5" spans="1:22" ht="20.85" customHeight="1" x14ac:dyDescent="0.25">
      <c r="A5" s="21"/>
      <c r="B5" s="266"/>
      <c r="C5" s="5"/>
      <c r="D5" s="263"/>
      <c r="E5" s="263"/>
      <c r="F5" s="266"/>
      <c r="G5" s="267"/>
      <c r="H5" s="2"/>
      <c r="I5" s="2"/>
      <c r="J5" s="2"/>
      <c r="K5" s="24" t="str">
        <f>IF(Feb[[#This Row],[Date of Incident]]="","",TEXT(Feb[[#This Row],[Date of Incident]],"ddd"))</f>
        <v/>
      </c>
      <c r="L5" s="1"/>
      <c r="M5" s="24" t="str">
        <f>IFERROR(VLOOKUP(Feb[[#This Row],[Hour]],Shifts[],2,FALSE),"")</f>
        <v/>
      </c>
      <c r="N5" s="2"/>
      <c r="O5" s="24" t="str">
        <f>IFERROR(VLOOKUP(Feb[[#This Row],[BIMS Score]],BIMS[],2,FALSE),"")</f>
        <v/>
      </c>
      <c r="P5" s="3"/>
      <c r="Q5" s="3"/>
      <c r="R5" s="2"/>
      <c r="S5" s="168"/>
      <c r="T5" s="3"/>
      <c r="U5" s="3"/>
      <c r="V5" s="3"/>
    </row>
    <row r="6" spans="1:22" ht="20.85" customHeight="1" x14ac:dyDescent="0.25">
      <c r="A6" s="21"/>
      <c r="B6" s="266"/>
      <c r="C6" s="5"/>
      <c r="D6" s="263"/>
      <c r="E6" s="263"/>
      <c r="F6" s="266"/>
      <c r="G6" s="267"/>
      <c r="H6" s="2"/>
      <c r="I6" s="2"/>
      <c r="J6" s="2"/>
      <c r="K6" s="24" t="str">
        <f>IF(Feb[[#This Row],[Date of Incident]]="","",TEXT(Feb[[#This Row],[Date of Incident]],"ddd"))</f>
        <v/>
      </c>
      <c r="L6" s="1"/>
      <c r="M6" s="24" t="str">
        <f>IFERROR(VLOOKUP(Feb[[#This Row],[Hour]],Shifts[],2,FALSE),"")</f>
        <v/>
      </c>
      <c r="N6" s="2"/>
      <c r="O6" s="24" t="str">
        <f>IFERROR(VLOOKUP(Feb[[#This Row],[BIMS Score]],BIMS[],2,FALSE),"")</f>
        <v/>
      </c>
      <c r="P6" s="3"/>
      <c r="Q6" s="3"/>
      <c r="R6" s="2"/>
      <c r="S6" s="168"/>
      <c r="T6" s="3"/>
      <c r="U6" s="3"/>
      <c r="V6" s="3"/>
    </row>
    <row r="7" spans="1:22" ht="20.85" customHeight="1" x14ac:dyDescent="0.25">
      <c r="A7" s="21"/>
      <c r="B7" s="266"/>
      <c r="C7" s="5"/>
      <c r="D7" s="263"/>
      <c r="E7" s="263"/>
      <c r="F7" s="266"/>
      <c r="G7" s="267"/>
      <c r="H7" s="2"/>
      <c r="I7" s="2"/>
      <c r="J7" s="2"/>
      <c r="K7" s="24" t="str">
        <f>IF(Feb[[#This Row],[Date of Incident]]="","",TEXT(Feb[[#This Row],[Date of Incident]],"ddd"))</f>
        <v/>
      </c>
      <c r="L7" s="1"/>
      <c r="M7" s="24" t="str">
        <f>IFERROR(VLOOKUP(Feb[[#This Row],[Hour]],Shifts[],2,FALSE),"")</f>
        <v/>
      </c>
      <c r="N7" s="2"/>
      <c r="O7" s="24" t="str">
        <f>IFERROR(VLOOKUP(Feb[[#This Row],[BIMS Score]],BIMS[],2,FALSE),"")</f>
        <v/>
      </c>
      <c r="P7" s="3"/>
      <c r="Q7" s="3"/>
      <c r="R7" s="2"/>
      <c r="S7" s="168"/>
      <c r="T7" s="3"/>
      <c r="U7" s="3"/>
      <c r="V7" s="3"/>
    </row>
    <row r="8" spans="1:22" ht="20.85" customHeight="1" x14ac:dyDescent="0.25">
      <c r="A8" s="21"/>
      <c r="B8" s="266"/>
      <c r="C8" s="5"/>
      <c r="D8" s="263"/>
      <c r="E8" s="263"/>
      <c r="F8" s="266"/>
      <c r="G8" s="267"/>
      <c r="H8" s="2"/>
      <c r="I8" s="2"/>
      <c r="J8" s="2"/>
      <c r="K8" s="24" t="str">
        <f>IF(Feb[[#This Row],[Date of Incident]]="","",TEXT(Feb[[#This Row],[Date of Incident]],"ddd"))</f>
        <v/>
      </c>
      <c r="L8" s="1"/>
      <c r="M8" s="24" t="str">
        <f>IFERROR(VLOOKUP(Feb[[#This Row],[Hour]],Shifts[],2,FALSE),"")</f>
        <v/>
      </c>
      <c r="N8" s="2"/>
      <c r="O8" s="24" t="str">
        <f>IFERROR(VLOOKUP(Feb[[#This Row],[BIMS Score]],BIMS[],2,FALSE),"")</f>
        <v/>
      </c>
      <c r="P8" s="3"/>
      <c r="Q8" s="3"/>
      <c r="R8" s="2"/>
      <c r="S8" s="168"/>
      <c r="T8" s="3"/>
      <c r="U8" s="3"/>
      <c r="V8" s="3"/>
    </row>
    <row r="9" spans="1:22" ht="20.85" customHeight="1" x14ac:dyDescent="0.25">
      <c r="A9" s="21"/>
      <c r="B9" s="266"/>
      <c r="C9" s="5"/>
      <c r="D9" s="263"/>
      <c r="E9" s="263"/>
      <c r="F9" s="266"/>
      <c r="G9" s="267"/>
      <c r="H9" s="2"/>
      <c r="I9" s="2"/>
      <c r="J9" s="2"/>
      <c r="K9" s="24" t="str">
        <f>IF(Feb[[#This Row],[Date of Incident]]="","",TEXT(Feb[[#This Row],[Date of Incident]],"ddd"))</f>
        <v/>
      </c>
      <c r="L9" s="1"/>
      <c r="M9" s="24" t="str">
        <f>IFERROR(VLOOKUP(Feb[[#This Row],[Hour]],Shifts[],2,FALSE),"")</f>
        <v/>
      </c>
      <c r="N9" s="2"/>
      <c r="O9" s="24" t="str">
        <f>IFERROR(VLOOKUP(Feb[[#This Row],[BIMS Score]],BIMS[],2,FALSE),"")</f>
        <v/>
      </c>
      <c r="P9" s="3"/>
      <c r="Q9" s="3"/>
      <c r="R9" s="2"/>
      <c r="S9" s="168"/>
      <c r="T9" s="3"/>
      <c r="U9" s="3"/>
      <c r="V9" s="3"/>
    </row>
    <row r="10" spans="1:22" ht="20.85" customHeight="1" x14ac:dyDescent="0.25">
      <c r="A10" s="21"/>
      <c r="B10" s="266"/>
      <c r="C10" s="5"/>
      <c r="D10" s="263"/>
      <c r="E10" s="263"/>
      <c r="F10" s="266"/>
      <c r="G10" s="267"/>
      <c r="H10" s="2"/>
      <c r="I10" s="2"/>
      <c r="J10" s="2"/>
      <c r="K10" s="24" t="str">
        <f>IF(Feb[[#This Row],[Date of Incident]]="","",TEXT(Feb[[#This Row],[Date of Incident]],"ddd"))</f>
        <v/>
      </c>
      <c r="L10" s="1"/>
      <c r="M10" s="24" t="str">
        <f>IFERROR(VLOOKUP(Feb[[#This Row],[Hour]],Shifts[],2,FALSE),"")</f>
        <v/>
      </c>
      <c r="N10" s="2"/>
      <c r="O10" s="24" t="str">
        <f>IFERROR(VLOOKUP(Feb[[#This Row],[BIMS Score]],BIMS[],2,FALSE),"")</f>
        <v/>
      </c>
      <c r="P10" s="3"/>
      <c r="Q10" s="3"/>
      <c r="R10" s="2"/>
      <c r="S10" s="168"/>
      <c r="T10" s="3"/>
      <c r="U10" s="3"/>
      <c r="V10" s="3"/>
    </row>
    <row r="11" spans="1:22" ht="20.85" customHeight="1" x14ac:dyDescent="0.25">
      <c r="A11" s="21"/>
      <c r="B11" s="266"/>
      <c r="C11" s="5"/>
      <c r="D11" s="263"/>
      <c r="E11" s="263"/>
      <c r="F11" s="266"/>
      <c r="G11" s="267"/>
      <c r="H11" s="2"/>
      <c r="I11" s="2"/>
      <c r="J11" s="2"/>
      <c r="K11" s="24" t="str">
        <f>IF(Feb[[#This Row],[Date of Incident]]="","",TEXT(Feb[[#This Row],[Date of Incident]],"ddd"))</f>
        <v/>
      </c>
      <c r="L11" s="1"/>
      <c r="M11" s="24" t="str">
        <f>IFERROR(VLOOKUP(Feb[[#This Row],[Hour]],Shifts[],2,FALSE),"")</f>
        <v/>
      </c>
      <c r="N11" s="2"/>
      <c r="O11" s="24" t="str">
        <f>IFERROR(VLOOKUP(Feb[[#This Row],[BIMS Score]],BIMS[],2,FALSE),"")</f>
        <v/>
      </c>
      <c r="P11" s="3"/>
      <c r="Q11" s="3"/>
      <c r="R11" s="2"/>
      <c r="S11" s="168"/>
      <c r="T11" s="3"/>
      <c r="U11" s="3"/>
      <c r="V11" s="3"/>
    </row>
    <row r="12" spans="1:22" ht="20.85" customHeight="1" x14ac:dyDescent="0.25">
      <c r="A12" s="21"/>
      <c r="B12" s="267"/>
      <c r="C12" s="5"/>
      <c r="D12" s="264"/>
      <c r="E12" s="263"/>
      <c r="F12" s="267"/>
      <c r="G12" s="267"/>
      <c r="H12" s="2"/>
      <c r="I12" s="2"/>
      <c r="J12" s="2"/>
      <c r="K12" s="24" t="str">
        <f>IF(Feb[[#This Row],[Date of Incident]]="","",TEXT(Feb[[#This Row],[Date of Incident]],"ddd"))</f>
        <v/>
      </c>
      <c r="L12" s="1"/>
      <c r="M12" s="24" t="str">
        <f>IFERROR(VLOOKUP(Feb[[#This Row],[Hour]],Shifts[],2,FALSE),"")</f>
        <v/>
      </c>
      <c r="N12" s="2"/>
      <c r="O12" s="24" t="str">
        <f>IFERROR(VLOOKUP(Feb[[#This Row],[BIMS Score]],BIMS[],2,FALSE),"")</f>
        <v/>
      </c>
      <c r="P12" s="3"/>
      <c r="Q12" s="3"/>
      <c r="R12" s="2"/>
      <c r="S12" s="168"/>
      <c r="T12" s="3"/>
      <c r="U12" s="3"/>
      <c r="V12" s="3"/>
    </row>
    <row r="13" spans="1:22" ht="20.85" customHeight="1" x14ac:dyDescent="0.25">
      <c r="A13" s="21"/>
      <c r="B13" s="267"/>
      <c r="C13" s="5"/>
      <c r="D13" s="264"/>
      <c r="E13" s="263"/>
      <c r="F13" s="267"/>
      <c r="G13" s="267"/>
      <c r="H13" s="2"/>
      <c r="I13" s="2"/>
      <c r="J13" s="2"/>
      <c r="K13" s="24" t="str">
        <f>IF(Feb[[#This Row],[Date of Incident]]="","",TEXT(Feb[[#This Row],[Date of Incident]],"ddd"))</f>
        <v/>
      </c>
      <c r="L13" s="1"/>
      <c r="M13" s="24" t="str">
        <f>IFERROR(VLOOKUP(Feb[[#This Row],[Hour]],Shifts[],2,FALSE),"")</f>
        <v/>
      </c>
      <c r="N13" s="2"/>
      <c r="O13" s="24" t="str">
        <f>IFERROR(VLOOKUP(Feb[[#This Row],[BIMS Score]],BIMS[],2,FALSE),"")</f>
        <v/>
      </c>
      <c r="P13" s="3"/>
      <c r="Q13" s="3"/>
      <c r="R13" s="2"/>
      <c r="S13" s="168"/>
      <c r="T13" s="3"/>
      <c r="U13" s="3"/>
      <c r="V13" s="3"/>
    </row>
    <row r="14" spans="1:22" ht="20.85" customHeight="1" x14ac:dyDescent="0.25">
      <c r="A14" s="21"/>
      <c r="B14" s="267"/>
      <c r="C14" s="5"/>
      <c r="D14" s="264"/>
      <c r="E14" s="263"/>
      <c r="F14" s="267"/>
      <c r="G14" s="267"/>
      <c r="H14" s="2"/>
      <c r="I14" s="2"/>
      <c r="J14" s="2"/>
      <c r="K14" s="24" t="str">
        <f>IF(Feb[[#This Row],[Date of Incident]]="","",TEXT(Feb[[#This Row],[Date of Incident]],"ddd"))</f>
        <v/>
      </c>
      <c r="L14" s="1"/>
      <c r="M14" s="24" t="str">
        <f>IFERROR(VLOOKUP(Feb[[#This Row],[Hour]],Shifts[],2,FALSE),"")</f>
        <v/>
      </c>
      <c r="N14" s="2"/>
      <c r="O14" s="24" t="str">
        <f>IFERROR(VLOOKUP(Feb[[#This Row],[BIMS Score]],BIMS[],2,FALSE),"")</f>
        <v/>
      </c>
      <c r="P14" s="3"/>
      <c r="Q14" s="3"/>
      <c r="R14" s="2"/>
      <c r="S14" s="168"/>
      <c r="T14" s="3"/>
      <c r="U14" s="3"/>
      <c r="V14" s="3"/>
    </row>
    <row r="15" spans="1:22" ht="20.85" customHeight="1" x14ac:dyDescent="0.25">
      <c r="A15" s="21"/>
      <c r="B15" s="267"/>
      <c r="C15" s="5"/>
      <c r="D15" s="264"/>
      <c r="E15" s="263"/>
      <c r="F15" s="267"/>
      <c r="G15" s="267"/>
      <c r="H15" s="2"/>
      <c r="I15" s="2"/>
      <c r="J15" s="2"/>
      <c r="K15" s="24" t="str">
        <f>IF(Feb[[#This Row],[Date of Incident]]="","",TEXT(Feb[[#This Row],[Date of Incident]],"ddd"))</f>
        <v/>
      </c>
      <c r="L15" s="1"/>
      <c r="M15" s="24" t="str">
        <f>IFERROR(VLOOKUP(Feb[[#This Row],[Hour]],Shifts[],2,FALSE),"")</f>
        <v/>
      </c>
      <c r="N15" s="2"/>
      <c r="O15" s="24" t="str">
        <f>IFERROR(VLOOKUP(Feb[[#This Row],[BIMS Score]],BIMS[],2,FALSE),"")</f>
        <v/>
      </c>
      <c r="P15" s="3"/>
      <c r="Q15" s="3"/>
      <c r="R15" s="2"/>
      <c r="S15" s="168"/>
      <c r="T15" s="3"/>
      <c r="U15" s="3"/>
      <c r="V15" s="3"/>
    </row>
    <row r="16" spans="1:22" ht="20.85" customHeight="1" x14ac:dyDescent="0.25">
      <c r="A16" s="21"/>
      <c r="B16" s="267"/>
      <c r="C16" s="3"/>
      <c r="D16" s="264"/>
      <c r="E16" s="264"/>
      <c r="F16" s="267"/>
      <c r="G16" s="267"/>
      <c r="H16" s="2"/>
      <c r="I16" s="2"/>
      <c r="J16" s="2"/>
      <c r="K16" s="24" t="str">
        <f>IF(Feb[[#This Row],[Date of Incident]]="","",TEXT(Feb[[#This Row],[Date of Incident]],"ddd"))</f>
        <v/>
      </c>
      <c r="L16" s="1"/>
      <c r="M16" s="24" t="str">
        <f>IFERROR(VLOOKUP(Feb[[#This Row],[Hour]],Shifts[],2,FALSE),"")</f>
        <v/>
      </c>
      <c r="N16" s="2"/>
      <c r="O16" s="24" t="str">
        <f>IFERROR(VLOOKUP(Feb[[#This Row],[BIMS Score]],BIMS[],2,FALSE),"")</f>
        <v/>
      </c>
      <c r="P16" s="3"/>
      <c r="Q16" s="3"/>
      <c r="R16" s="2"/>
      <c r="S16" s="168"/>
      <c r="T16" s="3"/>
      <c r="U16" s="3"/>
      <c r="V16" s="3"/>
    </row>
    <row r="17" spans="1:22" ht="20.85" customHeight="1" x14ac:dyDescent="0.25">
      <c r="A17" s="21"/>
      <c r="B17" s="267"/>
      <c r="C17" s="3"/>
      <c r="D17" s="264"/>
      <c r="E17" s="264"/>
      <c r="F17" s="267"/>
      <c r="G17" s="267"/>
      <c r="H17" s="2"/>
      <c r="I17" s="2"/>
      <c r="J17" s="2"/>
      <c r="K17" s="24" t="str">
        <f>IF(Feb[[#This Row],[Date of Incident]]="","",TEXT(Feb[[#This Row],[Date of Incident]],"ddd"))</f>
        <v/>
      </c>
      <c r="L17" s="1"/>
      <c r="M17" s="24" t="str">
        <f>IFERROR(VLOOKUP(Feb[[#This Row],[Hour]],Shifts[],2,FALSE),"")</f>
        <v/>
      </c>
      <c r="N17" s="2"/>
      <c r="O17" s="24" t="str">
        <f>IFERROR(VLOOKUP(Feb[[#This Row],[BIMS Score]],BIMS[],2,FALSE),"")</f>
        <v/>
      </c>
      <c r="P17" s="3"/>
      <c r="Q17" s="3"/>
      <c r="R17" s="2"/>
      <c r="S17" s="168"/>
      <c r="T17" s="3"/>
      <c r="U17" s="3"/>
      <c r="V17" s="3"/>
    </row>
    <row r="18" spans="1:22" ht="20.85" customHeight="1" x14ac:dyDescent="0.25">
      <c r="A18" s="21"/>
      <c r="B18" s="267"/>
      <c r="C18" s="3"/>
      <c r="D18" s="264"/>
      <c r="E18" s="264"/>
      <c r="F18" s="267"/>
      <c r="G18" s="267"/>
      <c r="H18" s="2"/>
      <c r="I18" s="2"/>
      <c r="J18" s="2"/>
      <c r="K18" s="24" t="str">
        <f>IF(Feb[[#This Row],[Date of Incident]]="","",TEXT(Feb[[#This Row],[Date of Incident]],"ddd"))</f>
        <v/>
      </c>
      <c r="L18" s="1"/>
      <c r="M18" s="24" t="str">
        <f>IFERROR(VLOOKUP(Feb[[#This Row],[Hour]],Shifts[],2,FALSE),"")</f>
        <v/>
      </c>
      <c r="N18" s="2"/>
      <c r="O18" s="24" t="str">
        <f>IFERROR(VLOOKUP(Feb[[#This Row],[BIMS Score]],BIMS[],2,FALSE),"")</f>
        <v/>
      </c>
      <c r="P18" s="3"/>
      <c r="Q18" s="3"/>
      <c r="R18" s="2"/>
      <c r="S18" s="168"/>
      <c r="T18" s="3"/>
      <c r="U18" s="3"/>
      <c r="V18" s="3"/>
    </row>
    <row r="19" spans="1:22" ht="20.85" customHeight="1" x14ac:dyDescent="0.25">
      <c r="A19" s="21"/>
      <c r="B19" s="267"/>
      <c r="C19" s="3"/>
      <c r="D19" s="264"/>
      <c r="E19" s="264"/>
      <c r="F19" s="267"/>
      <c r="G19" s="267"/>
      <c r="H19" s="2"/>
      <c r="I19" s="2"/>
      <c r="J19" s="2"/>
      <c r="K19" s="24" t="str">
        <f>IF(Feb[[#This Row],[Date of Incident]]="","",TEXT(Feb[[#This Row],[Date of Incident]],"ddd"))</f>
        <v/>
      </c>
      <c r="L19" s="1"/>
      <c r="M19" s="24" t="str">
        <f>IFERROR(VLOOKUP(Feb[[#This Row],[Hour]],Shifts[],2,FALSE),"")</f>
        <v/>
      </c>
      <c r="N19" s="2"/>
      <c r="O19" s="24" t="str">
        <f>IFERROR(VLOOKUP(Feb[[#This Row],[BIMS Score]],BIMS[],2,FALSE),"")</f>
        <v/>
      </c>
      <c r="P19" s="3"/>
      <c r="Q19" s="3"/>
      <c r="R19" s="2"/>
      <c r="S19" s="168"/>
      <c r="T19" s="3"/>
      <c r="U19" s="3"/>
      <c r="V19" s="3"/>
    </row>
    <row r="20" spans="1:22" ht="20.85" customHeight="1" x14ac:dyDescent="0.25">
      <c r="A20" s="21"/>
      <c r="B20" s="267"/>
      <c r="C20" s="3"/>
      <c r="D20" s="264"/>
      <c r="E20" s="264"/>
      <c r="F20" s="267"/>
      <c r="G20" s="267"/>
      <c r="H20" s="2"/>
      <c r="I20" s="2"/>
      <c r="J20" s="2"/>
      <c r="K20" s="24" t="str">
        <f>IF(Feb[[#This Row],[Date of Incident]]="","",TEXT(Feb[[#This Row],[Date of Incident]],"ddd"))</f>
        <v/>
      </c>
      <c r="L20" s="1"/>
      <c r="M20" s="24" t="str">
        <f>IFERROR(VLOOKUP(Feb[[#This Row],[Hour]],Shifts[],2,FALSE),"")</f>
        <v/>
      </c>
      <c r="N20" s="2"/>
      <c r="O20" s="24" t="str">
        <f>IFERROR(VLOOKUP(Feb[[#This Row],[BIMS Score]],BIMS[],2,FALSE),"")</f>
        <v/>
      </c>
      <c r="P20" s="3"/>
      <c r="Q20" s="3"/>
      <c r="R20" s="2"/>
      <c r="S20" s="168"/>
      <c r="T20" s="3"/>
      <c r="U20" s="3"/>
      <c r="V20" s="3"/>
    </row>
    <row r="21" spans="1:22" ht="20.85" customHeight="1" x14ac:dyDescent="0.25">
      <c r="A21" s="21"/>
      <c r="B21" s="267"/>
      <c r="C21" s="3"/>
      <c r="D21" s="264"/>
      <c r="E21" s="264"/>
      <c r="F21" s="267"/>
      <c r="G21" s="267"/>
      <c r="H21" s="2"/>
      <c r="I21" s="2"/>
      <c r="J21" s="2"/>
      <c r="K21" s="24" t="str">
        <f>IF(Feb[[#This Row],[Date of Incident]]="","",TEXT(Feb[[#This Row],[Date of Incident]],"ddd"))</f>
        <v/>
      </c>
      <c r="L21" s="1"/>
      <c r="M21" s="24" t="str">
        <f>IFERROR(VLOOKUP(Feb[[#This Row],[Hour]],Shifts[],2,FALSE),"")</f>
        <v/>
      </c>
      <c r="N21" s="2"/>
      <c r="O21" s="24" t="str">
        <f>IFERROR(VLOOKUP(Feb[[#This Row],[BIMS Score]],BIMS[],2,FALSE),"")</f>
        <v/>
      </c>
      <c r="P21" s="3"/>
      <c r="Q21" s="3"/>
      <c r="R21" s="2"/>
      <c r="S21" s="168"/>
      <c r="T21" s="3"/>
      <c r="U21" s="3"/>
      <c r="V21" s="3"/>
    </row>
    <row r="22" spans="1:22" ht="20.85" customHeight="1" x14ac:dyDescent="0.25">
      <c r="A22" s="21"/>
      <c r="B22" s="267"/>
      <c r="C22" s="3"/>
      <c r="D22" s="264"/>
      <c r="E22" s="264"/>
      <c r="F22" s="267"/>
      <c r="G22" s="267"/>
      <c r="H22" s="2"/>
      <c r="I22" s="2"/>
      <c r="J22" s="2"/>
      <c r="K22" s="24" t="str">
        <f>IF(Feb[[#This Row],[Date of Incident]]="","",TEXT(Feb[[#This Row],[Date of Incident]],"ddd"))</f>
        <v/>
      </c>
      <c r="L22" s="1"/>
      <c r="M22" s="24" t="str">
        <f>IFERROR(VLOOKUP(Feb[[#This Row],[Hour]],Shifts[],2,FALSE),"")</f>
        <v/>
      </c>
      <c r="N22" s="1"/>
      <c r="O22" s="24" t="str">
        <f>IFERROR(VLOOKUP(Feb[[#This Row],[BIMS Score]],BIMS[],2,FALSE),"")</f>
        <v/>
      </c>
      <c r="P22" s="3"/>
      <c r="Q22" s="3"/>
      <c r="R22" s="2"/>
      <c r="S22" s="168"/>
      <c r="T22" s="3"/>
      <c r="U22" s="3"/>
      <c r="V22" s="3"/>
    </row>
    <row r="23" spans="1:22" ht="20.85" customHeight="1" x14ac:dyDescent="0.25">
      <c r="A23" s="21"/>
      <c r="B23" s="267"/>
      <c r="C23" s="3"/>
      <c r="D23" s="264"/>
      <c r="E23" s="264"/>
      <c r="F23" s="267"/>
      <c r="G23" s="267"/>
      <c r="H23" s="2"/>
      <c r="I23" s="2"/>
      <c r="J23" s="2"/>
      <c r="K23" s="24" t="str">
        <f>IF(Feb[[#This Row],[Date of Incident]]="","",TEXT(Feb[[#This Row],[Date of Incident]],"ddd"))</f>
        <v/>
      </c>
      <c r="L23" s="1"/>
      <c r="M23" s="24" t="str">
        <f>IFERROR(VLOOKUP(Feb[[#This Row],[Hour]],Shifts[],2,FALSE),"")</f>
        <v/>
      </c>
      <c r="N23" s="1"/>
      <c r="O23" s="24" t="str">
        <f>IFERROR(VLOOKUP(Feb[[#This Row],[BIMS Score]],BIMS[],2,FALSE),"")</f>
        <v/>
      </c>
      <c r="P23" s="3"/>
      <c r="Q23" s="3"/>
      <c r="R23" s="2"/>
      <c r="S23" s="168"/>
      <c r="T23" s="3"/>
      <c r="U23" s="3"/>
      <c r="V23" s="3"/>
    </row>
    <row r="24" spans="1:22" s="10" customFormat="1" ht="20.85" customHeight="1" x14ac:dyDescent="0.25">
      <c r="A24" s="26"/>
      <c r="B24" s="266"/>
      <c r="C24" s="5"/>
      <c r="D24" s="263"/>
      <c r="E24" s="263"/>
      <c r="F24" s="267"/>
      <c r="G24" s="267"/>
      <c r="H24" s="1"/>
      <c r="I24" s="1"/>
      <c r="J24" s="1"/>
      <c r="K24" s="24" t="str">
        <f>IF(Feb[[#This Row],[Date of Incident]]="","",TEXT(Feb[[#This Row],[Date of Incident]],"ddd"))</f>
        <v/>
      </c>
      <c r="L24" s="1"/>
      <c r="M24" s="24" t="str">
        <f>IFERROR(VLOOKUP(Feb[[#This Row],[Hour]],Shifts[],2,FALSE),"")</f>
        <v/>
      </c>
      <c r="N24" s="1"/>
      <c r="O24" s="24" t="str">
        <f>IFERROR(VLOOKUP(Feb[[#This Row],[BIMS Score]],BIMS[],2,FALSE),"")</f>
        <v/>
      </c>
      <c r="P24" s="3"/>
      <c r="Q24" s="3"/>
      <c r="R24" s="2"/>
      <c r="S24" s="168"/>
      <c r="T24" s="5"/>
      <c r="U24" s="5"/>
      <c r="V24" s="3"/>
    </row>
    <row r="25" spans="1:22" ht="20.85" customHeight="1" x14ac:dyDescent="0.25">
      <c r="A25" s="21"/>
      <c r="B25" s="266"/>
      <c r="C25" s="5"/>
      <c r="D25" s="263"/>
      <c r="E25" s="263"/>
      <c r="F25" s="267"/>
      <c r="G25" s="267"/>
      <c r="H25" s="1"/>
      <c r="I25" s="1"/>
      <c r="J25" s="1"/>
      <c r="K25" s="24" t="str">
        <f>IF(Feb[[#This Row],[Date of Incident]]="","",TEXT(Feb[[#This Row],[Date of Incident]],"ddd"))</f>
        <v/>
      </c>
      <c r="L25" s="1"/>
      <c r="M25" s="24" t="str">
        <f>IFERROR(VLOOKUP(Feb[[#This Row],[Hour]],Shifts[],2,FALSE),"")</f>
        <v/>
      </c>
      <c r="N25" s="1"/>
      <c r="O25" s="24" t="str">
        <f>IFERROR(VLOOKUP(Feb[[#This Row],[BIMS Score]],BIMS[],2,FALSE),"")</f>
        <v/>
      </c>
      <c r="P25" s="3"/>
      <c r="Q25" s="3"/>
      <c r="R25" s="2"/>
      <c r="S25" s="168"/>
      <c r="T25" s="5"/>
      <c r="U25" s="5"/>
      <c r="V25" s="3"/>
    </row>
    <row r="26" spans="1:22" ht="20.85" customHeight="1" x14ac:dyDescent="0.25">
      <c r="A26" s="21"/>
      <c r="B26" s="266"/>
      <c r="C26" s="5"/>
      <c r="D26" s="263"/>
      <c r="E26" s="263"/>
      <c r="F26" s="267"/>
      <c r="G26" s="267"/>
      <c r="H26" s="1"/>
      <c r="I26" s="1"/>
      <c r="J26" s="1"/>
      <c r="K26" s="24" t="str">
        <f>IF(Feb[[#This Row],[Date of Incident]]="","",TEXT(Feb[[#This Row],[Date of Incident]],"ddd"))</f>
        <v/>
      </c>
      <c r="L26" s="1"/>
      <c r="M26" s="24" t="str">
        <f>IFERROR(VLOOKUP(Feb[[#This Row],[Hour]],Shifts[],2,FALSE),"")</f>
        <v/>
      </c>
      <c r="N26" s="1"/>
      <c r="O26" s="24" t="str">
        <f>IFERROR(VLOOKUP(Feb[[#This Row],[BIMS Score]],BIMS[],2,FALSE),"")</f>
        <v/>
      </c>
      <c r="P26" s="3"/>
      <c r="Q26" s="3"/>
      <c r="R26" s="2"/>
      <c r="S26" s="168"/>
      <c r="T26" s="5"/>
      <c r="U26" s="5"/>
      <c r="V26" s="3"/>
    </row>
    <row r="27" spans="1:22" ht="20.85" customHeight="1" x14ac:dyDescent="0.25">
      <c r="A27" s="21"/>
      <c r="B27" s="266"/>
      <c r="C27" s="5"/>
      <c r="D27" s="263"/>
      <c r="E27" s="263"/>
      <c r="F27" s="267"/>
      <c r="G27" s="267"/>
      <c r="H27" s="1"/>
      <c r="I27" s="1"/>
      <c r="J27" s="1"/>
      <c r="K27" s="24" t="str">
        <f>IF(Feb[[#This Row],[Date of Incident]]="","",TEXT(Feb[[#This Row],[Date of Incident]],"ddd"))</f>
        <v/>
      </c>
      <c r="L27" s="1"/>
      <c r="M27" s="24" t="str">
        <f>IFERROR(VLOOKUP(Feb[[#This Row],[Hour]],Shifts[],2,FALSE),"")</f>
        <v/>
      </c>
      <c r="N27" s="1"/>
      <c r="O27" s="24" t="str">
        <f>IFERROR(VLOOKUP(Feb[[#This Row],[BIMS Score]],BIMS[],2,FALSE),"")</f>
        <v/>
      </c>
      <c r="P27" s="3"/>
      <c r="Q27" s="3"/>
      <c r="R27" s="2"/>
      <c r="S27" s="168"/>
      <c r="T27" s="5"/>
      <c r="U27" s="5"/>
      <c r="V27" s="3"/>
    </row>
    <row r="28" spans="1:22" ht="20.85" customHeight="1" x14ac:dyDescent="0.25">
      <c r="A28" s="21"/>
      <c r="B28" s="266"/>
      <c r="C28" s="5"/>
      <c r="D28" s="263"/>
      <c r="E28" s="263"/>
      <c r="F28" s="267"/>
      <c r="G28" s="267"/>
      <c r="H28" s="1"/>
      <c r="I28" s="1"/>
      <c r="J28" s="1"/>
      <c r="K28" s="24" t="str">
        <f>IF(Feb[[#This Row],[Date of Incident]]="","",TEXT(Feb[[#This Row],[Date of Incident]],"ddd"))</f>
        <v/>
      </c>
      <c r="L28" s="1"/>
      <c r="M28" s="24" t="str">
        <f>IFERROR(VLOOKUP(Feb[[#This Row],[Hour]],Shifts[],2,FALSE),"")</f>
        <v/>
      </c>
      <c r="N28" s="1"/>
      <c r="O28" s="24" t="str">
        <f>IFERROR(VLOOKUP(Feb[[#This Row],[BIMS Score]],BIMS[],2,FALSE),"")</f>
        <v/>
      </c>
      <c r="P28" s="3"/>
      <c r="Q28" s="3"/>
      <c r="R28" s="2"/>
      <c r="S28" s="168"/>
      <c r="T28" s="5"/>
      <c r="U28" s="5"/>
      <c r="V28" s="3"/>
    </row>
    <row r="29" spans="1:22" ht="20.85" customHeight="1" x14ac:dyDescent="0.25">
      <c r="B29" s="266"/>
      <c r="C29" s="5"/>
      <c r="D29" s="263"/>
      <c r="E29" s="263"/>
      <c r="F29" s="267"/>
      <c r="G29" s="267"/>
      <c r="H29" s="1"/>
      <c r="I29" s="1"/>
      <c r="J29" s="1"/>
      <c r="K29" s="27" t="str">
        <f>IF(Feb[[#This Row],[Date of Incident]]="","",TEXT(Feb[[#This Row],[Date of Incident]],"ddd"))</f>
        <v/>
      </c>
      <c r="L29" s="1"/>
      <c r="M29" s="27" t="str">
        <f>IFERROR(VLOOKUP(Feb[[#This Row],[Hour]],Shifts[],2,FALSE),"")</f>
        <v/>
      </c>
      <c r="N29" s="2"/>
      <c r="O29" s="24" t="str">
        <f>IFERROR(VLOOKUP(Feb[[#This Row],[BIMS Score]],BIMS[],2,FALSE),"")</f>
        <v/>
      </c>
      <c r="P29" s="3"/>
      <c r="Q29" s="3"/>
      <c r="R29" s="2"/>
      <c r="S29" s="168"/>
      <c r="T29" s="5"/>
      <c r="U29" s="5"/>
      <c r="V29" s="5"/>
    </row>
    <row r="30" spans="1:22" ht="20.85" customHeight="1" x14ac:dyDescent="0.25">
      <c r="B30" s="266"/>
      <c r="C30" s="5"/>
      <c r="D30" s="263"/>
      <c r="E30" s="263"/>
      <c r="F30" s="267"/>
      <c r="G30" s="267"/>
      <c r="H30" s="1"/>
      <c r="I30" s="1"/>
      <c r="J30" s="1"/>
      <c r="K30" s="27" t="str">
        <f>IF(Feb[[#This Row],[Date of Incident]]="","",TEXT(Feb[[#This Row],[Date of Incident]],"ddd"))</f>
        <v/>
      </c>
      <c r="L30" s="1"/>
      <c r="M30" s="27" t="str">
        <f>IFERROR(VLOOKUP(Feb[[#This Row],[Hour]],Shifts[],2,FALSE),"")</f>
        <v/>
      </c>
      <c r="N30" s="2"/>
      <c r="O30" s="24" t="str">
        <f>IFERROR(VLOOKUP(Feb[[#This Row],[BIMS Score]],BIMS[],2,FALSE),"")</f>
        <v/>
      </c>
      <c r="P30" s="3"/>
      <c r="Q30" s="3"/>
      <c r="R30" s="2"/>
      <c r="S30" s="168"/>
      <c r="T30" s="5"/>
      <c r="U30" s="5"/>
      <c r="V30" s="5"/>
    </row>
    <row r="31" spans="1:22" ht="20.85" customHeight="1" x14ac:dyDescent="0.25">
      <c r="B31" s="266"/>
      <c r="C31" s="5"/>
      <c r="D31" s="263"/>
      <c r="E31" s="263"/>
      <c r="F31" s="267"/>
      <c r="G31" s="267"/>
      <c r="H31" s="1"/>
      <c r="I31" s="1"/>
      <c r="J31" s="1"/>
      <c r="K31" s="27" t="str">
        <f>IF(Feb[[#This Row],[Date of Incident]]="","",TEXT(Feb[[#This Row],[Date of Incident]],"ddd"))</f>
        <v/>
      </c>
      <c r="L31" s="1"/>
      <c r="M31" s="27" t="str">
        <f>IFERROR(VLOOKUP(Feb[[#This Row],[Hour]],Shifts[],2,FALSE),"")</f>
        <v/>
      </c>
      <c r="N31" s="2"/>
      <c r="O31" s="24" t="str">
        <f>IFERROR(VLOOKUP(Feb[[#This Row],[BIMS Score]],BIMS[],2,FALSE),"")</f>
        <v/>
      </c>
      <c r="P31" s="3"/>
      <c r="Q31" s="3"/>
      <c r="R31" s="2"/>
      <c r="S31" s="168"/>
      <c r="T31" s="5"/>
      <c r="U31" s="5"/>
      <c r="V31" s="5"/>
    </row>
    <row r="32" spans="1:22" ht="20.85" customHeight="1" x14ac:dyDescent="0.25">
      <c r="B32" s="266"/>
      <c r="C32" s="5"/>
      <c r="D32" s="263"/>
      <c r="E32" s="263"/>
      <c r="F32" s="267"/>
      <c r="G32" s="267"/>
      <c r="H32" s="1"/>
      <c r="I32" s="1"/>
      <c r="J32" s="1"/>
      <c r="K32" s="27" t="str">
        <f>IF(Feb[[#This Row],[Date of Incident]]="","",TEXT(Feb[[#This Row],[Date of Incident]],"ddd"))</f>
        <v/>
      </c>
      <c r="L32" s="1"/>
      <c r="M32" s="27" t="str">
        <f>IFERROR(VLOOKUP(Feb[[#This Row],[Hour]],Shifts[],2,FALSE),"")</f>
        <v/>
      </c>
      <c r="N32" s="2"/>
      <c r="O32" s="24" t="str">
        <f>IFERROR(VLOOKUP(Feb[[#This Row],[BIMS Score]],BIMS[],2,FALSE),"")</f>
        <v/>
      </c>
      <c r="P32" s="3"/>
      <c r="Q32" s="3"/>
      <c r="R32" s="2"/>
      <c r="S32" s="168"/>
      <c r="T32" s="5"/>
      <c r="U32" s="5"/>
      <c r="V32" s="5"/>
    </row>
    <row r="33" spans="2:22" ht="20.85" customHeight="1" x14ac:dyDescent="0.25">
      <c r="B33" s="266"/>
      <c r="C33" s="5"/>
      <c r="D33" s="263"/>
      <c r="E33" s="263"/>
      <c r="F33" s="267"/>
      <c r="G33" s="267"/>
      <c r="H33" s="1"/>
      <c r="I33" s="1"/>
      <c r="J33" s="1"/>
      <c r="K33" s="27" t="str">
        <f>IF(Feb[[#This Row],[Date of Incident]]="","",TEXT(Feb[[#This Row],[Date of Incident]],"ddd"))</f>
        <v/>
      </c>
      <c r="L33" s="1"/>
      <c r="M33" s="27" t="str">
        <f>IFERROR(VLOOKUP(Feb[[#This Row],[Hour]],Shifts[],2,FALSE),"")</f>
        <v/>
      </c>
      <c r="N33" s="2"/>
      <c r="O33" s="24" t="str">
        <f>IFERROR(VLOOKUP(Feb[[#This Row],[BIMS Score]],BIMS[],2,FALSE),"")</f>
        <v/>
      </c>
      <c r="P33" s="3"/>
      <c r="Q33" s="3"/>
      <c r="R33" s="2"/>
      <c r="S33" s="168"/>
      <c r="T33" s="5"/>
      <c r="U33" s="5"/>
      <c r="V33" s="5"/>
    </row>
    <row r="34" spans="2:22" ht="20.85" customHeight="1" x14ac:dyDescent="0.25">
      <c r="B34" s="266"/>
      <c r="C34" s="5"/>
      <c r="D34" s="263"/>
      <c r="E34" s="263"/>
      <c r="F34" s="267"/>
      <c r="G34" s="267"/>
      <c r="H34" s="1"/>
      <c r="I34" s="1"/>
      <c r="J34" s="1"/>
      <c r="K34" s="27" t="str">
        <f>IF(Feb[[#This Row],[Date of Incident]]="","",TEXT(Feb[[#This Row],[Date of Incident]],"ddd"))</f>
        <v/>
      </c>
      <c r="L34" s="1"/>
      <c r="M34" s="27" t="str">
        <f>IFERROR(VLOOKUP(Feb[[#This Row],[Hour]],Shifts[],2,FALSE),"")</f>
        <v/>
      </c>
      <c r="N34" s="2"/>
      <c r="O34" s="24" t="str">
        <f>IFERROR(VLOOKUP(Feb[[#This Row],[BIMS Score]],BIMS[],2,FALSE),"")</f>
        <v/>
      </c>
      <c r="P34" s="3"/>
      <c r="Q34" s="3"/>
      <c r="R34" s="2"/>
      <c r="S34" s="168"/>
      <c r="T34" s="5"/>
      <c r="U34" s="5"/>
      <c r="V34" s="5"/>
    </row>
    <row r="35" spans="2:22" ht="20.85" customHeight="1" x14ac:dyDescent="0.25">
      <c r="B35" s="266"/>
      <c r="C35" s="5"/>
      <c r="D35" s="263"/>
      <c r="E35" s="263"/>
      <c r="F35" s="267"/>
      <c r="G35" s="267"/>
      <c r="H35" s="1"/>
      <c r="I35" s="1"/>
      <c r="J35" s="1"/>
      <c r="K35" s="27" t="str">
        <f>IF(Feb[[#This Row],[Date of Incident]]="","",TEXT(Feb[[#This Row],[Date of Incident]],"ddd"))</f>
        <v/>
      </c>
      <c r="L35" s="1"/>
      <c r="M35" s="27" t="str">
        <f>IFERROR(VLOOKUP(Feb[[#This Row],[Hour]],Shifts[],2,FALSE),"")</f>
        <v/>
      </c>
      <c r="N35" s="2"/>
      <c r="O35" s="24" t="str">
        <f>IFERROR(VLOOKUP(Feb[[#This Row],[BIMS Score]],BIMS[],2,FALSE),"")</f>
        <v/>
      </c>
      <c r="P35" s="3"/>
      <c r="Q35" s="3"/>
      <c r="R35" s="2"/>
      <c r="S35" s="168"/>
      <c r="T35" s="5"/>
      <c r="U35" s="5"/>
      <c r="V35" s="5"/>
    </row>
    <row r="36" spans="2:22" ht="20.85" customHeight="1" x14ac:dyDescent="0.25">
      <c r="B36" s="266"/>
      <c r="C36" s="5"/>
      <c r="D36" s="263"/>
      <c r="E36" s="263"/>
      <c r="F36" s="267"/>
      <c r="G36" s="267"/>
      <c r="H36" s="1"/>
      <c r="I36" s="1"/>
      <c r="J36" s="1"/>
      <c r="K36" s="27" t="str">
        <f>IF(Feb[[#This Row],[Date of Incident]]="","",TEXT(Feb[[#This Row],[Date of Incident]],"ddd"))</f>
        <v/>
      </c>
      <c r="L36" s="1"/>
      <c r="M36" s="27" t="str">
        <f>IFERROR(VLOOKUP(Feb[[#This Row],[Hour]],Shifts[],2,FALSE),"")</f>
        <v/>
      </c>
      <c r="N36" s="2"/>
      <c r="O36" s="24" t="str">
        <f>IFERROR(VLOOKUP(Feb[[#This Row],[BIMS Score]],BIMS[],2,FALSE),"")</f>
        <v/>
      </c>
      <c r="P36" s="3"/>
      <c r="Q36" s="3"/>
      <c r="R36" s="2"/>
      <c r="S36" s="168"/>
      <c r="T36" s="5"/>
      <c r="U36" s="5"/>
      <c r="V36" s="5"/>
    </row>
    <row r="37" spans="2:22" ht="20.85" customHeight="1" x14ac:dyDescent="0.25">
      <c r="B37" s="266"/>
      <c r="C37" s="5"/>
      <c r="D37" s="263"/>
      <c r="E37" s="263"/>
      <c r="F37" s="267"/>
      <c r="G37" s="267"/>
      <c r="H37" s="1"/>
      <c r="I37" s="1"/>
      <c r="J37" s="1"/>
      <c r="K37" s="27" t="str">
        <f>IF(Feb[[#This Row],[Date of Incident]]="","",TEXT(Feb[[#This Row],[Date of Incident]],"ddd"))</f>
        <v/>
      </c>
      <c r="L37" s="1"/>
      <c r="M37" s="27" t="str">
        <f>IFERROR(VLOOKUP(Feb[[#This Row],[Hour]],Shifts[],2,FALSE),"")</f>
        <v/>
      </c>
      <c r="N37" s="2"/>
      <c r="O37" s="24" t="str">
        <f>IFERROR(VLOOKUP(Feb[[#This Row],[BIMS Score]],BIMS[],2,FALSE),"")</f>
        <v/>
      </c>
      <c r="P37" s="3"/>
      <c r="Q37" s="3"/>
      <c r="R37" s="2"/>
      <c r="S37" s="168"/>
      <c r="T37" s="5"/>
      <c r="U37" s="5"/>
      <c r="V37" s="5"/>
    </row>
    <row r="38" spans="2:22" ht="20.85" customHeight="1" x14ac:dyDescent="0.25">
      <c r="B38" s="266"/>
      <c r="C38" s="5"/>
      <c r="D38" s="263"/>
      <c r="E38" s="263"/>
      <c r="F38" s="267"/>
      <c r="G38" s="267"/>
      <c r="H38" s="1"/>
      <c r="I38" s="1"/>
      <c r="J38" s="1"/>
      <c r="K38" s="27" t="str">
        <f>IF(Feb[[#This Row],[Date of Incident]]="","",TEXT(Feb[[#This Row],[Date of Incident]],"ddd"))</f>
        <v/>
      </c>
      <c r="L38" s="1"/>
      <c r="M38" s="27" t="str">
        <f>IFERROR(VLOOKUP(Feb[[#This Row],[Hour]],Shifts[],2,FALSE),"")</f>
        <v/>
      </c>
      <c r="N38" s="2"/>
      <c r="O38" s="24" t="str">
        <f>IFERROR(VLOOKUP(Feb[[#This Row],[BIMS Score]],BIMS[],2,FALSE),"")</f>
        <v/>
      </c>
      <c r="P38" s="3"/>
      <c r="Q38" s="3"/>
      <c r="R38" s="2"/>
      <c r="S38" s="168"/>
      <c r="T38" s="5"/>
      <c r="U38" s="5"/>
      <c r="V38" s="5"/>
    </row>
    <row r="39" spans="2:22" ht="20.85" customHeight="1" x14ac:dyDescent="0.25">
      <c r="B39" s="266"/>
      <c r="C39" s="5"/>
      <c r="D39" s="263"/>
      <c r="E39" s="263"/>
      <c r="F39" s="267"/>
      <c r="G39" s="267"/>
      <c r="H39" s="1"/>
      <c r="I39" s="1"/>
      <c r="J39" s="1"/>
      <c r="K39" s="27" t="str">
        <f>IF(Feb[[#This Row],[Date of Incident]]="","",TEXT(Feb[[#This Row],[Date of Incident]],"ddd"))</f>
        <v/>
      </c>
      <c r="L39" s="1"/>
      <c r="M39" s="27" t="str">
        <f>IFERROR(VLOOKUP(Feb[[#This Row],[Hour]],Shifts[],2,FALSE),"")</f>
        <v/>
      </c>
      <c r="N39" s="2"/>
      <c r="O39" s="24" t="str">
        <f>IFERROR(VLOOKUP(Feb[[#This Row],[BIMS Score]],BIMS[],2,FALSE),"")</f>
        <v/>
      </c>
      <c r="P39" s="3"/>
      <c r="Q39" s="3"/>
      <c r="R39" s="2"/>
      <c r="S39" s="168"/>
      <c r="T39" s="5"/>
      <c r="U39" s="5"/>
      <c r="V39" s="5"/>
    </row>
    <row r="40" spans="2:22" ht="20.85" customHeight="1" x14ac:dyDescent="0.25">
      <c r="B40" s="266"/>
      <c r="C40" s="5"/>
      <c r="D40" s="263"/>
      <c r="E40" s="263"/>
      <c r="F40" s="267"/>
      <c r="G40" s="267"/>
      <c r="H40" s="1"/>
      <c r="I40" s="1"/>
      <c r="J40" s="1"/>
      <c r="K40" s="27" t="str">
        <f>IF(Feb[[#This Row],[Date of Incident]]="","",TEXT(Feb[[#This Row],[Date of Incident]],"ddd"))</f>
        <v/>
      </c>
      <c r="L40" s="1"/>
      <c r="M40" s="27" t="str">
        <f>IFERROR(VLOOKUP(Feb[[#This Row],[Hour]],Shifts[],2,FALSE),"")</f>
        <v/>
      </c>
      <c r="N40" s="2"/>
      <c r="O40" s="24" t="str">
        <f>IFERROR(VLOOKUP(Feb[[#This Row],[BIMS Score]],BIMS[],2,FALSE),"")</f>
        <v/>
      </c>
      <c r="P40" s="3"/>
      <c r="Q40" s="3"/>
      <c r="R40" s="2"/>
      <c r="S40" s="168"/>
      <c r="T40" s="5"/>
      <c r="U40" s="5"/>
      <c r="V40" s="5"/>
    </row>
    <row r="41" spans="2:22" x14ac:dyDescent="0.25">
      <c r="B41" s="26"/>
      <c r="C41" s="21"/>
      <c r="D41" s="22"/>
      <c r="E41" s="23"/>
      <c r="F41" s="26"/>
      <c r="G41" s="26"/>
      <c r="H41" s="26"/>
      <c r="I41" s="26"/>
      <c r="J41" s="26"/>
      <c r="K41" s="26"/>
      <c r="L41" s="26"/>
      <c r="M41" s="26"/>
      <c r="N41" s="20"/>
      <c r="O41" s="25"/>
      <c r="P41" s="21"/>
      <c r="Q41" s="21"/>
      <c r="R41" s="25"/>
    </row>
    <row r="42" spans="2:22" x14ac:dyDescent="0.25">
      <c r="B42" s="26"/>
      <c r="C42" s="21"/>
      <c r="D42" s="22"/>
      <c r="E42" s="23"/>
      <c r="F42" s="26"/>
      <c r="G42" s="26"/>
      <c r="H42" s="26"/>
      <c r="I42" s="26"/>
      <c r="J42" s="26"/>
      <c r="K42" s="26"/>
      <c r="L42" s="26"/>
      <c r="M42" s="26"/>
      <c r="N42" s="20"/>
      <c r="O42" s="25"/>
      <c r="P42" s="21"/>
      <c r="Q42" s="21"/>
      <c r="R42" s="25"/>
    </row>
    <row r="43" spans="2:22" x14ac:dyDescent="0.25">
      <c r="B43" s="26"/>
      <c r="C43" s="21"/>
      <c r="D43" s="22"/>
      <c r="E43" s="23"/>
      <c r="F43" s="26"/>
      <c r="G43" s="26"/>
      <c r="H43" s="26"/>
      <c r="I43" s="26"/>
      <c r="J43" s="26"/>
      <c r="K43" s="26"/>
      <c r="L43" s="26"/>
      <c r="M43" s="26"/>
      <c r="N43" s="20"/>
      <c r="O43" s="25"/>
      <c r="P43" s="21"/>
      <c r="Q43" s="21"/>
      <c r="R43" s="25"/>
    </row>
    <row r="44" spans="2:22" x14ac:dyDescent="0.25">
      <c r="B44" s="26"/>
      <c r="C44" s="21"/>
      <c r="D44" s="22"/>
      <c r="E44" s="23"/>
      <c r="F44" s="26"/>
      <c r="G44" s="26"/>
      <c r="H44" s="26"/>
      <c r="I44" s="26"/>
      <c r="J44" s="26"/>
      <c r="K44" s="26"/>
      <c r="L44" s="26"/>
      <c r="M44" s="26"/>
      <c r="N44" s="20"/>
      <c r="O44" s="25"/>
      <c r="P44" s="21"/>
      <c r="Q44" s="21"/>
      <c r="R44" s="25"/>
    </row>
    <row r="45" spans="2:22" x14ac:dyDescent="0.25">
      <c r="B45" s="26"/>
      <c r="C45" s="21"/>
      <c r="D45" s="22"/>
      <c r="E45" s="23"/>
      <c r="F45" s="26"/>
      <c r="G45" s="26"/>
      <c r="H45" s="26"/>
      <c r="I45" s="26"/>
      <c r="J45" s="26"/>
      <c r="K45" s="26"/>
      <c r="L45" s="26"/>
      <c r="M45" s="26"/>
      <c r="N45" s="20"/>
      <c r="O45" s="25"/>
      <c r="P45" s="21"/>
      <c r="Q45" s="21"/>
      <c r="R45" s="25"/>
    </row>
    <row r="46" spans="2:22" x14ac:dyDescent="0.25">
      <c r="B46" s="26"/>
      <c r="C46" s="21"/>
      <c r="D46" s="22"/>
      <c r="E46" s="23"/>
      <c r="F46" s="26"/>
      <c r="G46" s="26"/>
      <c r="H46" s="26"/>
      <c r="I46" s="26"/>
      <c r="J46" s="26"/>
      <c r="K46" s="26"/>
      <c r="L46" s="26"/>
      <c r="M46" s="26"/>
      <c r="N46" s="20"/>
      <c r="O46" s="25"/>
      <c r="P46" s="21"/>
      <c r="Q46" s="21"/>
      <c r="R46" s="25"/>
    </row>
    <row r="47" spans="2:22" x14ac:dyDescent="0.25">
      <c r="B47" s="26"/>
      <c r="C47" s="21"/>
      <c r="D47" s="22"/>
      <c r="E47" s="23"/>
      <c r="F47" s="26"/>
      <c r="G47" s="26"/>
      <c r="H47" s="26"/>
      <c r="I47" s="26"/>
      <c r="J47" s="26"/>
      <c r="K47" s="26"/>
      <c r="L47" s="26"/>
      <c r="M47" s="26"/>
      <c r="N47" s="20"/>
      <c r="O47" s="25"/>
      <c r="P47" s="21"/>
      <c r="Q47" s="21"/>
      <c r="R47" s="25"/>
    </row>
    <row r="48" spans="2:22" x14ac:dyDescent="0.25">
      <c r="B48" s="26"/>
      <c r="C48" s="21"/>
      <c r="D48" s="22"/>
      <c r="E48" s="23"/>
      <c r="F48" s="26"/>
      <c r="G48" s="26"/>
      <c r="H48" s="26"/>
      <c r="I48" s="26"/>
      <c r="J48" s="26"/>
      <c r="K48" s="26"/>
      <c r="L48" s="26"/>
      <c r="M48" s="26"/>
      <c r="N48" s="20"/>
      <c r="O48" s="25"/>
      <c r="P48" s="21"/>
      <c r="Q48" s="21"/>
      <c r="R48" s="25"/>
    </row>
    <row r="49" spans="1:18" x14ac:dyDescent="0.25">
      <c r="B49" s="26"/>
      <c r="C49" s="21"/>
      <c r="D49" s="22"/>
      <c r="E49" s="23"/>
      <c r="F49" s="26"/>
      <c r="G49" s="26"/>
      <c r="H49" s="26"/>
      <c r="I49" s="26"/>
      <c r="J49" s="26"/>
      <c r="K49" s="26"/>
      <c r="L49" s="26"/>
      <c r="M49" s="26"/>
      <c r="N49" s="20"/>
      <c r="O49" s="25"/>
      <c r="P49" s="21"/>
      <c r="Q49" s="21"/>
      <c r="R49" s="25"/>
    </row>
    <row r="50" spans="1:18" ht="15.75" thickBot="1" x14ac:dyDescent="0.3">
      <c r="B50" s="26"/>
      <c r="C50" s="21"/>
      <c r="D50" s="22"/>
      <c r="E50" s="23"/>
      <c r="F50" s="26"/>
      <c r="G50" s="26"/>
      <c r="H50" s="26"/>
      <c r="I50" s="26"/>
      <c r="Q50" s="21"/>
    </row>
    <row r="51" spans="1:18" ht="22.35" customHeight="1" thickBot="1" x14ac:dyDescent="0.3">
      <c r="B51" s="280" t="s">
        <v>85</v>
      </c>
      <c r="C51" s="281"/>
      <c r="D51" s="282"/>
      <c r="F51" s="280" t="s">
        <v>100</v>
      </c>
      <c r="G51" s="281"/>
      <c r="H51" s="282"/>
    </row>
    <row r="52" spans="1:18" ht="15.6" customHeight="1" x14ac:dyDescent="0.25">
      <c r="B52" s="283" t="s">
        <v>83</v>
      </c>
      <c r="C52" s="284"/>
      <c r="D52" s="28" t="s">
        <v>35</v>
      </c>
      <c r="F52" s="283" t="s">
        <v>83</v>
      </c>
      <c r="G52" s="284"/>
      <c r="H52" s="28" t="s">
        <v>35</v>
      </c>
    </row>
    <row r="53" spans="1:18" x14ac:dyDescent="0.25">
      <c r="B53" s="29" t="s">
        <v>41</v>
      </c>
      <c r="C53" s="30"/>
      <c r="D53" s="31">
        <f>COUNTIFS(Feb[Witnessed
Fall?],$B53)</f>
        <v>0</v>
      </c>
      <c r="F53" s="29" t="s">
        <v>79</v>
      </c>
      <c r="G53" s="30"/>
      <c r="H53" s="31">
        <f>COUNTIFS(Feb[Fall Circumstances],$F53)</f>
        <v>0</v>
      </c>
    </row>
    <row r="54" spans="1:18" ht="15.75" thickBot="1" x14ac:dyDescent="0.3">
      <c r="B54" s="32" t="s">
        <v>42</v>
      </c>
      <c r="C54" s="33"/>
      <c r="D54" s="34">
        <f>COUNTIFS(Feb[Witnessed
Fall?],$B54)</f>
        <v>0</v>
      </c>
      <c r="F54" s="29" t="s">
        <v>101</v>
      </c>
      <c r="G54" s="30"/>
      <c r="H54" s="31">
        <f>COUNTIFS(Feb[Fall Circumstances],$F54)</f>
        <v>0</v>
      </c>
    </row>
    <row r="55" spans="1:18" ht="15.6" customHeight="1" thickBot="1" x14ac:dyDescent="0.3">
      <c r="B55" s="285" t="s">
        <v>16</v>
      </c>
      <c r="C55" s="286"/>
      <c r="D55" s="35">
        <f>SUM(D53:D54)</f>
        <v>0</v>
      </c>
      <c r="F55" s="32" t="s">
        <v>102</v>
      </c>
      <c r="G55" s="33"/>
      <c r="H55" s="36">
        <f>COUNTIFS(Feb[Fall Circumstances],$F55)</f>
        <v>0</v>
      </c>
    </row>
    <row r="56" spans="1:18" ht="15.6" customHeight="1" thickBot="1" x14ac:dyDescent="0.3">
      <c r="A56" s="26"/>
      <c r="B56" s="21"/>
      <c r="C56" s="22"/>
      <c r="D56" s="26"/>
      <c r="F56" s="285" t="s">
        <v>16</v>
      </c>
      <c r="G56" s="286"/>
      <c r="H56" s="37">
        <f>SUM(H53:H55)</f>
        <v>0</v>
      </c>
    </row>
    <row r="57" spans="1:18" ht="15.75" thickBot="1" x14ac:dyDescent="0.3">
      <c r="A57" s="26"/>
      <c r="B57" s="21"/>
      <c r="C57" s="22"/>
      <c r="D57" s="26"/>
      <c r="F57" s="26"/>
      <c r="G57" s="21"/>
      <c r="H57" s="22"/>
      <c r="L57" s="21"/>
      <c r="O57" s="22"/>
    </row>
    <row r="58" spans="1:18" ht="15.75" thickBot="1" x14ac:dyDescent="0.3">
      <c r="A58" s="26"/>
      <c r="B58" s="21"/>
      <c r="C58" s="22"/>
      <c r="D58" s="26"/>
      <c r="F58" s="280" t="s">
        <v>103</v>
      </c>
      <c r="G58" s="281"/>
      <c r="H58" s="282"/>
      <c r="L58" s="21"/>
      <c r="O58" s="22"/>
    </row>
    <row r="59" spans="1:18" x14ac:dyDescent="0.25">
      <c r="A59" s="26"/>
      <c r="B59" s="21"/>
      <c r="C59" s="22"/>
      <c r="D59" s="26"/>
      <c r="F59" s="283" t="s">
        <v>26</v>
      </c>
      <c r="G59" s="284"/>
      <c r="H59" s="28" t="s">
        <v>35</v>
      </c>
      <c r="L59" s="21"/>
      <c r="O59" s="22"/>
    </row>
    <row r="60" spans="1:18" ht="15.6" customHeight="1" x14ac:dyDescent="0.25">
      <c r="F60" s="29" t="s">
        <v>142</v>
      </c>
      <c r="G60" s="30"/>
      <c r="H60" s="31">
        <f>COUNTIFS(Feb[Cognitive Impairment],$F60)</f>
        <v>0</v>
      </c>
    </row>
    <row r="61" spans="1:18" x14ac:dyDescent="0.25">
      <c r="F61" s="29" t="s">
        <v>143</v>
      </c>
      <c r="G61" s="30"/>
      <c r="H61" s="31">
        <f>COUNTIFS(Feb[Cognitive Impairment],$F61)</f>
        <v>0</v>
      </c>
    </row>
    <row r="62" spans="1:18" ht="15.75" thickBot="1" x14ac:dyDescent="0.3">
      <c r="F62" s="32" t="s">
        <v>144</v>
      </c>
      <c r="G62" s="33"/>
      <c r="H62" s="31">
        <f>COUNTIFS(Feb[Cognitive Impairment],$F62)</f>
        <v>0</v>
      </c>
    </row>
    <row r="63" spans="1:18" ht="15.75" thickBot="1" x14ac:dyDescent="0.3">
      <c r="F63" s="285" t="s">
        <v>16</v>
      </c>
      <c r="G63" s="286"/>
      <c r="H63" s="37">
        <f>SUM(H60:H62)</f>
        <v>0</v>
      </c>
    </row>
    <row r="64" spans="1:18" ht="15.75" thickBot="1" x14ac:dyDescent="0.3"/>
    <row r="65" spans="1:8" ht="21.4" customHeight="1" thickBot="1" x14ac:dyDescent="0.3">
      <c r="B65" s="280" t="s">
        <v>78</v>
      </c>
      <c r="C65" s="281"/>
      <c r="D65" s="281"/>
      <c r="E65" s="281"/>
      <c r="F65" s="281"/>
      <c r="G65" s="282"/>
    </row>
    <row r="66" spans="1:8" ht="15.6" customHeight="1" x14ac:dyDescent="0.25">
      <c r="A66" s="38"/>
      <c r="B66" s="288" t="s">
        <v>86</v>
      </c>
      <c r="C66" s="289"/>
      <c r="D66" s="289"/>
      <c r="E66" s="289"/>
      <c r="F66" s="290"/>
      <c r="G66" s="28" t="s">
        <v>35</v>
      </c>
    </row>
    <row r="67" spans="1:8" x14ac:dyDescent="0.25">
      <c r="A67" s="38"/>
      <c r="B67" s="39" t="str" cm="1">
        <f t="array" ref="B67:B90">IF(_xlfn._xlws.SORT(PriortoFall[What was the resident doing prior to fall?],1,1,TRUE)=0,"",(_xlfn._xlws.SORT(PriortoFall[What was the resident doing prior to fall?],1,1,TRUE)))</f>
        <v>Ambulating with assistive device (walker, cane, wheelchair)</v>
      </c>
      <c r="C67" s="40"/>
      <c r="D67" s="40"/>
      <c r="E67" s="40"/>
      <c r="F67" s="41"/>
      <c r="G67" s="42">
        <f>IF($B67="",NA(),COUNTIFS(Feb[What was resident doing prior to fall?],$B67))</f>
        <v>0</v>
      </c>
      <c r="H67" s="43"/>
    </row>
    <row r="68" spans="1:8" x14ac:dyDescent="0.25">
      <c r="A68" s="38"/>
      <c r="B68" s="44" t="str">
        <v>Ambulating with staff assistance</v>
      </c>
      <c r="C68" s="45"/>
      <c r="D68" s="45"/>
      <c r="E68" s="45"/>
      <c r="F68" s="46"/>
      <c r="G68" s="42">
        <f>IF($B68="",NA(),COUNTIFS(Feb[What was resident doing prior to fall?],$B68))</f>
        <v>0</v>
      </c>
    </row>
    <row r="69" spans="1:8" x14ac:dyDescent="0.25">
      <c r="A69" s="38"/>
      <c r="B69" s="39" t="str">
        <v>Ambulating without assistance or assistive device</v>
      </c>
      <c r="C69" s="40"/>
      <c r="D69" s="40"/>
      <c r="E69" s="40"/>
      <c r="F69" s="41"/>
      <c r="G69" s="42">
        <f>IF($B69="",NA(),COUNTIFS(Feb[What was resident doing prior to fall?],$B69))</f>
        <v>0</v>
      </c>
    </row>
    <row r="70" spans="1:8" x14ac:dyDescent="0.25">
      <c r="A70" s="38"/>
      <c r="B70" s="44" t="str">
        <v>Changing position (e.g., in bed, chair)</v>
      </c>
      <c r="C70" s="45"/>
      <c r="D70" s="45"/>
      <c r="E70" s="45"/>
      <c r="F70" s="46"/>
      <c r="G70" s="42">
        <f>IF($B70="",NA(),COUNTIFS(Feb[What was resident doing prior to fall?],$B70))</f>
        <v>0</v>
      </c>
    </row>
    <row r="71" spans="1:8" x14ac:dyDescent="0.25">
      <c r="A71" s="38"/>
      <c r="B71" s="44" t="str">
        <v>Dressing or undressing</v>
      </c>
      <c r="C71" s="45"/>
      <c r="D71" s="45"/>
      <c r="E71" s="45"/>
      <c r="F71" s="46"/>
      <c r="G71" s="42">
        <f>IF($B71="",NA(),COUNTIFS(Feb[What was resident doing prior to fall?],$B71))</f>
        <v>0</v>
      </c>
    </row>
    <row r="72" spans="1:8" x14ac:dyDescent="0.25">
      <c r="A72" s="38"/>
      <c r="B72" s="44" t="str">
        <v>Other activity</v>
      </c>
      <c r="C72" s="45"/>
      <c r="D72" s="45"/>
      <c r="E72" s="45"/>
      <c r="F72" s="46"/>
      <c r="G72" s="42">
        <f>IF($B72="",NA(),COUNTIFS(Feb[What was resident doing prior to fall?],$B72))</f>
        <v>0</v>
      </c>
    </row>
    <row r="73" spans="1:8" x14ac:dyDescent="0.25">
      <c r="A73" s="38"/>
      <c r="B73" s="44" t="str">
        <v>Reaching for an item</v>
      </c>
      <c r="C73" s="45"/>
      <c r="D73" s="45"/>
      <c r="E73" s="45"/>
      <c r="F73" s="46"/>
      <c r="G73" s="42">
        <f>IF($B73="",NA(),COUNTIFS(Feb[What was resident doing prior to fall?],$B73))</f>
        <v>0</v>
      </c>
    </row>
    <row r="74" spans="1:8" x14ac:dyDescent="0.25">
      <c r="A74" s="38"/>
      <c r="B74" s="44" t="str">
        <v>Showering or bathing</v>
      </c>
      <c r="C74" s="45"/>
      <c r="D74" s="45"/>
      <c r="E74" s="45"/>
      <c r="F74" s="46"/>
      <c r="G74" s="42">
        <f>IF($B74="",NA(),COUNTIFS(Feb[What was resident doing prior to fall?],$B74))</f>
        <v>0</v>
      </c>
    </row>
    <row r="75" spans="1:8" x14ac:dyDescent="0.25">
      <c r="A75" s="38"/>
      <c r="B75" s="44" t="str">
        <v>Toileting</v>
      </c>
      <c r="C75" s="45"/>
      <c r="D75" s="45"/>
      <c r="E75" s="45"/>
      <c r="F75" s="46"/>
      <c r="G75" s="42">
        <f>IF($B75="",NA(),COUNTIFS(Feb[What was resident doing prior to fall?],$B75))</f>
        <v>0</v>
      </c>
    </row>
    <row r="76" spans="1:8" x14ac:dyDescent="0.25">
      <c r="A76" s="38"/>
      <c r="B76" s="44" t="str">
        <v>Transferring to or from bed, chair, wheelchair, etc.</v>
      </c>
      <c r="C76" s="45"/>
      <c r="D76" s="45"/>
      <c r="E76" s="45"/>
      <c r="F76" s="46"/>
      <c r="G76" s="42">
        <f>IF($B76="",NA(),COUNTIFS(Feb[What was resident doing prior to fall?],$B76))</f>
        <v>0</v>
      </c>
    </row>
    <row r="77" spans="1:8" x14ac:dyDescent="0.25">
      <c r="A77" s="38"/>
      <c r="B77" s="39" t="str">
        <v>Unknown</v>
      </c>
      <c r="C77" s="40"/>
      <c r="D77" s="40"/>
      <c r="E77" s="40"/>
      <c r="F77" s="41"/>
      <c r="G77" s="42">
        <f>IF($B77="",NA(),COUNTIFS(Feb[What was resident doing prior to fall?],$B77))</f>
        <v>0</v>
      </c>
    </row>
    <row r="78" spans="1:8" x14ac:dyDescent="0.25">
      <c r="A78" s="38"/>
      <c r="B78" s="44" t="str">
        <v/>
      </c>
      <c r="C78" s="45"/>
      <c r="D78" s="45"/>
      <c r="E78" s="45"/>
      <c r="F78" s="46"/>
      <c r="G78" s="42" t="e">
        <f>IF($B78="",NA(),COUNTIFS(Feb[What was resident doing prior to fall?],$B78))</f>
        <v>#N/A</v>
      </c>
    </row>
    <row r="79" spans="1:8" x14ac:dyDescent="0.25">
      <c r="A79" s="38"/>
      <c r="B79" s="39" t="str">
        <v/>
      </c>
      <c r="C79" s="40"/>
      <c r="D79" s="40"/>
      <c r="E79" s="40"/>
      <c r="F79" s="41"/>
      <c r="G79" s="42" t="e">
        <f>IF($B79="",NA(),COUNTIFS(Feb[What was resident doing prior to fall?],$B79))</f>
        <v>#N/A</v>
      </c>
    </row>
    <row r="80" spans="1:8" x14ac:dyDescent="0.25">
      <c r="A80" s="38"/>
      <c r="B80" s="44" t="str">
        <v/>
      </c>
      <c r="C80" s="45"/>
      <c r="D80" s="45"/>
      <c r="E80" s="45"/>
      <c r="F80" s="46"/>
      <c r="G80" s="42" t="e">
        <f>IF($B80="",NA(),COUNTIFS(Feb[What was resident doing prior to fall?],$B80))</f>
        <v>#N/A</v>
      </c>
    </row>
    <row r="81" spans="1:7" x14ac:dyDescent="0.25">
      <c r="A81" s="38"/>
      <c r="B81" s="39" t="str">
        <v/>
      </c>
      <c r="C81" s="40"/>
      <c r="D81" s="40"/>
      <c r="E81" s="40"/>
      <c r="F81" s="41"/>
      <c r="G81" s="42" t="e">
        <f>IF($B81="",NA(),COUNTIFS(Feb[What was resident doing prior to fall?],$B81))</f>
        <v>#N/A</v>
      </c>
    </row>
    <row r="82" spans="1:7" x14ac:dyDescent="0.25">
      <c r="A82" s="38"/>
      <c r="B82" s="44" t="str">
        <v/>
      </c>
      <c r="C82" s="45"/>
      <c r="D82" s="45"/>
      <c r="E82" s="45"/>
      <c r="F82" s="46"/>
      <c r="G82" s="42" t="e">
        <f>IF($B82="",NA(),COUNTIFS(Feb[What was resident doing prior to fall?],$B82))</f>
        <v>#N/A</v>
      </c>
    </row>
    <row r="83" spans="1:7" x14ac:dyDescent="0.25">
      <c r="A83" s="38"/>
      <c r="B83" s="39" t="str">
        <v/>
      </c>
      <c r="C83" s="40"/>
      <c r="D83" s="40"/>
      <c r="E83" s="40"/>
      <c r="F83" s="41"/>
      <c r="G83" s="42" t="e">
        <f>IF($B83="",NA(),COUNTIFS(Feb[What was resident doing prior to fall?],$B83))</f>
        <v>#N/A</v>
      </c>
    </row>
    <row r="84" spans="1:7" x14ac:dyDescent="0.25">
      <c r="A84" s="38"/>
      <c r="B84" s="44" t="str">
        <v/>
      </c>
      <c r="C84" s="45"/>
      <c r="D84" s="45"/>
      <c r="E84" s="45"/>
      <c r="F84" s="46"/>
      <c r="G84" s="42" t="e">
        <f>IF($B84="",NA(),COUNTIFS(Feb[What was resident doing prior to fall?],$B84))</f>
        <v>#N/A</v>
      </c>
    </row>
    <row r="85" spans="1:7" x14ac:dyDescent="0.25">
      <c r="A85" s="38"/>
      <c r="B85" s="44" t="str">
        <v/>
      </c>
      <c r="C85" s="45"/>
      <c r="D85" s="45"/>
      <c r="E85" s="45"/>
      <c r="F85" s="46"/>
      <c r="G85" s="42" t="e">
        <f>IF($B85="",NA(),COUNTIFS(Feb[What was resident doing prior to fall?],$B85))</f>
        <v>#N/A</v>
      </c>
    </row>
    <row r="86" spans="1:7" x14ac:dyDescent="0.25">
      <c r="A86" s="38"/>
      <c r="B86" s="39" t="str">
        <v/>
      </c>
      <c r="C86" s="40"/>
      <c r="D86" s="40"/>
      <c r="E86" s="40"/>
      <c r="F86" s="41"/>
      <c r="G86" s="42" t="e">
        <f>IF($B86="",NA(),COUNTIFS(Feb[What was resident doing prior to fall?],$B86))</f>
        <v>#N/A</v>
      </c>
    </row>
    <row r="87" spans="1:7" x14ac:dyDescent="0.25">
      <c r="A87" s="38"/>
      <c r="B87" s="44" t="str">
        <v/>
      </c>
      <c r="C87" s="45"/>
      <c r="D87" s="45"/>
      <c r="E87" s="45"/>
      <c r="F87" s="46"/>
      <c r="G87" s="42" t="e">
        <f>IF($B87="",NA(),COUNTIFS(Feb[What was resident doing prior to fall?],$B87))</f>
        <v>#N/A</v>
      </c>
    </row>
    <row r="88" spans="1:7" x14ac:dyDescent="0.25">
      <c r="A88" s="38"/>
      <c r="B88" s="39" t="str">
        <v/>
      </c>
      <c r="C88" s="40"/>
      <c r="D88" s="40"/>
      <c r="E88" s="40"/>
      <c r="F88" s="41"/>
      <c r="G88" s="42" t="e">
        <f>IF($B88="",NA(),COUNTIFS(Feb[What was resident doing prior to fall?],$B88))</f>
        <v>#N/A</v>
      </c>
    </row>
    <row r="89" spans="1:7" x14ac:dyDescent="0.25">
      <c r="A89" s="38"/>
      <c r="B89" s="44" t="str">
        <v/>
      </c>
      <c r="C89" s="45"/>
      <c r="D89" s="45"/>
      <c r="E89" s="45"/>
      <c r="F89" s="46"/>
      <c r="G89" s="42" t="e">
        <f>IF($B89="",NA(),COUNTIFS(Feb[What was resident doing prior to fall?],$B89))</f>
        <v>#N/A</v>
      </c>
    </row>
    <row r="90" spans="1:7" ht="15.75" thickBot="1" x14ac:dyDescent="0.3">
      <c r="A90" s="38"/>
      <c r="B90" s="47" t="str">
        <v/>
      </c>
      <c r="C90" s="47"/>
      <c r="D90" s="47"/>
      <c r="E90" s="47"/>
      <c r="F90" s="48"/>
      <c r="G90" s="42" t="e">
        <f>IF($B90="",NA(),COUNTIFS(Feb[What was resident doing prior to fall?],$B90))</f>
        <v>#N/A</v>
      </c>
    </row>
    <row r="91" spans="1:7" ht="15.6" customHeight="1" thickBot="1" x14ac:dyDescent="0.3">
      <c r="B91" s="285" t="s">
        <v>35</v>
      </c>
      <c r="C91" s="286"/>
      <c r="D91" s="286"/>
      <c r="E91" s="286"/>
      <c r="F91" s="287"/>
      <c r="G91" s="37">
        <f>_xlfn.AGGREGATE(9,6,G67:G90)</f>
        <v>0</v>
      </c>
    </row>
    <row r="92" spans="1:7" ht="15.75" thickBot="1" x14ac:dyDescent="0.3"/>
    <row r="93" spans="1:7" ht="22.35" customHeight="1" thickBot="1" x14ac:dyDescent="0.3">
      <c r="B93" s="293" t="s">
        <v>173</v>
      </c>
      <c r="C93" s="294"/>
      <c r="D93" s="295"/>
    </row>
    <row r="94" spans="1:7" x14ac:dyDescent="0.25">
      <c r="A94" s="38"/>
      <c r="B94" s="298" t="s">
        <v>1</v>
      </c>
      <c r="C94" s="299"/>
      <c r="D94" s="49" t="s">
        <v>35</v>
      </c>
    </row>
    <row r="95" spans="1:7" x14ac:dyDescent="0.25">
      <c r="A95" s="38"/>
      <c r="B95" s="50" t="str" cm="1">
        <f t="array" ref="B95:B105">IF(_xlfn._xlws.SORT(Location[Location],1,1,TRUE)=0,"",(_xlfn._xlws.SORT(Location[Location],1,1,TRUE)))</f>
        <v>Activity Room</v>
      </c>
      <c r="C95" s="51"/>
      <c r="D95" s="52">
        <f>IF($B95="",NA(),COUNTIFS(Feb[Location],$B95))</f>
        <v>0</v>
      </c>
    </row>
    <row r="96" spans="1:7" x14ac:dyDescent="0.25">
      <c r="A96" s="38"/>
      <c r="B96" s="50" t="str">
        <v>Bedroom</v>
      </c>
      <c r="C96" s="51"/>
      <c r="D96" s="52">
        <f>IF($B96="",NA(),COUNTIFS(Feb[Location],$B96))</f>
        <v>0</v>
      </c>
    </row>
    <row r="97" spans="1:4" x14ac:dyDescent="0.25">
      <c r="A97" s="38"/>
      <c r="B97" s="50" t="str">
        <v>Bathroom</v>
      </c>
      <c r="C97" s="51"/>
      <c r="D97" s="52">
        <f>IF($B97="",NA(),COUNTIFS(Feb[Location],$B97))</f>
        <v>0</v>
      </c>
    </row>
    <row r="98" spans="1:4" x14ac:dyDescent="0.25">
      <c r="A98" s="38"/>
      <c r="B98" s="50" t="str">
        <v>Hallway</v>
      </c>
      <c r="C98" s="51"/>
      <c r="D98" s="52">
        <f>IF($B98="",NA(),COUNTIFS(Feb[Location],$B98))</f>
        <v>0</v>
      </c>
    </row>
    <row r="99" spans="1:4" x14ac:dyDescent="0.25">
      <c r="A99" s="38"/>
      <c r="B99" s="50" t="str">
        <v>Offsite</v>
      </c>
      <c r="C99" s="51"/>
      <c r="D99" s="52">
        <f>IF($B99="",NA(),COUNTIFS(Feb[Location],$B99))</f>
        <v>0</v>
      </c>
    </row>
    <row r="100" spans="1:4" x14ac:dyDescent="0.25">
      <c r="A100" s="38"/>
      <c r="B100" s="53" t="str">
        <v>Shower Room</v>
      </c>
      <c r="C100" s="54"/>
      <c r="D100" s="52">
        <f>IF($B100="",NA(),COUNTIFS(Feb[Location],$B100))</f>
        <v>0</v>
      </c>
    </row>
    <row r="101" spans="1:4" x14ac:dyDescent="0.25">
      <c r="A101" s="38"/>
      <c r="B101" s="55" t="str">
        <v>Dining Room</v>
      </c>
      <c r="C101" s="56"/>
      <c r="D101" s="52">
        <f>IF($B101="",NA(),COUNTIFS(Feb[Location],$B101))</f>
        <v>0</v>
      </c>
    </row>
    <row r="102" spans="1:4" x14ac:dyDescent="0.25">
      <c r="A102" s="38"/>
      <c r="B102" s="57" t="str">
        <v/>
      </c>
      <c r="C102" s="58"/>
      <c r="D102" s="52" t="e">
        <f>IF($B102="",NA(),COUNTIFS(Feb[Location],$B102))</f>
        <v>#N/A</v>
      </c>
    </row>
    <row r="103" spans="1:4" x14ac:dyDescent="0.25">
      <c r="A103" s="38"/>
      <c r="B103" s="59" t="str">
        <v/>
      </c>
      <c r="C103" s="51"/>
      <c r="D103" s="52" t="e">
        <f>IF($B103="",NA(),COUNTIFS(Feb[Location],$B103))</f>
        <v>#N/A</v>
      </c>
    </row>
    <row r="104" spans="1:4" x14ac:dyDescent="0.25">
      <c r="A104" s="38"/>
      <c r="B104" s="53" t="str">
        <v/>
      </c>
      <c r="C104" s="60"/>
      <c r="D104" s="52" t="e">
        <f>IF($B104="",NA(),COUNTIFS(Feb[Location],$B104))</f>
        <v>#N/A</v>
      </c>
    </row>
    <row r="105" spans="1:4" ht="15.75" thickBot="1" x14ac:dyDescent="0.3">
      <c r="A105" s="38"/>
      <c r="B105" s="59" t="str">
        <v/>
      </c>
      <c r="C105" s="61"/>
      <c r="D105" s="52" t="e">
        <f>IF($B105="",NA(),COUNTIFS(Feb[Location],$B105))</f>
        <v>#N/A</v>
      </c>
    </row>
    <row r="106" spans="1:4" ht="15.75" thickBot="1" x14ac:dyDescent="0.3">
      <c r="B106" s="296" t="s">
        <v>16</v>
      </c>
      <c r="C106" s="297"/>
      <c r="D106" s="37">
        <f>_xlfn.AGGREGATE(9,6,D95:D105)</f>
        <v>0</v>
      </c>
    </row>
    <row r="107" spans="1:4" ht="15.75" thickBot="1" x14ac:dyDescent="0.3"/>
    <row r="108" spans="1:4" ht="21.4" customHeight="1" thickBot="1" x14ac:dyDescent="0.3">
      <c r="B108" s="280" t="str">
        <f>"Falls by Nursing Station "</f>
        <v xml:space="preserve">Falls by Nursing Station </v>
      </c>
      <c r="C108" s="281"/>
      <c r="D108" s="282"/>
    </row>
    <row r="109" spans="1:4" ht="15.75" x14ac:dyDescent="0.25">
      <c r="B109" s="291" t="s">
        <v>2</v>
      </c>
      <c r="C109" s="291"/>
      <c r="D109" s="28" t="s">
        <v>35</v>
      </c>
    </row>
    <row r="110" spans="1:4" x14ac:dyDescent="0.25">
      <c r="B110" s="62" cm="1">
        <f t="array" ref="B110:B120">IF(_xlfn._xlws.SORT(NS[Nurses Stations],1,1,TRUE)=0,"",(_xlfn._xlws.SORT(NS[Nurses Stations],1,1,TRUE)))</f>
        <v>1</v>
      </c>
      <c r="C110" s="63"/>
      <c r="D110" s="31">
        <f>IF($B110="",NA(),COUNTIFS(Feb[Station],$B110))</f>
        <v>0</v>
      </c>
    </row>
    <row r="111" spans="1:4" x14ac:dyDescent="0.25">
      <c r="B111" s="62">
        <v>2</v>
      </c>
      <c r="C111" s="63"/>
      <c r="D111" s="31">
        <f>IF($B111="",NA(),COUNTIFS(Feb[Station],$B111))</f>
        <v>0</v>
      </c>
    </row>
    <row r="112" spans="1:4" x14ac:dyDescent="0.25">
      <c r="B112" s="62">
        <v>3</v>
      </c>
      <c r="C112" s="63"/>
      <c r="D112" s="31">
        <f>IF($B112="",NA(),COUNTIFS(Feb[Station],$B112))</f>
        <v>0</v>
      </c>
    </row>
    <row r="113" spans="2:4" x14ac:dyDescent="0.25">
      <c r="B113" s="62">
        <v>4</v>
      </c>
      <c r="C113" s="63"/>
      <c r="D113" s="31">
        <f>IF($B113="",NA(),COUNTIFS(Feb[Station],$B113))</f>
        <v>0</v>
      </c>
    </row>
    <row r="114" spans="2:4" x14ac:dyDescent="0.25">
      <c r="B114" s="62">
        <v>5</v>
      </c>
      <c r="C114" s="63"/>
      <c r="D114" s="31">
        <f>IF($B114="",NA(),COUNTIFS(Feb[Station],$B114))</f>
        <v>0</v>
      </c>
    </row>
    <row r="115" spans="2:4" x14ac:dyDescent="0.25">
      <c r="B115" s="62" t="str">
        <v/>
      </c>
      <c r="C115" s="63"/>
      <c r="D115" s="31" t="e">
        <f>IF($B115="",NA(),COUNTIFS(Feb[Station],$B115))</f>
        <v>#N/A</v>
      </c>
    </row>
    <row r="116" spans="2:4" x14ac:dyDescent="0.25">
      <c r="B116" s="62" t="str">
        <v/>
      </c>
      <c r="C116" s="63"/>
      <c r="D116" s="31" t="e">
        <f>IF($B116="",NA(),COUNTIFS(Feb[Station],$B116))</f>
        <v>#N/A</v>
      </c>
    </row>
    <row r="117" spans="2:4" x14ac:dyDescent="0.25">
      <c r="B117" s="62" t="str">
        <v/>
      </c>
      <c r="C117" s="63"/>
      <c r="D117" s="31" t="e">
        <f>IF($B117="",NA(),COUNTIFS(Feb[Station],$B117))</f>
        <v>#N/A</v>
      </c>
    </row>
    <row r="118" spans="2:4" x14ac:dyDescent="0.25">
      <c r="B118" s="62" t="str">
        <v/>
      </c>
      <c r="C118" s="63"/>
      <c r="D118" s="31" t="e">
        <f>IF($B118="",NA(),COUNTIFS(Feb[Station],$B118))</f>
        <v>#N/A</v>
      </c>
    </row>
    <row r="119" spans="2:4" x14ac:dyDescent="0.25">
      <c r="B119" s="62" t="str">
        <v/>
      </c>
      <c r="C119" s="63"/>
      <c r="D119" s="31" t="e">
        <f>IF($B119="",NA(),COUNTIFS(Feb[Station],$B119))</f>
        <v>#N/A</v>
      </c>
    </row>
    <row r="120" spans="2:4" ht="15.75" thickBot="1" x14ac:dyDescent="0.3">
      <c r="B120" s="64" t="str">
        <v/>
      </c>
      <c r="C120" s="63"/>
      <c r="D120" s="31" t="e">
        <f>IF($B120="",NA(),COUNTIFS(Feb[Station],$B120))</f>
        <v>#N/A</v>
      </c>
    </row>
    <row r="121" spans="2:4" ht="15.6" customHeight="1" thickBot="1" x14ac:dyDescent="0.3">
      <c r="B121" s="285" t="s">
        <v>16</v>
      </c>
      <c r="C121" s="286"/>
      <c r="D121" s="37">
        <f>_xlfn.AGGREGATE(9,6,D110:D120)</f>
        <v>0</v>
      </c>
    </row>
    <row r="122" spans="2:4" ht="15.6" customHeight="1" thickBot="1" x14ac:dyDescent="0.3">
      <c r="B122" s="65"/>
      <c r="C122" s="66"/>
      <c r="D122" s="67"/>
    </row>
    <row r="123" spans="2:4" ht="21.95" customHeight="1" thickBot="1" x14ac:dyDescent="0.3">
      <c r="B123" s="280" t="str">
        <f>"Falls by Day of the Week "</f>
        <v xml:space="preserve">Falls by Day of the Week </v>
      </c>
      <c r="C123" s="281"/>
      <c r="D123" s="282"/>
    </row>
    <row r="124" spans="2:4" ht="15.75" x14ac:dyDescent="0.25">
      <c r="B124" s="291" t="s">
        <v>3</v>
      </c>
      <c r="C124" s="291"/>
      <c r="D124" s="28" t="s">
        <v>35</v>
      </c>
    </row>
    <row r="125" spans="2:4" x14ac:dyDescent="0.25">
      <c r="B125" s="292" t="s">
        <v>46</v>
      </c>
      <c r="C125" s="292"/>
      <c r="D125" s="31">
        <f>COUNTIFS(Feb[Day],$B125)</f>
        <v>0</v>
      </c>
    </row>
    <row r="126" spans="2:4" x14ac:dyDescent="0.25">
      <c r="B126" s="292" t="s">
        <v>47</v>
      </c>
      <c r="C126" s="292"/>
      <c r="D126" s="31">
        <f>COUNTIFS(Feb[Day],$B126)</f>
        <v>0</v>
      </c>
    </row>
    <row r="127" spans="2:4" x14ac:dyDescent="0.25">
      <c r="B127" s="292" t="s">
        <v>52</v>
      </c>
      <c r="C127" s="292"/>
      <c r="D127" s="31">
        <f>COUNTIFS(Feb[Day],$B127)</f>
        <v>0</v>
      </c>
    </row>
    <row r="128" spans="2:4" x14ac:dyDescent="0.25">
      <c r="B128" s="292" t="s">
        <v>48</v>
      </c>
      <c r="C128" s="292"/>
      <c r="D128" s="31">
        <f>COUNTIFS(Feb[Day],$B128)</f>
        <v>0</v>
      </c>
    </row>
    <row r="129" spans="2:4" x14ac:dyDescent="0.25">
      <c r="B129" s="292" t="s">
        <v>51</v>
      </c>
      <c r="C129" s="292"/>
      <c r="D129" s="31">
        <f>COUNTIFS(Feb[Day],$B129)</f>
        <v>0</v>
      </c>
    </row>
    <row r="130" spans="2:4" x14ac:dyDescent="0.25">
      <c r="B130" s="292" t="s">
        <v>49</v>
      </c>
      <c r="C130" s="292"/>
      <c r="D130" s="31">
        <f>COUNTIFS(Feb[Day],$B130)</f>
        <v>0</v>
      </c>
    </row>
    <row r="131" spans="2:4" ht="15.75" thickBot="1" x14ac:dyDescent="0.3">
      <c r="B131" s="292" t="s">
        <v>50</v>
      </c>
      <c r="C131" s="292"/>
      <c r="D131" s="34">
        <f>COUNTIFS(Feb[Day],$B131)</f>
        <v>0</v>
      </c>
    </row>
    <row r="132" spans="2:4" ht="15.6" customHeight="1" thickBot="1" x14ac:dyDescent="0.3">
      <c r="B132" s="285" t="s">
        <v>16</v>
      </c>
      <c r="C132" s="286"/>
      <c r="D132" s="35">
        <f>SUM(D125:D131)</f>
        <v>0</v>
      </c>
    </row>
    <row r="133" spans="2:4" ht="15.75" thickBot="1" x14ac:dyDescent="0.3"/>
    <row r="134" spans="2:4" ht="21.4" customHeight="1" thickBot="1" x14ac:dyDescent="0.3">
      <c r="B134" s="280" t="str">
        <f>"Falls by Shift"</f>
        <v>Falls by Shift</v>
      </c>
      <c r="C134" s="281"/>
      <c r="D134" s="282"/>
    </row>
    <row r="135" spans="2:4" ht="15.75" x14ac:dyDescent="0.25">
      <c r="B135" s="291" t="s">
        <v>34</v>
      </c>
      <c r="C135" s="291"/>
      <c r="D135" s="28" t="s">
        <v>35</v>
      </c>
    </row>
    <row r="136" spans="2:4" x14ac:dyDescent="0.25">
      <c r="B136" s="29" t="str" cm="1">
        <f t="array" ref="B136:B140">IF(_xlfn._xlws.SORT('Data Validation'!P3:P7,1,1,TRUE)=0,"",(_xlfn._xlws.SORT('Data Validation'!P3:P7,1,1,TRUE)))</f>
        <v>11-7</v>
      </c>
      <c r="C136" s="58"/>
      <c r="D136" s="31">
        <f>IF($B136="",NA(),COUNTIFS(Feb[Shift],$B136))</f>
        <v>0</v>
      </c>
    </row>
    <row r="137" spans="2:4" x14ac:dyDescent="0.25">
      <c r="B137" s="29" t="str">
        <v>11–7</v>
      </c>
      <c r="C137" s="58"/>
      <c r="D137" s="31">
        <f>IF($B137="",NA(),COUNTIFS(Feb[Shift],$B137))</f>
        <v>0</v>
      </c>
    </row>
    <row r="138" spans="2:4" x14ac:dyDescent="0.25">
      <c r="B138" s="29" t="str">
        <v>7–3</v>
      </c>
      <c r="C138" s="58"/>
      <c r="D138" s="31">
        <f>IF($B138="",NA(),COUNTIFS(Feb[Shift],$B138))</f>
        <v>0</v>
      </c>
    </row>
    <row r="139" spans="2:4" x14ac:dyDescent="0.25">
      <c r="B139" s="29" t="str">
        <v>3–11</v>
      </c>
      <c r="C139" s="58"/>
      <c r="D139" s="31">
        <f>IF($B139="",NA(),COUNTIFS(Feb[Shift],$B139))</f>
        <v>0</v>
      </c>
    </row>
    <row r="140" spans="2:4" ht="15.75" thickBot="1" x14ac:dyDescent="0.3">
      <c r="B140" s="29" t="str">
        <v/>
      </c>
      <c r="C140" s="68"/>
      <c r="D140" s="34" t="e">
        <f>IF($B140="",NA(),COUNTIFS(Feb[Shift],$B140))</f>
        <v>#N/A</v>
      </c>
    </row>
    <row r="141" spans="2:4" ht="15.75" thickBot="1" x14ac:dyDescent="0.3">
      <c r="B141" s="285" t="s">
        <v>16</v>
      </c>
      <c r="C141" s="286"/>
      <c r="D141" s="35">
        <f>_xlfn.AGGREGATE(9,6,D136:D140)</f>
        <v>0</v>
      </c>
    </row>
    <row r="142" spans="2:4" ht="15.75" thickBot="1" x14ac:dyDescent="0.3"/>
    <row r="143" spans="2:4" ht="21.4" customHeight="1" thickBot="1" x14ac:dyDescent="0.3">
      <c r="B143" s="280" t="str">
        <f>"Falls by Hour "</f>
        <v xml:space="preserve">Falls by Hour </v>
      </c>
      <c r="C143" s="281"/>
      <c r="D143" s="282"/>
    </row>
    <row r="144" spans="2:4" ht="15.75" x14ac:dyDescent="0.25">
      <c r="B144" s="291" t="s">
        <v>33</v>
      </c>
      <c r="C144" s="291"/>
      <c r="D144" s="28" t="s">
        <v>35</v>
      </c>
    </row>
    <row r="145" spans="2:4" x14ac:dyDescent="0.25">
      <c r="B145" s="292" t="s">
        <v>115</v>
      </c>
      <c r="C145" s="292"/>
      <c r="D145" s="31">
        <f>COUNTIFS(Feb[Hour],$B145)</f>
        <v>0</v>
      </c>
    </row>
    <row r="146" spans="2:4" x14ac:dyDescent="0.25">
      <c r="B146" s="292" t="s">
        <v>116</v>
      </c>
      <c r="C146" s="292"/>
      <c r="D146" s="31">
        <f>COUNTIFS(Feb[Hour],$B146)</f>
        <v>0</v>
      </c>
    </row>
    <row r="147" spans="2:4" x14ac:dyDescent="0.25">
      <c r="B147" s="292" t="s">
        <v>117</v>
      </c>
      <c r="C147" s="292"/>
      <c r="D147" s="31">
        <f>COUNTIFS(Feb[Hour],$B147)</f>
        <v>0</v>
      </c>
    </row>
    <row r="148" spans="2:4" x14ac:dyDescent="0.25">
      <c r="B148" s="292" t="s">
        <v>118</v>
      </c>
      <c r="C148" s="292"/>
      <c r="D148" s="31">
        <f>COUNTIFS(Feb[Hour],$B148)</f>
        <v>0</v>
      </c>
    </row>
    <row r="149" spans="2:4" x14ac:dyDescent="0.25">
      <c r="B149" s="292" t="s">
        <v>119</v>
      </c>
      <c r="C149" s="292"/>
      <c r="D149" s="31">
        <f>COUNTIFS(Feb[Hour],$B149)</f>
        <v>0</v>
      </c>
    </row>
    <row r="150" spans="2:4" x14ac:dyDescent="0.25">
      <c r="B150" s="292" t="s">
        <v>120</v>
      </c>
      <c r="C150" s="292"/>
      <c r="D150" s="31">
        <f>COUNTIFS(Feb[Hour],$B150)</f>
        <v>0</v>
      </c>
    </row>
    <row r="151" spans="2:4" x14ac:dyDescent="0.25">
      <c r="B151" s="292" t="s">
        <v>121</v>
      </c>
      <c r="C151" s="292"/>
      <c r="D151" s="31">
        <f>COUNTIFS(Feb[Hour],$B151)</f>
        <v>0</v>
      </c>
    </row>
    <row r="152" spans="2:4" x14ac:dyDescent="0.25">
      <c r="B152" s="292" t="s">
        <v>122</v>
      </c>
      <c r="C152" s="292"/>
      <c r="D152" s="31">
        <f>COUNTIFS(Feb[Hour],$B152)</f>
        <v>0</v>
      </c>
    </row>
    <row r="153" spans="2:4" x14ac:dyDescent="0.25">
      <c r="B153" s="292" t="s">
        <v>123</v>
      </c>
      <c r="C153" s="292"/>
      <c r="D153" s="31">
        <f>COUNTIFS(Feb[Hour],$B153)</f>
        <v>0</v>
      </c>
    </row>
    <row r="154" spans="2:4" x14ac:dyDescent="0.25">
      <c r="B154" s="292" t="s">
        <v>124</v>
      </c>
      <c r="C154" s="292"/>
      <c r="D154" s="31">
        <f>COUNTIFS(Feb[Hour],$B154)</f>
        <v>0</v>
      </c>
    </row>
    <row r="155" spans="2:4" x14ac:dyDescent="0.25">
      <c r="B155" s="292" t="s">
        <v>125</v>
      </c>
      <c r="C155" s="292"/>
      <c r="D155" s="31">
        <f>COUNTIFS(Feb[Hour],$B155)</f>
        <v>0</v>
      </c>
    </row>
    <row r="156" spans="2:4" x14ac:dyDescent="0.25">
      <c r="B156" s="292" t="s">
        <v>126</v>
      </c>
      <c r="C156" s="292"/>
      <c r="D156" s="31">
        <f>COUNTIFS(Feb[Hour],$B156)</f>
        <v>0</v>
      </c>
    </row>
    <row r="157" spans="2:4" x14ac:dyDescent="0.25">
      <c r="B157" s="292" t="s">
        <v>127</v>
      </c>
      <c r="C157" s="292"/>
      <c r="D157" s="31">
        <f>COUNTIFS(Feb[Hour],$B157)</f>
        <v>0</v>
      </c>
    </row>
    <row r="158" spans="2:4" x14ac:dyDescent="0.25">
      <c r="B158" s="292" t="s">
        <v>128</v>
      </c>
      <c r="C158" s="292"/>
      <c r="D158" s="31">
        <f>COUNTIFS(Feb[Hour],$B158)</f>
        <v>0</v>
      </c>
    </row>
    <row r="159" spans="2:4" x14ac:dyDescent="0.25">
      <c r="B159" s="292" t="s">
        <v>129</v>
      </c>
      <c r="C159" s="292"/>
      <c r="D159" s="31">
        <f>COUNTIFS(Feb[Hour],$B159)</f>
        <v>0</v>
      </c>
    </row>
    <row r="160" spans="2:4" x14ac:dyDescent="0.25">
      <c r="B160" s="292" t="s">
        <v>130</v>
      </c>
      <c r="C160" s="292"/>
      <c r="D160" s="31">
        <f>COUNTIFS(Feb[Hour],$B160)</f>
        <v>0</v>
      </c>
    </row>
    <row r="161" spans="1:8" x14ac:dyDescent="0.25">
      <c r="B161" s="292" t="s">
        <v>131</v>
      </c>
      <c r="C161" s="292"/>
      <c r="D161" s="31">
        <f>COUNTIFS(Feb[Hour],$B161)</f>
        <v>0</v>
      </c>
    </row>
    <row r="162" spans="1:8" x14ac:dyDescent="0.25">
      <c r="B162" s="292" t="s">
        <v>132</v>
      </c>
      <c r="C162" s="292"/>
      <c r="D162" s="31">
        <f>COUNTIFS(Feb[Hour],$B162)</f>
        <v>0</v>
      </c>
    </row>
    <row r="163" spans="1:8" x14ac:dyDescent="0.25">
      <c r="B163" s="292" t="s">
        <v>133</v>
      </c>
      <c r="C163" s="292"/>
      <c r="D163" s="31">
        <f>COUNTIFS(Feb[Hour],$B163)</f>
        <v>0</v>
      </c>
    </row>
    <row r="164" spans="1:8" x14ac:dyDescent="0.25">
      <c r="B164" s="292" t="s">
        <v>134</v>
      </c>
      <c r="C164" s="292"/>
      <c r="D164" s="31">
        <f>COUNTIFS(Feb[Hour],$B164)</f>
        <v>0</v>
      </c>
    </row>
    <row r="165" spans="1:8" x14ac:dyDescent="0.25">
      <c r="B165" s="292" t="s">
        <v>135</v>
      </c>
      <c r="C165" s="292"/>
      <c r="D165" s="31">
        <f>COUNTIFS(Feb[Hour],$B165)</f>
        <v>0</v>
      </c>
    </row>
    <row r="166" spans="1:8" x14ac:dyDescent="0.25">
      <c r="B166" s="292" t="s">
        <v>136</v>
      </c>
      <c r="C166" s="292"/>
      <c r="D166" s="31">
        <f>COUNTIFS(Feb[Hour],$B166)</f>
        <v>0</v>
      </c>
    </row>
    <row r="167" spans="1:8" x14ac:dyDescent="0.25">
      <c r="B167" s="292" t="s">
        <v>137</v>
      </c>
      <c r="C167" s="292"/>
      <c r="D167" s="31">
        <f>COUNTIFS(Feb[Hour],$B167)</f>
        <v>0</v>
      </c>
    </row>
    <row r="168" spans="1:8" ht="15.75" thickBot="1" x14ac:dyDescent="0.3">
      <c r="B168" s="292" t="s">
        <v>138</v>
      </c>
      <c r="C168" s="292"/>
      <c r="D168" s="34">
        <f>COUNTIFS(Feb[Hour],$B168)</f>
        <v>0</v>
      </c>
    </row>
    <row r="169" spans="1:8" ht="15.75" thickBot="1" x14ac:dyDescent="0.3">
      <c r="B169" s="285" t="s">
        <v>35</v>
      </c>
      <c r="C169" s="286"/>
      <c r="D169" s="35">
        <f>SUM(D145:D168)</f>
        <v>0</v>
      </c>
    </row>
    <row r="170" spans="1:8" ht="15.75" thickBot="1" x14ac:dyDescent="0.3"/>
    <row r="171" spans="1:8" ht="21.4" customHeight="1" thickBot="1" x14ac:dyDescent="0.3">
      <c r="B171" s="280" t="str">
        <f>"Falls by Contributing Factors"</f>
        <v>Falls by Contributing Factors</v>
      </c>
      <c r="C171" s="281"/>
      <c r="D171" s="281"/>
      <c r="E171" s="281"/>
      <c r="F171" s="281"/>
      <c r="G171" s="282"/>
    </row>
    <row r="172" spans="1:8" ht="15.6" customHeight="1" x14ac:dyDescent="0.25">
      <c r="A172" s="38"/>
      <c r="B172" s="288" t="s">
        <v>92</v>
      </c>
      <c r="C172" s="289"/>
      <c r="D172" s="289"/>
      <c r="E172" s="289"/>
      <c r="F172" s="290"/>
      <c r="G172" s="28" t="s">
        <v>35</v>
      </c>
    </row>
    <row r="173" spans="1:8" x14ac:dyDescent="0.25">
      <c r="A173" s="38"/>
      <c r="B173" s="44" t="str" cm="1">
        <f t="array" ref="B173:B196">IF(_xlfn._xlws.SORT(CF[Contributing Factors],1,1,TRUE)=0,"",(_xlfn._xlws.SORT(CF[Contributing Factors],1,1,TRUE)))</f>
        <v>Assisted/caregiver transfer</v>
      </c>
      <c r="C173" s="45"/>
      <c r="D173" s="45"/>
      <c r="E173" s="45"/>
      <c r="F173" s="46"/>
      <c r="G173" s="42">
        <f>IF($B173="",NA(),COUNTIFS(Feb[Contributing Factors],$B173))</f>
        <v>0</v>
      </c>
      <c r="H173" s="43"/>
    </row>
    <row r="174" spans="1:8" x14ac:dyDescent="0.25">
      <c r="A174" s="38"/>
      <c r="B174" s="39" t="str">
        <v>Bowel and bladder (B&amp;B) needs</v>
      </c>
      <c r="C174" s="40"/>
      <c r="D174" s="40"/>
      <c r="E174" s="40"/>
      <c r="F174" s="41"/>
      <c r="G174" s="42">
        <f>IF($B174="",NA(),COUNTIFS(Feb[Contributing Factors],$B174))</f>
        <v>0</v>
      </c>
    </row>
    <row r="175" spans="1:8" x14ac:dyDescent="0.25">
      <c r="A175" s="38"/>
      <c r="B175" s="44" t="str">
        <v>Behavioral or situational</v>
      </c>
      <c r="C175" s="45"/>
      <c r="D175" s="45"/>
      <c r="E175" s="45"/>
      <c r="F175" s="46"/>
      <c r="G175" s="42">
        <f>IF($B175="",NA(),COUNTIFS(Feb[Contributing Factors],$B175))</f>
        <v>0</v>
      </c>
    </row>
    <row r="176" spans="1:8" x14ac:dyDescent="0.25">
      <c r="A176" s="38"/>
      <c r="B176" s="39" t="str">
        <v>Change of condition</v>
      </c>
      <c r="C176" s="40"/>
      <c r="D176" s="40"/>
      <c r="E176" s="40"/>
      <c r="F176" s="41"/>
      <c r="G176" s="42">
        <f>IF($B176="",NA(),COUNTIFS(Feb[Contributing Factors],$B176))</f>
        <v>0</v>
      </c>
    </row>
    <row r="177" spans="1:7" x14ac:dyDescent="0.25">
      <c r="A177" s="38"/>
      <c r="B177" s="44" t="str">
        <v>Environmental factors</v>
      </c>
      <c r="C177" s="45"/>
      <c r="D177" s="45"/>
      <c r="E177" s="45"/>
      <c r="F177" s="46"/>
      <c r="G177" s="42">
        <f>IF($B177="",NA(),COUNTIFS(Feb[Contributing Factors],$B177))</f>
        <v>0</v>
      </c>
    </row>
    <row r="178" spans="1:7" x14ac:dyDescent="0.25">
      <c r="A178" s="38"/>
      <c r="B178" s="39" t="str">
        <v>Equipment malfunction</v>
      </c>
      <c r="C178" s="40"/>
      <c r="D178" s="40"/>
      <c r="E178" s="40"/>
      <c r="F178" s="41"/>
      <c r="G178" s="42">
        <f>IF($B178="",NA(),COUNTIFS(Feb[Contributing Factors],$B178))</f>
        <v>0</v>
      </c>
    </row>
    <row r="179" spans="1:7" x14ac:dyDescent="0.25">
      <c r="A179" s="38"/>
      <c r="B179" s="44" t="str">
        <v>Equipment or assistive device</v>
      </c>
      <c r="C179" s="45"/>
      <c r="D179" s="45"/>
      <c r="E179" s="45"/>
      <c r="F179" s="46"/>
      <c r="G179" s="42">
        <f>IF($B179="",NA(),COUNTIFS(Feb[Contributing Factors],$B179))</f>
        <v>0</v>
      </c>
    </row>
    <row r="180" spans="1:7" x14ac:dyDescent="0.25">
      <c r="A180" s="38"/>
      <c r="B180" s="39" t="str">
        <v>Medication related</v>
      </c>
      <c r="C180" s="40"/>
      <c r="D180" s="40"/>
      <c r="E180" s="40"/>
      <c r="F180" s="41"/>
      <c r="G180" s="42">
        <f>IF($B180="",NA(),COUNTIFS(Feb[Contributing Factors],$B180))</f>
        <v>0</v>
      </c>
    </row>
    <row r="181" spans="1:7" x14ac:dyDescent="0.25">
      <c r="A181" s="38"/>
      <c r="B181" s="44" t="str">
        <v>Process(s) not followed</v>
      </c>
      <c r="C181" s="45"/>
      <c r="D181" s="45"/>
      <c r="E181" s="45"/>
      <c r="F181" s="46"/>
      <c r="G181" s="42">
        <f>IF($B181="",NA(),COUNTIFS(Feb[Contributing Factors],$B181))</f>
        <v>0</v>
      </c>
    </row>
    <row r="182" spans="1:7" x14ac:dyDescent="0.25">
      <c r="A182" s="38"/>
      <c r="B182" s="39" t="str">
        <v>Resident health conditions</v>
      </c>
      <c r="C182" s="40"/>
      <c r="D182" s="40"/>
      <c r="E182" s="40"/>
      <c r="F182" s="41"/>
      <c r="G182" s="42">
        <f>IF($B182="",NA(),COUNTIFS(Feb[Contributing Factors],$B182))</f>
        <v>0</v>
      </c>
    </row>
    <row r="183" spans="1:7" x14ac:dyDescent="0.25">
      <c r="A183" s="38"/>
      <c r="B183" s="44" t="str">
        <v>Staff</v>
      </c>
      <c r="C183" s="45"/>
      <c r="D183" s="45"/>
      <c r="E183" s="45"/>
      <c r="F183" s="46"/>
      <c r="G183" s="42">
        <f>IF($B183="",NA(),COUNTIFS(Feb[Contributing Factors],$B183))</f>
        <v>0</v>
      </c>
    </row>
    <row r="184" spans="1:7" x14ac:dyDescent="0.25">
      <c r="A184" s="38"/>
      <c r="B184" s="39" t="str">
        <v/>
      </c>
      <c r="C184" s="40"/>
      <c r="D184" s="40"/>
      <c r="E184" s="40"/>
      <c r="F184" s="41"/>
      <c r="G184" s="42" t="e">
        <f>IF($B184="",NA(),COUNTIFS(Feb[Contributing Factors],$B184))</f>
        <v>#N/A</v>
      </c>
    </row>
    <row r="185" spans="1:7" x14ac:dyDescent="0.25">
      <c r="A185" s="38"/>
      <c r="B185" s="44" t="str">
        <v/>
      </c>
      <c r="C185" s="45"/>
      <c r="D185" s="45"/>
      <c r="E185" s="45"/>
      <c r="F185" s="46"/>
      <c r="G185" s="42" t="e">
        <f>IF($B185="",NA(),COUNTIFS(Feb[Contributing Factors],$B185))</f>
        <v>#N/A</v>
      </c>
    </row>
    <row r="186" spans="1:7" x14ac:dyDescent="0.25">
      <c r="A186" s="38"/>
      <c r="B186" s="39" t="str">
        <v/>
      </c>
      <c r="C186" s="40"/>
      <c r="D186" s="40"/>
      <c r="E186" s="40"/>
      <c r="F186" s="41"/>
      <c r="G186" s="42" t="e">
        <f>IF($B186="",NA(),COUNTIFS(Feb[Contributing Factors],$B186))</f>
        <v>#N/A</v>
      </c>
    </row>
    <row r="187" spans="1:7" x14ac:dyDescent="0.25">
      <c r="A187" s="38"/>
      <c r="B187" s="44" t="str">
        <v/>
      </c>
      <c r="C187" s="45"/>
      <c r="D187" s="45"/>
      <c r="E187" s="45"/>
      <c r="F187" s="46"/>
      <c r="G187" s="42" t="e">
        <f>IF($B187="",NA(),COUNTIFS(Feb[Contributing Factors],$B187))</f>
        <v>#N/A</v>
      </c>
    </row>
    <row r="188" spans="1:7" x14ac:dyDescent="0.25">
      <c r="A188" s="38"/>
      <c r="B188" s="39" t="str">
        <v/>
      </c>
      <c r="C188" s="40"/>
      <c r="D188" s="40"/>
      <c r="E188" s="40"/>
      <c r="F188" s="41"/>
      <c r="G188" s="42" t="e">
        <f>IF($B188="",NA(),COUNTIFS(Feb[Contributing Factors],$B188))</f>
        <v>#N/A</v>
      </c>
    </row>
    <row r="189" spans="1:7" x14ac:dyDescent="0.25">
      <c r="A189" s="38"/>
      <c r="B189" s="44" t="str">
        <v/>
      </c>
      <c r="C189" s="45"/>
      <c r="D189" s="45"/>
      <c r="E189" s="45"/>
      <c r="F189" s="46"/>
      <c r="G189" s="42" t="e">
        <f>IF($B189="",NA(),COUNTIFS(Feb[Contributing Factors],$B189))</f>
        <v>#N/A</v>
      </c>
    </row>
    <row r="190" spans="1:7" x14ac:dyDescent="0.25">
      <c r="A190" s="38"/>
      <c r="B190" s="39" t="str">
        <v/>
      </c>
      <c r="C190" s="40"/>
      <c r="D190" s="40"/>
      <c r="E190" s="40"/>
      <c r="F190" s="41"/>
      <c r="G190" s="42" t="e">
        <f>IF($B190="",NA(),COUNTIFS(Feb[Contributing Factors],$B190))</f>
        <v>#N/A</v>
      </c>
    </row>
    <row r="191" spans="1:7" x14ac:dyDescent="0.25">
      <c r="A191" s="38"/>
      <c r="B191" s="44" t="str">
        <v/>
      </c>
      <c r="C191" s="45"/>
      <c r="D191" s="45"/>
      <c r="E191" s="45"/>
      <c r="F191" s="46"/>
      <c r="G191" s="42" t="e">
        <f>IF($B191="",NA(),COUNTIFS(Feb[Contributing Factors],$B191))</f>
        <v>#N/A</v>
      </c>
    </row>
    <row r="192" spans="1:7" x14ac:dyDescent="0.25">
      <c r="A192" s="38"/>
      <c r="B192" s="39" t="str">
        <v/>
      </c>
      <c r="C192" s="40"/>
      <c r="D192" s="40"/>
      <c r="E192" s="40"/>
      <c r="F192" s="41"/>
      <c r="G192" s="42" t="e">
        <f>IF($B192="",NA(),COUNTIFS(Feb[Contributing Factors],$B192))</f>
        <v>#N/A</v>
      </c>
    </row>
    <row r="193" spans="1:7" x14ac:dyDescent="0.25">
      <c r="A193" s="38"/>
      <c r="B193" s="44" t="str">
        <v/>
      </c>
      <c r="C193" s="45"/>
      <c r="D193" s="45"/>
      <c r="E193" s="45"/>
      <c r="F193" s="46"/>
      <c r="G193" s="42" t="e">
        <f>IF($B193="",NA(),COUNTIFS(Feb[Contributing Factors],$B193))</f>
        <v>#N/A</v>
      </c>
    </row>
    <row r="194" spans="1:7" x14ac:dyDescent="0.25">
      <c r="A194" s="38"/>
      <c r="B194" s="39" t="str">
        <v/>
      </c>
      <c r="C194" s="40"/>
      <c r="D194" s="40"/>
      <c r="E194" s="40"/>
      <c r="F194" s="41"/>
      <c r="G194" s="42" t="e">
        <f>IF($B194="",NA(),COUNTIFS(Feb[Contributing Factors],$B194))</f>
        <v>#N/A</v>
      </c>
    </row>
    <row r="195" spans="1:7" x14ac:dyDescent="0.25">
      <c r="A195" s="38"/>
      <c r="B195" s="44" t="str">
        <v/>
      </c>
      <c r="C195" s="45"/>
      <c r="D195" s="45"/>
      <c r="E195" s="45"/>
      <c r="F195" s="46"/>
      <c r="G195" s="42" t="e">
        <f>IF($B195="",NA(),COUNTIFS(Feb[Contributing Factors],$B195))</f>
        <v>#N/A</v>
      </c>
    </row>
    <row r="196" spans="1:7" ht="15.75" thickBot="1" x14ac:dyDescent="0.3">
      <c r="A196" s="38"/>
      <c r="B196" s="39" t="str">
        <v/>
      </c>
      <c r="C196" s="40"/>
      <c r="D196" s="40"/>
      <c r="E196" s="40"/>
      <c r="F196" s="41"/>
      <c r="G196" s="42" t="e">
        <f>IF($B196="",NA(),COUNTIFS(Feb[Contributing Factors],$B196))</f>
        <v>#N/A</v>
      </c>
    </row>
    <row r="197" spans="1:7" ht="15.6" customHeight="1" thickBot="1" x14ac:dyDescent="0.3">
      <c r="B197" s="285" t="s">
        <v>35</v>
      </c>
      <c r="C197" s="286"/>
      <c r="D197" s="286"/>
      <c r="E197" s="286"/>
      <c r="F197" s="287"/>
      <c r="G197" s="37">
        <f>_xlfn.AGGREGATE(9,6,G173:G196)</f>
        <v>0</v>
      </c>
    </row>
  </sheetData>
  <sheetProtection algorithmName="SHA-512" hashValue="L+xpbHVznuIRiFyrsE3BM+v0fqX49UUd4KVAjxrgxa/5u7wyqob9ZgpM5w+2YzTnjU1N+I9pynmDb+lN2X+nrQ==" saltValue="hxHlmOZSbfN8vYyNjaUJKA==" spinCount="100000" sheet="1" formatCells="0" formatColumns="0" formatRows="0" sort="0" autoFilter="0"/>
  <mergeCells count="61">
    <mergeCell ref="F56:G56"/>
    <mergeCell ref="B51:D51"/>
    <mergeCell ref="F51:H51"/>
    <mergeCell ref="B52:C52"/>
    <mergeCell ref="F52:G52"/>
    <mergeCell ref="B55:C55"/>
    <mergeCell ref="B121:C121"/>
    <mergeCell ref="F58:H58"/>
    <mergeCell ref="F59:G59"/>
    <mergeCell ref="F63:G63"/>
    <mergeCell ref="B65:G65"/>
    <mergeCell ref="B66:F66"/>
    <mergeCell ref="B91:F91"/>
    <mergeCell ref="B93:D93"/>
    <mergeCell ref="B94:C94"/>
    <mergeCell ref="B106:C106"/>
    <mergeCell ref="B108:D108"/>
    <mergeCell ref="B109:C109"/>
    <mergeCell ref="B135:C135"/>
    <mergeCell ref="B123:D123"/>
    <mergeCell ref="B124:C124"/>
    <mergeCell ref="B125:C125"/>
    <mergeCell ref="B126:C126"/>
    <mergeCell ref="B127:C127"/>
    <mergeCell ref="B128:C128"/>
    <mergeCell ref="B129:C129"/>
    <mergeCell ref="B130:C130"/>
    <mergeCell ref="B131:C131"/>
    <mergeCell ref="B132:C132"/>
    <mergeCell ref="B134:D134"/>
    <mergeCell ref="B143:D143"/>
    <mergeCell ref="B144:C144"/>
    <mergeCell ref="B145:C145"/>
    <mergeCell ref="B146:C146"/>
    <mergeCell ref="B147:C147"/>
    <mergeCell ref="B156:C156"/>
    <mergeCell ref="B157:C157"/>
    <mergeCell ref="B158:C158"/>
    <mergeCell ref="B159:C159"/>
    <mergeCell ref="B148:C148"/>
    <mergeCell ref="B149:C149"/>
    <mergeCell ref="B150:C150"/>
    <mergeCell ref="B151:C151"/>
    <mergeCell ref="B152:C152"/>
    <mergeCell ref="B153:C153"/>
    <mergeCell ref="B197:F197"/>
    <mergeCell ref="B141:C141"/>
    <mergeCell ref="B166:C166"/>
    <mergeCell ref="B167:C167"/>
    <mergeCell ref="B168:C168"/>
    <mergeCell ref="B169:C169"/>
    <mergeCell ref="B171:G171"/>
    <mergeCell ref="B172:F172"/>
    <mergeCell ref="B160:C160"/>
    <mergeCell ref="B161:C161"/>
    <mergeCell ref="B162:C162"/>
    <mergeCell ref="B163:C163"/>
    <mergeCell ref="B164:C164"/>
    <mergeCell ref="B165:C165"/>
    <mergeCell ref="B154:C154"/>
    <mergeCell ref="B155:C155"/>
  </mergeCells>
  <conditionalFormatting sqref="C1">
    <cfRule type="expression" dxfId="319" priority="20">
      <formula>OR($C$1="",$C$1=0)</formula>
    </cfRule>
  </conditionalFormatting>
  <conditionalFormatting sqref="D1">
    <cfRule type="cellIs" dxfId="318" priority="21" operator="equal">
      <formula>"Enter year in Data Validation tab"</formula>
    </cfRule>
  </conditionalFormatting>
  <conditionalFormatting sqref="D4:D40">
    <cfRule type="expression" dxfId="317" priority="24">
      <formula>AND($C4&lt;&gt;"",$D4="")</formula>
    </cfRule>
  </conditionalFormatting>
  <conditionalFormatting sqref="D95:D105">
    <cfRule type="expression" dxfId="316" priority="11">
      <formula>ISERROR($D95)</formula>
    </cfRule>
  </conditionalFormatting>
  <conditionalFormatting sqref="D110:D120">
    <cfRule type="expression" dxfId="315" priority="12">
      <formula>ISERROR($D110)</formula>
    </cfRule>
  </conditionalFormatting>
  <conditionalFormatting sqref="D136:D140">
    <cfRule type="expression" dxfId="314" priority="1">
      <formula>ISERROR(D136)</formula>
    </cfRule>
  </conditionalFormatting>
  <conditionalFormatting sqref="E4:E40">
    <cfRule type="expression" dxfId="313" priority="23">
      <formula>AND($C4&lt;&gt;"",$E4="")</formula>
    </cfRule>
  </conditionalFormatting>
  <conditionalFormatting sqref="F4:F40">
    <cfRule type="expression" dxfId="312" priority="16">
      <formula>AND($C4&lt;&gt;"",$F4="")</formula>
    </cfRule>
  </conditionalFormatting>
  <conditionalFormatting sqref="G4:G40">
    <cfRule type="expression" dxfId="311" priority="15">
      <formula>AND($C4&lt;&gt;"",$G4="")</formula>
    </cfRule>
  </conditionalFormatting>
  <conditionalFormatting sqref="G67:G90">
    <cfRule type="expression" dxfId="310" priority="10">
      <formula>ISERROR($G67)</formula>
    </cfRule>
  </conditionalFormatting>
  <conditionalFormatting sqref="G173:G196">
    <cfRule type="expression" dxfId="309" priority="9">
      <formula>ISERROR($G173)</formula>
    </cfRule>
  </conditionalFormatting>
  <conditionalFormatting sqref="H4:H40">
    <cfRule type="expression" dxfId="308" priority="14">
      <formula>AND($C4&lt;&gt;"",$H4="")</formula>
    </cfRule>
  </conditionalFormatting>
  <conditionalFormatting sqref="I4:I40">
    <cfRule type="expression" dxfId="307" priority="13">
      <formula>AND($C4&lt;&gt;"",$I4="")</formula>
    </cfRule>
  </conditionalFormatting>
  <conditionalFormatting sqref="J4:J40">
    <cfRule type="expression" dxfId="306" priority="25">
      <formula>AND($C4&lt;&gt;"",$J4="")</formula>
    </cfRule>
  </conditionalFormatting>
  <conditionalFormatting sqref="L4:L40">
    <cfRule type="expression" dxfId="305" priority="22">
      <formula>AND($C4&lt;&gt;"",$L4="")</formula>
    </cfRule>
  </conditionalFormatting>
  <conditionalFormatting sqref="N4:N40">
    <cfRule type="expression" dxfId="304" priority="27">
      <formula>AND($C4&lt;&gt;"",$N4="")</formula>
    </cfRule>
  </conditionalFormatting>
  <conditionalFormatting sqref="O4:O40">
    <cfRule type="expression" dxfId="303" priority="6">
      <formula>AND($C4&lt;&gt;"",$O4="")</formula>
    </cfRule>
    <cfRule type="cellIs" dxfId="302" priority="17" operator="equal">
      <formula>"Intact (13-15)"</formula>
    </cfRule>
    <cfRule type="cellIs" dxfId="301" priority="18" operator="equal">
      <formula>"Moderate (8-12)"</formula>
    </cfRule>
    <cfRule type="cellIs" dxfId="300" priority="19" operator="equal">
      <formula>"Severe (1-7)"</formula>
    </cfRule>
  </conditionalFormatting>
  <conditionalFormatting sqref="P4:P40">
    <cfRule type="expression" dxfId="299" priority="7">
      <formula>AND($C4&lt;&gt;"",$P4="")</formula>
    </cfRule>
  </conditionalFormatting>
  <conditionalFormatting sqref="Q4:Q40">
    <cfRule type="expression" dxfId="298" priority="5">
      <formula>AND($C4&lt;&gt;"",$Q4="")</formula>
    </cfRule>
  </conditionalFormatting>
  <conditionalFormatting sqref="R4:R40">
    <cfRule type="expression" dxfId="297" priority="28">
      <formula>AND($C4&lt;&gt;"",$R4="")</formula>
    </cfRule>
  </conditionalFormatting>
  <conditionalFormatting sqref="S4:S40">
    <cfRule type="expression" dxfId="296" priority="8">
      <formula>AND($C4&lt;&gt;"",$S4="")</formula>
    </cfRule>
  </conditionalFormatting>
  <conditionalFormatting sqref="T4:T40">
    <cfRule type="expression" dxfId="295" priority="29">
      <formula>AND($C4&lt;&gt;"",$T4="")</formula>
    </cfRule>
  </conditionalFormatting>
  <conditionalFormatting sqref="U4:U40">
    <cfRule type="expression" dxfId="294" priority="26">
      <formula>AND($C4&lt;&gt;"",$U4="")</formula>
    </cfRule>
  </conditionalFormatting>
  <conditionalFormatting sqref="V4:V40">
    <cfRule type="expression" dxfId="293" priority="4">
      <formula>AND($C4&lt;&gt;"",$V4="")</formula>
    </cfRule>
  </conditionalFormatting>
  <dataValidations count="9">
    <dataValidation type="list" allowBlank="1" showInputMessage="1" showErrorMessage="1" sqref="R4:R40" xr:uid="{F871104F-713C-40E9-ADE4-8686ACBAD92B}">
      <formula1>DV_RCAComp</formula1>
    </dataValidation>
    <dataValidation type="list" allowBlank="1" showInputMessage="1" showErrorMessage="1" sqref="G4:G40" xr:uid="{2540C2C5-0B64-460C-8CC9-08510BDB4AE8}">
      <formula1>DV_FallCircumstances</formula1>
    </dataValidation>
    <dataValidation type="list" allowBlank="1" showInputMessage="1" showErrorMessage="1" sqref="P4:P40" xr:uid="{B5831627-6824-458E-8928-615CE3555A77}">
      <formula1>DV_PriortoFall</formula1>
    </dataValidation>
    <dataValidation type="list" allowBlank="1" showInputMessage="1" showErrorMessage="1" sqref="F4:F40" xr:uid="{524595D8-3170-4046-8217-E9D5014FEA82}">
      <formula1>DV_Witnessed</formula1>
    </dataValidation>
    <dataValidation type="list" allowBlank="1" showInputMessage="1" showErrorMessage="1" sqref="N4:N40" xr:uid="{3AE0345F-D6EF-440A-A136-4196B68A256E}">
      <formula1>DV_BIMSScore</formula1>
    </dataValidation>
    <dataValidation type="list" allowBlank="1" showInputMessage="1" showErrorMessage="1" sqref="L4:L40" xr:uid="{DEFBA092-972E-4D3C-9CCB-0E378845221B}">
      <formula1>DV_Shifts</formula1>
    </dataValidation>
    <dataValidation type="list" allowBlank="1" showInputMessage="1" showErrorMessage="1" sqref="J4:J40" xr:uid="{B7899547-7526-45EB-A374-E05AA87F4F11}">
      <formula1>DV_Station</formula1>
    </dataValidation>
    <dataValidation type="list" allowBlank="1" showInputMessage="1" showErrorMessage="1" sqref="I4:I40" xr:uid="{F146CA5E-8B85-43A8-A38C-81CB61900BD0}">
      <formula1>DV_Location</formula1>
    </dataValidation>
    <dataValidation type="list" allowBlank="1" showInputMessage="1" showErrorMessage="1" sqref="H4:H40" xr:uid="{266AD2F4-622E-485A-A1EE-904AE191EFD3}">
      <formula1>DV_FallType</formula1>
    </dataValidation>
  </dataValidations>
  <printOptions horizontalCentered="1"/>
  <pageMargins left="0.15" right="0.15" top="0.5" bottom="0.25" header="0.3" footer="0.3"/>
  <pageSetup scale="59" fitToHeight="0" orientation="landscape" r:id="rId1"/>
  <rowBreaks count="3" manualBreakCount="3">
    <brk id="49" max="16383" man="1"/>
    <brk id="91" max="16383" man="1"/>
    <brk id="141" max="16383" man="1"/>
  </rowBreaks>
  <drawing r:id="rId2"/>
  <tableParts count="1">
    <tablePart r:id="rId3"/>
  </tableParts>
  <extLst>
    <ext xmlns:x14="http://schemas.microsoft.com/office/spreadsheetml/2009/9/main" uri="{CCE6A557-97BC-4b89-ADB6-D9C93CAAB3DF}">
      <x14:dataValidations xmlns:xm="http://schemas.microsoft.com/office/excel/2006/main" count="1">
        <x14:dataValidation type="list" allowBlank="1" showInputMessage="1" showErrorMessage="1" xr:uid="{FBDA519A-B222-43D8-8A2D-982B9D196D6B}">
          <x14:formula1>
            <xm:f>'Data Validation'!$K$3:$K$26</xm:f>
          </x14:formula1>
          <xm:sqref>S4:S40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C9721D-1B22-4C35-8E64-DBE639881240}">
  <sheetPr>
    <pageSetUpPr autoPageBreaks="0" fitToPage="1"/>
  </sheetPr>
  <dimension ref="A1:V197"/>
  <sheetViews>
    <sheetView showGridLines="0" zoomScaleNormal="100" zoomScaleSheetLayoutView="98" workbookViewId="0">
      <selection activeCell="B4" sqref="B4"/>
    </sheetView>
  </sheetViews>
  <sheetFormatPr defaultRowHeight="15" x14ac:dyDescent="0.25"/>
  <cols>
    <col min="1" max="1" width="1.28515625" customWidth="1"/>
    <col min="2" max="2" width="5.85546875" customWidth="1"/>
    <col min="3" max="3" width="17.140625" customWidth="1"/>
    <col min="4" max="4" width="9.28515625" customWidth="1"/>
    <col min="5" max="5" width="11" customWidth="1"/>
    <col min="6" max="6" width="8" customWidth="1"/>
    <col min="7" max="7" width="12.140625" customWidth="1"/>
    <col min="8" max="8" width="10.5703125" customWidth="1"/>
    <col min="9" max="9" width="7.7109375" customWidth="1"/>
    <col min="10" max="10" width="6" customWidth="1"/>
    <col min="11" max="11" width="4.7109375" customWidth="1"/>
    <col min="12" max="12" width="9.28515625" customWidth="1"/>
    <col min="13" max="14" width="4.7109375" customWidth="1"/>
    <col min="15" max="15" width="12.140625" customWidth="1"/>
    <col min="16" max="17" width="23.7109375" customWidth="1"/>
    <col min="18" max="18" width="8.7109375" customWidth="1"/>
    <col min="19" max="19" width="23.7109375" customWidth="1"/>
    <col min="20" max="22" width="11.7109375" customWidth="1"/>
    <col min="23" max="24" width="10.7109375" customWidth="1"/>
  </cols>
  <sheetData>
    <row r="1" spans="1:22" ht="18.75" customHeight="1" x14ac:dyDescent="0.25">
      <c r="B1" s="13" t="s">
        <v>28</v>
      </c>
      <c r="C1" s="14">
        <f>'Data Validation'!$C$4</f>
        <v>0</v>
      </c>
      <c r="D1" s="15" t="str">
        <f>IF(OR($C$1="",$C$1=0),"Enter Year in Data Validation tab",'Data Validation'!$C$2&amp;" March ")</f>
        <v>Enter Year in Data Validation tab</v>
      </c>
      <c r="E1" s="16"/>
      <c r="F1" s="16"/>
      <c r="G1" s="16"/>
      <c r="H1" s="16"/>
      <c r="I1" s="16"/>
      <c r="J1" s="16"/>
      <c r="K1" s="16"/>
      <c r="L1" s="16"/>
      <c r="M1" s="16"/>
      <c r="N1" s="4"/>
      <c r="O1" s="16"/>
      <c r="P1" s="16"/>
      <c r="Q1" s="16"/>
      <c r="R1" s="17" t="s">
        <v>59</v>
      </c>
      <c r="S1" s="14" t="str">
        <f>IF(COUNTIFS(Mar[Resident Name],"&lt;&gt;")=0,"No Data",COUNTIFS(Mar[Resident Name],"&lt;&gt;"))</f>
        <v>No Data</v>
      </c>
      <c r="T1" s="17" t="s">
        <v>62</v>
      </c>
      <c r="U1" s="14" t="str">
        <f>'Fall Rate and Census'!$H$36</f>
        <v>No Data</v>
      </c>
    </row>
    <row r="2" spans="1:22" ht="8.1" customHeight="1" x14ac:dyDescent="0.25">
      <c r="B2" s="18"/>
      <c r="C2" s="16"/>
      <c r="D2" s="16"/>
      <c r="E2" s="16"/>
      <c r="F2" s="16"/>
      <c r="G2" s="16"/>
      <c r="H2" s="16"/>
      <c r="I2" s="16"/>
      <c r="J2" s="16"/>
      <c r="K2" s="16"/>
      <c r="L2" s="16"/>
      <c r="M2" s="16"/>
      <c r="N2" s="16"/>
      <c r="O2" s="16"/>
      <c r="P2" s="16"/>
      <c r="Q2" s="16"/>
      <c r="R2" s="16"/>
    </row>
    <row r="3" spans="1:22" ht="22.35" customHeight="1" x14ac:dyDescent="0.25">
      <c r="B3" s="19" t="s">
        <v>104</v>
      </c>
      <c r="C3" s="19" t="s">
        <v>105</v>
      </c>
      <c r="D3" s="20" t="s">
        <v>0</v>
      </c>
      <c r="E3" s="20" t="s">
        <v>89</v>
      </c>
      <c r="F3" s="20" t="s">
        <v>84</v>
      </c>
      <c r="G3" s="20" t="s">
        <v>100</v>
      </c>
      <c r="H3" s="20" t="s">
        <v>90</v>
      </c>
      <c r="I3" s="20" t="s">
        <v>1</v>
      </c>
      <c r="J3" s="20" t="s">
        <v>2</v>
      </c>
      <c r="K3" s="20" t="s">
        <v>3</v>
      </c>
      <c r="L3" s="20" t="s">
        <v>33</v>
      </c>
      <c r="M3" s="20" t="s">
        <v>34</v>
      </c>
      <c r="N3" s="20" t="s">
        <v>26</v>
      </c>
      <c r="O3" s="20" t="s">
        <v>30</v>
      </c>
      <c r="P3" s="19" t="s">
        <v>158</v>
      </c>
      <c r="Q3" s="19" t="s">
        <v>80</v>
      </c>
      <c r="R3" s="20" t="s">
        <v>81</v>
      </c>
      <c r="S3" s="20" t="s">
        <v>92</v>
      </c>
      <c r="T3" s="12" t="s">
        <v>95</v>
      </c>
      <c r="U3" s="12" t="s">
        <v>94</v>
      </c>
      <c r="V3" s="12" t="s">
        <v>96</v>
      </c>
    </row>
    <row r="4" spans="1:22" ht="20.85" customHeight="1" x14ac:dyDescent="0.25">
      <c r="A4" s="21"/>
      <c r="B4" s="266"/>
      <c r="C4" s="5"/>
      <c r="D4" s="263"/>
      <c r="E4" s="263"/>
      <c r="F4" s="266"/>
      <c r="G4" s="267"/>
      <c r="H4" s="2"/>
      <c r="I4" s="2"/>
      <c r="J4" s="2"/>
      <c r="K4" s="24" t="str">
        <f>IF(Mar[[#This Row],[Date of Incident]]="","",TEXT(Mar[[#This Row],[Date of Incident]],"ddd"))</f>
        <v/>
      </c>
      <c r="L4" s="1"/>
      <c r="M4" s="24" t="str">
        <f>IFERROR(VLOOKUP(Mar[[#This Row],[Hour]],Shifts[],2,FALSE),"")</f>
        <v/>
      </c>
      <c r="N4" s="2"/>
      <c r="O4" s="24" t="str">
        <f>IFERROR(VLOOKUP(Mar[[#This Row],[BIMS Score]],BIMS[],2,FALSE),"")</f>
        <v/>
      </c>
      <c r="P4" s="3"/>
      <c r="Q4" s="3"/>
      <c r="R4" s="2"/>
      <c r="S4" s="168"/>
      <c r="T4" s="3"/>
      <c r="U4" s="3"/>
      <c r="V4" s="3"/>
    </row>
    <row r="5" spans="1:22" ht="20.85" customHeight="1" x14ac:dyDescent="0.25">
      <c r="A5" s="21"/>
      <c r="B5" s="266"/>
      <c r="C5" s="5"/>
      <c r="D5" s="263"/>
      <c r="E5" s="263"/>
      <c r="F5" s="266"/>
      <c r="G5" s="267"/>
      <c r="H5" s="2"/>
      <c r="I5" s="2"/>
      <c r="J5" s="2"/>
      <c r="K5" s="24" t="str">
        <f>IF(Mar[[#This Row],[Date of Incident]]="","",TEXT(Mar[[#This Row],[Date of Incident]],"ddd"))</f>
        <v/>
      </c>
      <c r="L5" s="1"/>
      <c r="M5" s="24" t="str">
        <f>IFERROR(VLOOKUP(Mar[[#This Row],[Hour]],Shifts[],2,FALSE),"")</f>
        <v/>
      </c>
      <c r="N5" s="2"/>
      <c r="O5" s="24" t="str">
        <f>IFERROR(VLOOKUP(Mar[[#This Row],[BIMS Score]],BIMS[],2,FALSE),"")</f>
        <v/>
      </c>
      <c r="P5" s="3"/>
      <c r="Q5" s="3"/>
      <c r="R5" s="2"/>
      <c r="S5" s="168"/>
      <c r="T5" s="3"/>
      <c r="U5" s="3"/>
      <c r="V5" s="3"/>
    </row>
    <row r="6" spans="1:22" ht="20.85" customHeight="1" x14ac:dyDescent="0.25">
      <c r="A6" s="21"/>
      <c r="B6" s="266"/>
      <c r="C6" s="5"/>
      <c r="D6" s="263"/>
      <c r="E6" s="263"/>
      <c r="F6" s="266"/>
      <c r="G6" s="267"/>
      <c r="H6" s="2"/>
      <c r="I6" s="2"/>
      <c r="J6" s="2"/>
      <c r="K6" s="24" t="str">
        <f>IF(Mar[[#This Row],[Date of Incident]]="","",TEXT(Mar[[#This Row],[Date of Incident]],"ddd"))</f>
        <v/>
      </c>
      <c r="L6" s="1"/>
      <c r="M6" s="24" t="str">
        <f>IFERROR(VLOOKUP(Mar[[#This Row],[Hour]],Shifts[],2,FALSE),"")</f>
        <v/>
      </c>
      <c r="N6" s="2"/>
      <c r="O6" s="24" t="str">
        <f>IFERROR(VLOOKUP(Mar[[#This Row],[BIMS Score]],BIMS[],2,FALSE),"")</f>
        <v/>
      </c>
      <c r="P6" s="3"/>
      <c r="Q6" s="3"/>
      <c r="R6" s="2"/>
      <c r="S6" s="168"/>
      <c r="T6" s="3"/>
      <c r="U6" s="3"/>
      <c r="V6" s="3"/>
    </row>
    <row r="7" spans="1:22" ht="20.85" customHeight="1" x14ac:dyDescent="0.25">
      <c r="A7" s="21"/>
      <c r="B7" s="266"/>
      <c r="C7" s="5"/>
      <c r="D7" s="263"/>
      <c r="E7" s="263"/>
      <c r="F7" s="266"/>
      <c r="G7" s="267"/>
      <c r="H7" s="2"/>
      <c r="I7" s="2"/>
      <c r="J7" s="2"/>
      <c r="K7" s="24" t="str">
        <f>IF(Mar[[#This Row],[Date of Incident]]="","",TEXT(Mar[[#This Row],[Date of Incident]],"ddd"))</f>
        <v/>
      </c>
      <c r="L7" s="1"/>
      <c r="M7" s="24" t="str">
        <f>IFERROR(VLOOKUP(Mar[[#This Row],[Hour]],Shifts[],2,FALSE),"")</f>
        <v/>
      </c>
      <c r="N7" s="2"/>
      <c r="O7" s="24" t="str">
        <f>IFERROR(VLOOKUP(Mar[[#This Row],[BIMS Score]],BIMS[],2,FALSE),"")</f>
        <v/>
      </c>
      <c r="P7" s="3"/>
      <c r="Q7" s="3"/>
      <c r="R7" s="2"/>
      <c r="S7" s="168"/>
      <c r="T7" s="3"/>
      <c r="U7" s="3"/>
      <c r="V7" s="3"/>
    </row>
    <row r="8" spans="1:22" ht="20.85" customHeight="1" x14ac:dyDescent="0.25">
      <c r="A8" s="21"/>
      <c r="B8" s="266"/>
      <c r="C8" s="5"/>
      <c r="D8" s="263"/>
      <c r="E8" s="263"/>
      <c r="F8" s="266"/>
      <c r="G8" s="267"/>
      <c r="H8" s="2"/>
      <c r="I8" s="2"/>
      <c r="J8" s="2"/>
      <c r="K8" s="24" t="str">
        <f>IF(Mar[[#This Row],[Date of Incident]]="","",TEXT(Mar[[#This Row],[Date of Incident]],"ddd"))</f>
        <v/>
      </c>
      <c r="L8" s="1"/>
      <c r="M8" s="24" t="str">
        <f>IFERROR(VLOOKUP(Mar[[#This Row],[Hour]],Shifts[],2,FALSE),"")</f>
        <v/>
      </c>
      <c r="N8" s="2"/>
      <c r="O8" s="24" t="str">
        <f>IFERROR(VLOOKUP(Mar[[#This Row],[BIMS Score]],BIMS[],2,FALSE),"")</f>
        <v/>
      </c>
      <c r="P8" s="3"/>
      <c r="Q8" s="3"/>
      <c r="R8" s="2"/>
      <c r="S8" s="168"/>
      <c r="T8" s="3"/>
      <c r="U8" s="3"/>
      <c r="V8" s="3"/>
    </row>
    <row r="9" spans="1:22" ht="20.85" customHeight="1" x14ac:dyDescent="0.25">
      <c r="A9" s="21"/>
      <c r="B9" s="266"/>
      <c r="C9" s="5"/>
      <c r="D9" s="263"/>
      <c r="E9" s="263"/>
      <c r="F9" s="266"/>
      <c r="G9" s="267"/>
      <c r="H9" s="2"/>
      <c r="I9" s="2"/>
      <c r="J9" s="2"/>
      <c r="K9" s="24" t="str">
        <f>IF(Mar[[#This Row],[Date of Incident]]="","",TEXT(Mar[[#This Row],[Date of Incident]],"ddd"))</f>
        <v/>
      </c>
      <c r="L9" s="1"/>
      <c r="M9" s="24" t="str">
        <f>IFERROR(VLOOKUP(Mar[[#This Row],[Hour]],Shifts[],2,FALSE),"")</f>
        <v/>
      </c>
      <c r="N9" s="2"/>
      <c r="O9" s="24" t="str">
        <f>IFERROR(VLOOKUP(Mar[[#This Row],[BIMS Score]],BIMS[],2,FALSE),"")</f>
        <v/>
      </c>
      <c r="P9" s="3"/>
      <c r="Q9" s="3"/>
      <c r="R9" s="2"/>
      <c r="S9" s="168"/>
      <c r="T9" s="3"/>
      <c r="U9" s="3"/>
      <c r="V9" s="3"/>
    </row>
    <row r="10" spans="1:22" ht="20.85" customHeight="1" x14ac:dyDescent="0.25">
      <c r="A10" s="21"/>
      <c r="B10" s="266"/>
      <c r="C10" s="5"/>
      <c r="D10" s="263"/>
      <c r="E10" s="263"/>
      <c r="F10" s="266"/>
      <c r="G10" s="267"/>
      <c r="H10" s="2"/>
      <c r="I10" s="2"/>
      <c r="J10" s="2"/>
      <c r="K10" s="24" t="str">
        <f>IF(Mar[[#This Row],[Date of Incident]]="","",TEXT(Mar[[#This Row],[Date of Incident]],"ddd"))</f>
        <v/>
      </c>
      <c r="L10" s="1"/>
      <c r="M10" s="24" t="str">
        <f>IFERROR(VLOOKUP(Mar[[#This Row],[Hour]],Shifts[],2,FALSE),"")</f>
        <v/>
      </c>
      <c r="N10" s="2"/>
      <c r="O10" s="24" t="str">
        <f>IFERROR(VLOOKUP(Mar[[#This Row],[BIMS Score]],BIMS[],2,FALSE),"")</f>
        <v/>
      </c>
      <c r="P10" s="3"/>
      <c r="Q10" s="3"/>
      <c r="R10" s="2"/>
      <c r="S10" s="168"/>
      <c r="T10" s="3"/>
      <c r="U10" s="3"/>
      <c r="V10" s="3"/>
    </row>
    <row r="11" spans="1:22" ht="20.85" customHeight="1" x14ac:dyDescent="0.25">
      <c r="A11" s="21"/>
      <c r="B11" s="266"/>
      <c r="C11" s="5"/>
      <c r="D11" s="263"/>
      <c r="E11" s="263"/>
      <c r="F11" s="266"/>
      <c r="G11" s="267"/>
      <c r="H11" s="2"/>
      <c r="I11" s="2"/>
      <c r="J11" s="2"/>
      <c r="K11" s="24" t="str">
        <f>IF(Mar[[#This Row],[Date of Incident]]="","",TEXT(Mar[[#This Row],[Date of Incident]],"ddd"))</f>
        <v/>
      </c>
      <c r="L11" s="1"/>
      <c r="M11" s="24" t="str">
        <f>IFERROR(VLOOKUP(Mar[[#This Row],[Hour]],Shifts[],2,FALSE),"")</f>
        <v/>
      </c>
      <c r="N11" s="2"/>
      <c r="O11" s="24" t="str">
        <f>IFERROR(VLOOKUP(Mar[[#This Row],[BIMS Score]],BIMS[],2,FALSE),"")</f>
        <v/>
      </c>
      <c r="P11" s="3"/>
      <c r="Q11" s="3"/>
      <c r="R11" s="2"/>
      <c r="S11" s="168"/>
      <c r="T11" s="3"/>
      <c r="U11" s="3"/>
      <c r="V11" s="3"/>
    </row>
    <row r="12" spans="1:22" ht="20.85" customHeight="1" x14ac:dyDescent="0.25">
      <c r="A12" s="21"/>
      <c r="B12" s="267"/>
      <c r="C12" s="5"/>
      <c r="D12" s="264"/>
      <c r="E12" s="263"/>
      <c r="F12" s="267"/>
      <c r="G12" s="267"/>
      <c r="H12" s="2"/>
      <c r="I12" s="2"/>
      <c r="J12" s="2"/>
      <c r="K12" s="24" t="str">
        <f>IF(Mar[[#This Row],[Date of Incident]]="","",TEXT(Mar[[#This Row],[Date of Incident]],"ddd"))</f>
        <v/>
      </c>
      <c r="L12" s="1"/>
      <c r="M12" s="24" t="str">
        <f>IFERROR(VLOOKUP(Mar[[#This Row],[Hour]],Shifts[],2,FALSE),"")</f>
        <v/>
      </c>
      <c r="N12" s="2"/>
      <c r="O12" s="24" t="str">
        <f>IFERROR(VLOOKUP(Mar[[#This Row],[BIMS Score]],BIMS[],2,FALSE),"")</f>
        <v/>
      </c>
      <c r="P12" s="3"/>
      <c r="Q12" s="3"/>
      <c r="R12" s="2"/>
      <c r="S12" s="168"/>
      <c r="T12" s="3"/>
      <c r="U12" s="3"/>
      <c r="V12" s="3"/>
    </row>
    <row r="13" spans="1:22" ht="20.85" customHeight="1" x14ac:dyDescent="0.25">
      <c r="A13" s="21"/>
      <c r="B13" s="267"/>
      <c r="C13" s="5"/>
      <c r="D13" s="264"/>
      <c r="E13" s="263"/>
      <c r="F13" s="267"/>
      <c r="G13" s="267"/>
      <c r="H13" s="2"/>
      <c r="I13" s="2"/>
      <c r="J13" s="2"/>
      <c r="K13" s="24" t="str">
        <f>IF(Mar[[#This Row],[Date of Incident]]="","",TEXT(Mar[[#This Row],[Date of Incident]],"ddd"))</f>
        <v/>
      </c>
      <c r="L13" s="1"/>
      <c r="M13" s="24" t="str">
        <f>IFERROR(VLOOKUP(Mar[[#This Row],[Hour]],Shifts[],2,FALSE),"")</f>
        <v/>
      </c>
      <c r="N13" s="2"/>
      <c r="O13" s="24" t="str">
        <f>IFERROR(VLOOKUP(Mar[[#This Row],[BIMS Score]],BIMS[],2,FALSE),"")</f>
        <v/>
      </c>
      <c r="P13" s="3"/>
      <c r="Q13" s="3"/>
      <c r="R13" s="2"/>
      <c r="S13" s="168"/>
      <c r="T13" s="3"/>
      <c r="U13" s="3"/>
      <c r="V13" s="3"/>
    </row>
    <row r="14" spans="1:22" ht="20.85" customHeight="1" x14ac:dyDescent="0.25">
      <c r="A14" s="21"/>
      <c r="B14" s="267"/>
      <c r="C14" s="5"/>
      <c r="D14" s="264"/>
      <c r="E14" s="263"/>
      <c r="F14" s="267"/>
      <c r="G14" s="267"/>
      <c r="H14" s="2"/>
      <c r="I14" s="2"/>
      <c r="J14" s="2"/>
      <c r="K14" s="24" t="str">
        <f>IF(Mar[[#This Row],[Date of Incident]]="","",TEXT(Mar[[#This Row],[Date of Incident]],"ddd"))</f>
        <v/>
      </c>
      <c r="L14" s="1"/>
      <c r="M14" s="24" t="str">
        <f>IFERROR(VLOOKUP(Mar[[#This Row],[Hour]],Shifts[],2,FALSE),"")</f>
        <v/>
      </c>
      <c r="N14" s="2"/>
      <c r="O14" s="24" t="str">
        <f>IFERROR(VLOOKUP(Mar[[#This Row],[BIMS Score]],BIMS[],2,FALSE),"")</f>
        <v/>
      </c>
      <c r="P14" s="3"/>
      <c r="Q14" s="3"/>
      <c r="R14" s="2"/>
      <c r="S14" s="168"/>
      <c r="T14" s="3"/>
      <c r="U14" s="3"/>
      <c r="V14" s="3"/>
    </row>
    <row r="15" spans="1:22" ht="20.85" customHeight="1" x14ac:dyDescent="0.25">
      <c r="A15" s="21"/>
      <c r="B15" s="267"/>
      <c r="C15" s="5"/>
      <c r="D15" s="264"/>
      <c r="E15" s="263"/>
      <c r="F15" s="267"/>
      <c r="G15" s="267"/>
      <c r="H15" s="2"/>
      <c r="I15" s="2"/>
      <c r="J15" s="2"/>
      <c r="K15" s="24" t="str">
        <f>IF(Mar[[#This Row],[Date of Incident]]="","",TEXT(Mar[[#This Row],[Date of Incident]],"ddd"))</f>
        <v/>
      </c>
      <c r="L15" s="1"/>
      <c r="M15" s="24" t="str">
        <f>IFERROR(VLOOKUP(Mar[[#This Row],[Hour]],Shifts[],2,FALSE),"")</f>
        <v/>
      </c>
      <c r="N15" s="2"/>
      <c r="O15" s="24" t="str">
        <f>IFERROR(VLOOKUP(Mar[[#This Row],[BIMS Score]],BIMS[],2,FALSE),"")</f>
        <v/>
      </c>
      <c r="P15" s="3"/>
      <c r="Q15" s="3"/>
      <c r="R15" s="2"/>
      <c r="S15" s="168"/>
      <c r="T15" s="3"/>
      <c r="U15" s="3"/>
      <c r="V15" s="3"/>
    </row>
    <row r="16" spans="1:22" ht="20.85" customHeight="1" x14ac:dyDescent="0.25">
      <c r="A16" s="21"/>
      <c r="B16" s="267"/>
      <c r="C16" s="3"/>
      <c r="D16" s="264"/>
      <c r="E16" s="264"/>
      <c r="F16" s="267"/>
      <c r="G16" s="267"/>
      <c r="H16" s="2"/>
      <c r="I16" s="2"/>
      <c r="J16" s="2"/>
      <c r="K16" s="24" t="str">
        <f>IF(Mar[[#This Row],[Date of Incident]]="","",TEXT(Mar[[#This Row],[Date of Incident]],"ddd"))</f>
        <v/>
      </c>
      <c r="L16" s="1"/>
      <c r="M16" s="24" t="str">
        <f>IFERROR(VLOOKUP(Mar[[#This Row],[Hour]],Shifts[],2,FALSE),"")</f>
        <v/>
      </c>
      <c r="N16" s="2"/>
      <c r="O16" s="24" t="str">
        <f>IFERROR(VLOOKUP(Mar[[#This Row],[BIMS Score]],BIMS[],2,FALSE),"")</f>
        <v/>
      </c>
      <c r="P16" s="3"/>
      <c r="Q16" s="3"/>
      <c r="R16" s="2"/>
      <c r="S16" s="168"/>
      <c r="T16" s="3"/>
      <c r="U16" s="3"/>
      <c r="V16" s="3"/>
    </row>
    <row r="17" spans="1:22" ht="20.85" customHeight="1" x14ac:dyDescent="0.25">
      <c r="A17" s="21"/>
      <c r="B17" s="267"/>
      <c r="C17" s="3"/>
      <c r="D17" s="264"/>
      <c r="E17" s="264"/>
      <c r="F17" s="267"/>
      <c r="G17" s="267"/>
      <c r="H17" s="2"/>
      <c r="I17" s="2"/>
      <c r="J17" s="2"/>
      <c r="K17" s="24" t="str">
        <f>IF(Mar[[#This Row],[Date of Incident]]="","",TEXT(Mar[[#This Row],[Date of Incident]],"ddd"))</f>
        <v/>
      </c>
      <c r="L17" s="1"/>
      <c r="M17" s="24" t="str">
        <f>IFERROR(VLOOKUP(Mar[[#This Row],[Hour]],Shifts[],2,FALSE),"")</f>
        <v/>
      </c>
      <c r="N17" s="2"/>
      <c r="O17" s="24" t="str">
        <f>IFERROR(VLOOKUP(Mar[[#This Row],[BIMS Score]],BIMS[],2,FALSE),"")</f>
        <v/>
      </c>
      <c r="P17" s="3"/>
      <c r="Q17" s="3"/>
      <c r="R17" s="2"/>
      <c r="S17" s="168"/>
      <c r="T17" s="3"/>
      <c r="U17" s="3"/>
      <c r="V17" s="3"/>
    </row>
    <row r="18" spans="1:22" ht="20.85" customHeight="1" x14ac:dyDescent="0.25">
      <c r="A18" s="21"/>
      <c r="B18" s="267"/>
      <c r="C18" s="3"/>
      <c r="D18" s="264"/>
      <c r="E18" s="264"/>
      <c r="F18" s="267"/>
      <c r="G18" s="267"/>
      <c r="H18" s="2"/>
      <c r="I18" s="2"/>
      <c r="J18" s="2"/>
      <c r="K18" s="24" t="str">
        <f>IF(Mar[[#This Row],[Date of Incident]]="","",TEXT(Mar[[#This Row],[Date of Incident]],"ddd"))</f>
        <v/>
      </c>
      <c r="L18" s="1"/>
      <c r="M18" s="24" t="str">
        <f>IFERROR(VLOOKUP(Mar[[#This Row],[Hour]],Shifts[],2,FALSE),"")</f>
        <v/>
      </c>
      <c r="N18" s="2"/>
      <c r="O18" s="24" t="str">
        <f>IFERROR(VLOOKUP(Mar[[#This Row],[BIMS Score]],BIMS[],2,FALSE),"")</f>
        <v/>
      </c>
      <c r="P18" s="3"/>
      <c r="Q18" s="3"/>
      <c r="R18" s="2"/>
      <c r="S18" s="168"/>
      <c r="T18" s="3"/>
      <c r="U18" s="3"/>
      <c r="V18" s="3"/>
    </row>
    <row r="19" spans="1:22" ht="20.85" customHeight="1" x14ac:dyDescent="0.25">
      <c r="A19" s="21"/>
      <c r="B19" s="267"/>
      <c r="C19" s="3"/>
      <c r="D19" s="264"/>
      <c r="E19" s="264"/>
      <c r="F19" s="267"/>
      <c r="G19" s="267"/>
      <c r="H19" s="2"/>
      <c r="I19" s="2"/>
      <c r="J19" s="2"/>
      <c r="K19" s="24" t="str">
        <f>IF(Mar[[#This Row],[Date of Incident]]="","",TEXT(Mar[[#This Row],[Date of Incident]],"ddd"))</f>
        <v/>
      </c>
      <c r="L19" s="1"/>
      <c r="M19" s="24" t="str">
        <f>IFERROR(VLOOKUP(Mar[[#This Row],[Hour]],Shifts[],2,FALSE),"")</f>
        <v/>
      </c>
      <c r="N19" s="2"/>
      <c r="O19" s="24" t="str">
        <f>IFERROR(VLOOKUP(Mar[[#This Row],[BIMS Score]],BIMS[],2,FALSE),"")</f>
        <v/>
      </c>
      <c r="P19" s="3"/>
      <c r="Q19" s="3"/>
      <c r="R19" s="2"/>
      <c r="S19" s="168"/>
      <c r="T19" s="3"/>
      <c r="U19" s="3"/>
      <c r="V19" s="3"/>
    </row>
    <row r="20" spans="1:22" ht="20.85" customHeight="1" x14ac:dyDescent="0.25">
      <c r="A20" s="21"/>
      <c r="B20" s="267"/>
      <c r="C20" s="3"/>
      <c r="D20" s="264"/>
      <c r="E20" s="264"/>
      <c r="F20" s="267"/>
      <c r="G20" s="267"/>
      <c r="H20" s="2"/>
      <c r="I20" s="2"/>
      <c r="J20" s="2"/>
      <c r="K20" s="24" t="str">
        <f>IF(Mar[[#This Row],[Date of Incident]]="","",TEXT(Mar[[#This Row],[Date of Incident]],"ddd"))</f>
        <v/>
      </c>
      <c r="L20" s="1"/>
      <c r="M20" s="24" t="str">
        <f>IFERROR(VLOOKUP(Mar[[#This Row],[Hour]],Shifts[],2,FALSE),"")</f>
        <v/>
      </c>
      <c r="N20" s="2"/>
      <c r="O20" s="24" t="str">
        <f>IFERROR(VLOOKUP(Mar[[#This Row],[BIMS Score]],BIMS[],2,FALSE),"")</f>
        <v/>
      </c>
      <c r="P20" s="3"/>
      <c r="Q20" s="3"/>
      <c r="R20" s="2"/>
      <c r="S20" s="168"/>
      <c r="T20" s="3"/>
      <c r="U20" s="3"/>
      <c r="V20" s="3"/>
    </row>
    <row r="21" spans="1:22" ht="20.85" customHeight="1" x14ac:dyDescent="0.25">
      <c r="A21" s="21"/>
      <c r="B21" s="267"/>
      <c r="C21" s="3"/>
      <c r="D21" s="264"/>
      <c r="E21" s="264"/>
      <c r="F21" s="267"/>
      <c r="G21" s="267"/>
      <c r="H21" s="2"/>
      <c r="I21" s="2"/>
      <c r="J21" s="2"/>
      <c r="K21" s="24" t="str">
        <f>IF(Mar[[#This Row],[Date of Incident]]="","",TEXT(Mar[[#This Row],[Date of Incident]],"ddd"))</f>
        <v/>
      </c>
      <c r="L21" s="1"/>
      <c r="M21" s="24" t="str">
        <f>IFERROR(VLOOKUP(Mar[[#This Row],[Hour]],Shifts[],2,FALSE),"")</f>
        <v/>
      </c>
      <c r="N21" s="2"/>
      <c r="O21" s="24" t="str">
        <f>IFERROR(VLOOKUP(Mar[[#This Row],[BIMS Score]],BIMS[],2,FALSE),"")</f>
        <v/>
      </c>
      <c r="P21" s="3"/>
      <c r="Q21" s="3"/>
      <c r="R21" s="2"/>
      <c r="S21" s="168"/>
      <c r="T21" s="3"/>
      <c r="U21" s="3"/>
      <c r="V21" s="3"/>
    </row>
    <row r="22" spans="1:22" ht="20.85" customHeight="1" x14ac:dyDescent="0.25">
      <c r="A22" s="21"/>
      <c r="B22" s="267"/>
      <c r="C22" s="3"/>
      <c r="D22" s="264"/>
      <c r="E22" s="264"/>
      <c r="F22" s="267"/>
      <c r="G22" s="267"/>
      <c r="H22" s="2"/>
      <c r="I22" s="2"/>
      <c r="J22" s="2"/>
      <c r="K22" s="24" t="str">
        <f>IF(Mar[[#This Row],[Date of Incident]]="","",TEXT(Mar[[#This Row],[Date of Incident]],"ddd"))</f>
        <v/>
      </c>
      <c r="L22" s="1"/>
      <c r="M22" s="24" t="str">
        <f>IFERROR(VLOOKUP(Mar[[#This Row],[Hour]],Shifts[],2,FALSE),"")</f>
        <v/>
      </c>
      <c r="N22" s="1"/>
      <c r="O22" s="24" t="str">
        <f>IFERROR(VLOOKUP(Mar[[#This Row],[BIMS Score]],BIMS[],2,FALSE),"")</f>
        <v/>
      </c>
      <c r="P22" s="3"/>
      <c r="Q22" s="3"/>
      <c r="R22" s="2"/>
      <c r="S22" s="168"/>
      <c r="T22" s="3"/>
      <c r="U22" s="3"/>
      <c r="V22" s="3"/>
    </row>
    <row r="23" spans="1:22" ht="20.85" customHeight="1" x14ac:dyDescent="0.25">
      <c r="A23" s="21"/>
      <c r="B23" s="267"/>
      <c r="C23" s="3"/>
      <c r="D23" s="264"/>
      <c r="E23" s="264"/>
      <c r="F23" s="267"/>
      <c r="G23" s="267"/>
      <c r="H23" s="2"/>
      <c r="I23" s="2"/>
      <c r="J23" s="2"/>
      <c r="K23" s="24" t="str">
        <f>IF(Mar[[#This Row],[Date of Incident]]="","",TEXT(Mar[[#This Row],[Date of Incident]],"ddd"))</f>
        <v/>
      </c>
      <c r="L23" s="1"/>
      <c r="M23" s="24" t="str">
        <f>IFERROR(VLOOKUP(Mar[[#This Row],[Hour]],Shifts[],2,FALSE),"")</f>
        <v/>
      </c>
      <c r="N23" s="1"/>
      <c r="O23" s="24" t="str">
        <f>IFERROR(VLOOKUP(Mar[[#This Row],[BIMS Score]],BIMS[],2,FALSE),"")</f>
        <v/>
      </c>
      <c r="P23" s="3"/>
      <c r="Q23" s="3"/>
      <c r="R23" s="2"/>
      <c r="S23" s="168"/>
      <c r="T23" s="3"/>
      <c r="U23" s="3"/>
      <c r="V23" s="3"/>
    </row>
    <row r="24" spans="1:22" s="10" customFormat="1" ht="20.85" customHeight="1" x14ac:dyDescent="0.25">
      <c r="A24" s="26"/>
      <c r="B24" s="266"/>
      <c r="C24" s="5"/>
      <c r="D24" s="263"/>
      <c r="E24" s="263"/>
      <c r="F24" s="267"/>
      <c r="G24" s="267"/>
      <c r="H24" s="1"/>
      <c r="I24" s="1"/>
      <c r="J24" s="1"/>
      <c r="K24" s="24" t="str">
        <f>IF(Mar[[#This Row],[Date of Incident]]="","",TEXT(Mar[[#This Row],[Date of Incident]],"ddd"))</f>
        <v/>
      </c>
      <c r="L24" s="1"/>
      <c r="M24" s="24" t="str">
        <f>IFERROR(VLOOKUP(Mar[[#This Row],[Hour]],Shifts[],2,FALSE),"")</f>
        <v/>
      </c>
      <c r="N24" s="1"/>
      <c r="O24" s="24" t="str">
        <f>IFERROR(VLOOKUP(Mar[[#This Row],[BIMS Score]],BIMS[],2,FALSE),"")</f>
        <v/>
      </c>
      <c r="P24" s="3"/>
      <c r="Q24" s="3"/>
      <c r="R24" s="2"/>
      <c r="S24" s="168"/>
      <c r="T24" s="5"/>
      <c r="U24" s="5"/>
      <c r="V24" s="3"/>
    </row>
    <row r="25" spans="1:22" ht="20.85" customHeight="1" x14ac:dyDescent="0.25">
      <c r="A25" s="21"/>
      <c r="B25" s="266"/>
      <c r="C25" s="5"/>
      <c r="D25" s="263"/>
      <c r="E25" s="263"/>
      <c r="F25" s="267"/>
      <c r="G25" s="267"/>
      <c r="H25" s="1"/>
      <c r="I25" s="1"/>
      <c r="J25" s="1"/>
      <c r="K25" s="24" t="str">
        <f>IF(Mar[[#This Row],[Date of Incident]]="","",TEXT(Mar[[#This Row],[Date of Incident]],"ddd"))</f>
        <v/>
      </c>
      <c r="L25" s="1"/>
      <c r="M25" s="24" t="str">
        <f>IFERROR(VLOOKUP(Mar[[#This Row],[Hour]],Shifts[],2,FALSE),"")</f>
        <v/>
      </c>
      <c r="N25" s="1"/>
      <c r="O25" s="24" t="str">
        <f>IFERROR(VLOOKUP(Mar[[#This Row],[BIMS Score]],BIMS[],2,FALSE),"")</f>
        <v/>
      </c>
      <c r="P25" s="3"/>
      <c r="Q25" s="3"/>
      <c r="R25" s="2"/>
      <c r="S25" s="168"/>
      <c r="T25" s="5"/>
      <c r="U25" s="5"/>
      <c r="V25" s="3"/>
    </row>
    <row r="26" spans="1:22" ht="20.85" customHeight="1" x14ac:dyDescent="0.25">
      <c r="A26" s="21"/>
      <c r="B26" s="266"/>
      <c r="C26" s="5"/>
      <c r="D26" s="263"/>
      <c r="E26" s="263"/>
      <c r="F26" s="267"/>
      <c r="G26" s="267"/>
      <c r="H26" s="1"/>
      <c r="I26" s="1"/>
      <c r="J26" s="1"/>
      <c r="K26" s="24" t="str">
        <f>IF(Mar[[#This Row],[Date of Incident]]="","",TEXT(Mar[[#This Row],[Date of Incident]],"ddd"))</f>
        <v/>
      </c>
      <c r="L26" s="1"/>
      <c r="M26" s="24" t="str">
        <f>IFERROR(VLOOKUP(Mar[[#This Row],[Hour]],Shifts[],2,FALSE),"")</f>
        <v/>
      </c>
      <c r="N26" s="1"/>
      <c r="O26" s="24" t="str">
        <f>IFERROR(VLOOKUP(Mar[[#This Row],[BIMS Score]],BIMS[],2,FALSE),"")</f>
        <v/>
      </c>
      <c r="P26" s="3"/>
      <c r="Q26" s="3"/>
      <c r="R26" s="2"/>
      <c r="S26" s="168"/>
      <c r="T26" s="5"/>
      <c r="U26" s="5"/>
      <c r="V26" s="3"/>
    </row>
    <row r="27" spans="1:22" ht="20.85" customHeight="1" x14ac:dyDescent="0.25">
      <c r="A27" s="21"/>
      <c r="B27" s="266"/>
      <c r="C27" s="5"/>
      <c r="D27" s="263"/>
      <c r="E27" s="263"/>
      <c r="F27" s="267"/>
      <c r="G27" s="267"/>
      <c r="H27" s="1"/>
      <c r="I27" s="1"/>
      <c r="J27" s="1"/>
      <c r="K27" s="24" t="str">
        <f>IF(Mar[[#This Row],[Date of Incident]]="","",TEXT(Mar[[#This Row],[Date of Incident]],"ddd"))</f>
        <v/>
      </c>
      <c r="L27" s="1"/>
      <c r="M27" s="24" t="str">
        <f>IFERROR(VLOOKUP(Mar[[#This Row],[Hour]],Shifts[],2,FALSE),"")</f>
        <v/>
      </c>
      <c r="N27" s="1"/>
      <c r="O27" s="24" t="str">
        <f>IFERROR(VLOOKUP(Mar[[#This Row],[BIMS Score]],BIMS[],2,FALSE),"")</f>
        <v/>
      </c>
      <c r="P27" s="3"/>
      <c r="Q27" s="3"/>
      <c r="R27" s="2"/>
      <c r="S27" s="168"/>
      <c r="T27" s="5"/>
      <c r="U27" s="5"/>
      <c r="V27" s="3"/>
    </row>
    <row r="28" spans="1:22" ht="20.85" customHeight="1" x14ac:dyDescent="0.25">
      <c r="A28" s="21"/>
      <c r="B28" s="266"/>
      <c r="C28" s="5"/>
      <c r="D28" s="263"/>
      <c r="E28" s="263"/>
      <c r="F28" s="267"/>
      <c r="G28" s="267"/>
      <c r="H28" s="1"/>
      <c r="I28" s="1"/>
      <c r="J28" s="1"/>
      <c r="K28" s="24" t="str">
        <f>IF(Mar[[#This Row],[Date of Incident]]="","",TEXT(Mar[[#This Row],[Date of Incident]],"ddd"))</f>
        <v/>
      </c>
      <c r="L28" s="1"/>
      <c r="M28" s="24" t="str">
        <f>IFERROR(VLOOKUP(Mar[[#This Row],[Hour]],Shifts[],2,FALSE),"")</f>
        <v/>
      </c>
      <c r="N28" s="1"/>
      <c r="O28" s="24" t="str">
        <f>IFERROR(VLOOKUP(Mar[[#This Row],[BIMS Score]],BIMS[],2,FALSE),"")</f>
        <v/>
      </c>
      <c r="P28" s="3"/>
      <c r="Q28" s="3"/>
      <c r="R28" s="2"/>
      <c r="S28" s="168"/>
      <c r="T28" s="5"/>
      <c r="U28" s="5"/>
      <c r="V28" s="3"/>
    </row>
    <row r="29" spans="1:22" ht="20.85" customHeight="1" x14ac:dyDescent="0.25">
      <c r="B29" s="266"/>
      <c r="C29" s="5"/>
      <c r="D29" s="263"/>
      <c r="E29" s="263"/>
      <c r="F29" s="267"/>
      <c r="G29" s="267"/>
      <c r="H29" s="1"/>
      <c r="I29" s="1"/>
      <c r="J29" s="1"/>
      <c r="K29" s="27" t="str">
        <f>IF(Mar[[#This Row],[Date of Incident]]="","",TEXT(Mar[[#This Row],[Date of Incident]],"ddd"))</f>
        <v/>
      </c>
      <c r="L29" s="1"/>
      <c r="M29" s="27" t="str">
        <f>IFERROR(VLOOKUP(Mar[[#This Row],[Hour]],Shifts[],2,FALSE),"")</f>
        <v/>
      </c>
      <c r="N29" s="2"/>
      <c r="O29" s="24" t="str">
        <f>IFERROR(VLOOKUP(Mar[[#This Row],[BIMS Score]],BIMS[],2,FALSE),"")</f>
        <v/>
      </c>
      <c r="P29" s="3"/>
      <c r="Q29" s="3"/>
      <c r="R29" s="2"/>
      <c r="S29" s="168"/>
      <c r="T29" s="5"/>
      <c r="U29" s="5"/>
      <c r="V29" s="5"/>
    </row>
    <row r="30" spans="1:22" ht="20.85" customHeight="1" x14ac:dyDescent="0.25">
      <c r="B30" s="266"/>
      <c r="C30" s="5"/>
      <c r="D30" s="263"/>
      <c r="E30" s="263"/>
      <c r="F30" s="267"/>
      <c r="G30" s="267"/>
      <c r="H30" s="1"/>
      <c r="I30" s="1"/>
      <c r="J30" s="1"/>
      <c r="K30" s="27" t="str">
        <f>IF(Mar[[#This Row],[Date of Incident]]="","",TEXT(Mar[[#This Row],[Date of Incident]],"ddd"))</f>
        <v/>
      </c>
      <c r="L30" s="1"/>
      <c r="M30" s="27" t="str">
        <f>IFERROR(VLOOKUP(Mar[[#This Row],[Hour]],Shifts[],2,FALSE),"")</f>
        <v/>
      </c>
      <c r="N30" s="2"/>
      <c r="O30" s="24" t="str">
        <f>IFERROR(VLOOKUP(Mar[[#This Row],[BIMS Score]],BIMS[],2,FALSE),"")</f>
        <v/>
      </c>
      <c r="P30" s="3"/>
      <c r="Q30" s="3"/>
      <c r="R30" s="2"/>
      <c r="S30" s="168"/>
      <c r="T30" s="5"/>
      <c r="U30" s="5"/>
      <c r="V30" s="5"/>
    </row>
    <row r="31" spans="1:22" ht="20.85" customHeight="1" x14ac:dyDescent="0.25">
      <c r="B31" s="266"/>
      <c r="C31" s="5"/>
      <c r="D31" s="263"/>
      <c r="E31" s="263"/>
      <c r="F31" s="267"/>
      <c r="G31" s="267"/>
      <c r="H31" s="1"/>
      <c r="I31" s="1"/>
      <c r="J31" s="1"/>
      <c r="K31" s="27" t="str">
        <f>IF(Mar[[#This Row],[Date of Incident]]="","",TEXT(Mar[[#This Row],[Date of Incident]],"ddd"))</f>
        <v/>
      </c>
      <c r="L31" s="1"/>
      <c r="M31" s="27" t="str">
        <f>IFERROR(VLOOKUP(Mar[[#This Row],[Hour]],Shifts[],2,FALSE),"")</f>
        <v/>
      </c>
      <c r="N31" s="2"/>
      <c r="O31" s="24" t="str">
        <f>IFERROR(VLOOKUP(Mar[[#This Row],[BIMS Score]],BIMS[],2,FALSE),"")</f>
        <v/>
      </c>
      <c r="P31" s="3"/>
      <c r="Q31" s="3"/>
      <c r="R31" s="2"/>
      <c r="S31" s="168"/>
      <c r="T31" s="5"/>
      <c r="U31" s="5"/>
      <c r="V31" s="5"/>
    </row>
    <row r="32" spans="1:22" ht="20.85" customHeight="1" x14ac:dyDescent="0.25">
      <c r="B32" s="266"/>
      <c r="C32" s="5"/>
      <c r="D32" s="263"/>
      <c r="E32" s="263"/>
      <c r="F32" s="267"/>
      <c r="G32" s="267"/>
      <c r="H32" s="1"/>
      <c r="I32" s="1"/>
      <c r="J32" s="1"/>
      <c r="K32" s="27" t="str">
        <f>IF(Mar[[#This Row],[Date of Incident]]="","",TEXT(Mar[[#This Row],[Date of Incident]],"ddd"))</f>
        <v/>
      </c>
      <c r="L32" s="1"/>
      <c r="M32" s="27" t="str">
        <f>IFERROR(VLOOKUP(Mar[[#This Row],[Hour]],Shifts[],2,FALSE),"")</f>
        <v/>
      </c>
      <c r="N32" s="2"/>
      <c r="O32" s="24" t="str">
        <f>IFERROR(VLOOKUP(Mar[[#This Row],[BIMS Score]],BIMS[],2,FALSE),"")</f>
        <v/>
      </c>
      <c r="P32" s="3"/>
      <c r="Q32" s="3"/>
      <c r="R32" s="2"/>
      <c r="S32" s="168"/>
      <c r="T32" s="5"/>
      <c r="U32" s="5"/>
      <c r="V32" s="5"/>
    </row>
    <row r="33" spans="2:22" ht="20.85" customHeight="1" x14ac:dyDescent="0.25">
      <c r="B33" s="266"/>
      <c r="C33" s="5"/>
      <c r="D33" s="263"/>
      <c r="E33" s="263"/>
      <c r="F33" s="267"/>
      <c r="G33" s="267"/>
      <c r="H33" s="1"/>
      <c r="I33" s="1"/>
      <c r="J33" s="1"/>
      <c r="K33" s="27" t="str">
        <f>IF(Mar[[#This Row],[Date of Incident]]="","",TEXT(Mar[[#This Row],[Date of Incident]],"ddd"))</f>
        <v/>
      </c>
      <c r="L33" s="1"/>
      <c r="M33" s="27" t="str">
        <f>IFERROR(VLOOKUP(Mar[[#This Row],[Hour]],Shifts[],2,FALSE),"")</f>
        <v/>
      </c>
      <c r="N33" s="2"/>
      <c r="O33" s="24" t="str">
        <f>IFERROR(VLOOKUP(Mar[[#This Row],[BIMS Score]],BIMS[],2,FALSE),"")</f>
        <v/>
      </c>
      <c r="P33" s="3"/>
      <c r="Q33" s="3"/>
      <c r="R33" s="2"/>
      <c r="S33" s="168"/>
      <c r="T33" s="5"/>
      <c r="U33" s="5"/>
      <c r="V33" s="5"/>
    </row>
    <row r="34" spans="2:22" ht="20.85" customHeight="1" x14ac:dyDescent="0.25">
      <c r="B34" s="266"/>
      <c r="C34" s="5"/>
      <c r="D34" s="263"/>
      <c r="E34" s="263"/>
      <c r="F34" s="267"/>
      <c r="G34" s="267"/>
      <c r="H34" s="1"/>
      <c r="I34" s="1"/>
      <c r="J34" s="1"/>
      <c r="K34" s="27" t="str">
        <f>IF(Mar[[#This Row],[Date of Incident]]="","",TEXT(Mar[[#This Row],[Date of Incident]],"ddd"))</f>
        <v/>
      </c>
      <c r="L34" s="1"/>
      <c r="M34" s="27" t="str">
        <f>IFERROR(VLOOKUP(Mar[[#This Row],[Hour]],Shifts[],2,FALSE),"")</f>
        <v/>
      </c>
      <c r="N34" s="2"/>
      <c r="O34" s="24" t="str">
        <f>IFERROR(VLOOKUP(Mar[[#This Row],[BIMS Score]],BIMS[],2,FALSE),"")</f>
        <v/>
      </c>
      <c r="P34" s="3"/>
      <c r="Q34" s="3"/>
      <c r="R34" s="2"/>
      <c r="S34" s="168"/>
      <c r="T34" s="5"/>
      <c r="U34" s="5"/>
      <c r="V34" s="5"/>
    </row>
    <row r="35" spans="2:22" ht="20.85" customHeight="1" x14ac:dyDescent="0.25">
      <c r="B35" s="266"/>
      <c r="C35" s="5"/>
      <c r="D35" s="263"/>
      <c r="E35" s="263"/>
      <c r="F35" s="267"/>
      <c r="G35" s="267"/>
      <c r="H35" s="1"/>
      <c r="I35" s="1"/>
      <c r="J35" s="1"/>
      <c r="K35" s="27" t="str">
        <f>IF(Mar[[#This Row],[Date of Incident]]="","",TEXT(Mar[[#This Row],[Date of Incident]],"ddd"))</f>
        <v/>
      </c>
      <c r="L35" s="1"/>
      <c r="M35" s="27" t="str">
        <f>IFERROR(VLOOKUP(Mar[[#This Row],[Hour]],Shifts[],2,FALSE),"")</f>
        <v/>
      </c>
      <c r="N35" s="2"/>
      <c r="O35" s="24" t="str">
        <f>IFERROR(VLOOKUP(Mar[[#This Row],[BIMS Score]],BIMS[],2,FALSE),"")</f>
        <v/>
      </c>
      <c r="P35" s="3"/>
      <c r="Q35" s="3"/>
      <c r="R35" s="2"/>
      <c r="S35" s="168"/>
      <c r="T35" s="5"/>
      <c r="U35" s="5"/>
      <c r="V35" s="5"/>
    </row>
    <row r="36" spans="2:22" ht="20.85" customHeight="1" x14ac:dyDescent="0.25">
      <c r="B36" s="266"/>
      <c r="C36" s="5"/>
      <c r="D36" s="263"/>
      <c r="E36" s="263"/>
      <c r="F36" s="267"/>
      <c r="G36" s="267"/>
      <c r="H36" s="1"/>
      <c r="I36" s="1"/>
      <c r="J36" s="1"/>
      <c r="K36" s="27" t="str">
        <f>IF(Mar[[#This Row],[Date of Incident]]="","",TEXT(Mar[[#This Row],[Date of Incident]],"ddd"))</f>
        <v/>
      </c>
      <c r="L36" s="1"/>
      <c r="M36" s="27" t="str">
        <f>IFERROR(VLOOKUP(Mar[[#This Row],[Hour]],Shifts[],2,FALSE),"")</f>
        <v/>
      </c>
      <c r="N36" s="2"/>
      <c r="O36" s="24" t="str">
        <f>IFERROR(VLOOKUP(Mar[[#This Row],[BIMS Score]],BIMS[],2,FALSE),"")</f>
        <v/>
      </c>
      <c r="P36" s="3"/>
      <c r="Q36" s="3"/>
      <c r="R36" s="2"/>
      <c r="S36" s="168"/>
      <c r="T36" s="5"/>
      <c r="U36" s="5"/>
      <c r="V36" s="5"/>
    </row>
    <row r="37" spans="2:22" ht="20.85" customHeight="1" x14ac:dyDescent="0.25">
      <c r="B37" s="266"/>
      <c r="C37" s="5"/>
      <c r="D37" s="263"/>
      <c r="E37" s="263"/>
      <c r="F37" s="267"/>
      <c r="G37" s="267"/>
      <c r="H37" s="1"/>
      <c r="I37" s="1"/>
      <c r="J37" s="1"/>
      <c r="K37" s="27" t="str">
        <f>IF(Mar[[#This Row],[Date of Incident]]="","",TEXT(Mar[[#This Row],[Date of Incident]],"ddd"))</f>
        <v/>
      </c>
      <c r="L37" s="1"/>
      <c r="M37" s="27" t="str">
        <f>IFERROR(VLOOKUP(Mar[[#This Row],[Hour]],Shifts[],2,FALSE),"")</f>
        <v/>
      </c>
      <c r="N37" s="2"/>
      <c r="O37" s="24" t="str">
        <f>IFERROR(VLOOKUP(Mar[[#This Row],[BIMS Score]],BIMS[],2,FALSE),"")</f>
        <v/>
      </c>
      <c r="P37" s="3"/>
      <c r="Q37" s="3"/>
      <c r="R37" s="2"/>
      <c r="S37" s="168"/>
      <c r="T37" s="5"/>
      <c r="U37" s="5"/>
      <c r="V37" s="5"/>
    </row>
    <row r="38" spans="2:22" ht="20.85" customHeight="1" x14ac:dyDescent="0.25">
      <c r="B38" s="266"/>
      <c r="C38" s="5"/>
      <c r="D38" s="263"/>
      <c r="E38" s="263"/>
      <c r="F38" s="267"/>
      <c r="G38" s="267"/>
      <c r="H38" s="1"/>
      <c r="I38" s="1"/>
      <c r="J38" s="1"/>
      <c r="K38" s="27" t="str">
        <f>IF(Mar[[#This Row],[Date of Incident]]="","",TEXT(Mar[[#This Row],[Date of Incident]],"ddd"))</f>
        <v/>
      </c>
      <c r="L38" s="1"/>
      <c r="M38" s="27" t="str">
        <f>IFERROR(VLOOKUP(Mar[[#This Row],[Hour]],Shifts[],2,FALSE),"")</f>
        <v/>
      </c>
      <c r="N38" s="2"/>
      <c r="O38" s="24" t="str">
        <f>IFERROR(VLOOKUP(Mar[[#This Row],[BIMS Score]],BIMS[],2,FALSE),"")</f>
        <v/>
      </c>
      <c r="P38" s="3"/>
      <c r="Q38" s="3"/>
      <c r="R38" s="2"/>
      <c r="S38" s="168"/>
      <c r="T38" s="5"/>
      <c r="U38" s="5"/>
      <c r="V38" s="5"/>
    </row>
    <row r="39" spans="2:22" ht="20.85" customHeight="1" x14ac:dyDescent="0.25">
      <c r="B39" s="266"/>
      <c r="C39" s="5"/>
      <c r="D39" s="263"/>
      <c r="E39" s="263"/>
      <c r="F39" s="267"/>
      <c r="G39" s="267"/>
      <c r="H39" s="1"/>
      <c r="I39" s="1"/>
      <c r="J39" s="1"/>
      <c r="K39" s="27" t="str">
        <f>IF(Mar[[#This Row],[Date of Incident]]="","",TEXT(Mar[[#This Row],[Date of Incident]],"ddd"))</f>
        <v/>
      </c>
      <c r="L39" s="1"/>
      <c r="M39" s="27" t="str">
        <f>IFERROR(VLOOKUP(Mar[[#This Row],[Hour]],Shifts[],2,FALSE),"")</f>
        <v/>
      </c>
      <c r="N39" s="2"/>
      <c r="O39" s="24" t="str">
        <f>IFERROR(VLOOKUP(Mar[[#This Row],[BIMS Score]],BIMS[],2,FALSE),"")</f>
        <v/>
      </c>
      <c r="P39" s="3"/>
      <c r="Q39" s="3"/>
      <c r="R39" s="2"/>
      <c r="S39" s="168"/>
      <c r="T39" s="5"/>
      <c r="U39" s="5"/>
      <c r="V39" s="5"/>
    </row>
    <row r="40" spans="2:22" ht="20.85" customHeight="1" x14ac:dyDescent="0.25">
      <c r="B40" s="266"/>
      <c r="C40" s="5"/>
      <c r="D40" s="263"/>
      <c r="E40" s="263"/>
      <c r="F40" s="267"/>
      <c r="G40" s="267"/>
      <c r="H40" s="1"/>
      <c r="I40" s="1"/>
      <c r="J40" s="1"/>
      <c r="K40" s="27" t="str">
        <f>IF(Mar[[#This Row],[Date of Incident]]="","",TEXT(Mar[[#This Row],[Date of Incident]],"ddd"))</f>
        <v/>
      </c>
      <c r="L40" s="1"/>
      <c r="M40" s="27" t="str">
        <f>IFERROR(VLOOKUP(Mar[[#This Row],[Hour]],Shifts[],2,FALSE),"")</f>
        <v/>
      </c>
      <c r="N40" s="2"/>
      <c r="O40" s="24" t="str">
        <f>IFERROR(VLOOKUP(Mar[[#This Row],[BIMS Score]],BIMS[],2,FALSE),"")</f>
        <v/>
      </c>
      <c r="P40" s="3"/>
      <c r="Q40" s="3"/>
      <c r="R40" s="2"/>
      <c r="S40" s="168"/>
      <c r="T40" s="5"/>
      <c r="U40" s="5"/>
      <c r="V40" s="5"/>
    </row>
    <row r="41" spans="2:22" x14ac:dyDescent="0.25">
      <c r="B41" s="26"/>
      <c r="C41" s="21"/>
      <c r="D41" s="22"/>
      <c r="E41" s="23"/>
      <c r="F41" s="26"/>
      <c r="G41" s="26"/>
      <c r="H41" s="26"/>
      <c r="I41" s="26"/>
      <c r="J41" s="26"/>
      <c r="K41" s="26"/>
      <c r="L41" s="26"/>
      <c r="M41" s="26"/>
      <c r="N41" s="20"/>
      <c r="O41" s="25"/>
      <c r="P41" s="21"/>
      <c r="Q41" s="21"/>
      <c r="R41" s="25"/>
    </row>
    <row r="42" spans="2:22" x14ac:dyDescent="0.25">
      <c r="B42" s="26"/>
      <c r="C42" s="21"/>
      <c r="D42" s="22"/>
      <c r="E42" s="23"/>
      <c r="F42" s="26"/>
      <c r="G42" s="26"/>
      <c r="H42" s="26"/>
      <c r="I42" s="26"/>
      <c r="J42" s="26"/>
      <c r="K42" s="26"/>
      <c r="L42" s="26"/>
      <c r="M42" s="26"/>
      <c r="N42" s="20"/>
      <c r="O42" s="25"/>
      <c r="P42" s="21"/>
      <c r="Q42" s="21"/>
      <c r="R42" s="25"/>
    </row>
    <row r="43" spans="2:22" x14ac:dyDescent="0.25">
      <c r="B43" s="26"/>
      <c r="C43" s="21"/>
      <c r="D43" s="22"/>
      <c r="E43" s="23"/>
      <c r="F43" s="26"/>
      <c r="G43" s="26"/>
      <c r="H43" s="26"/>
      <c r="I43" s="26"/>
      <c r="J43" s="26"/>
      <c r="K43" s="26"/>
      <c r="L43" s="26"/>
      <c r="M43" s="26"/>
      <c r="N43" s="20"/>
      <c r="O43" s="25"/>
      <c r="P43" s="21"/>
      <c r="Q43" s="21"/>
      <c r="R43" s="25"/>
    </row>
    <row r="44" spans="2:22" x14ac:dyDescent="0.25">
      <c r="B44" s="26"/>
      <c r="C44" s="21"/>
      <c r="D44" s="22"/>
      <c r="E44" s="23"/>
      <c r="F44" s="26"/>
      <c r="G44" s="26"/>
      <c r="H44" s="26"/>
      <c r="I44" s="26"/>
      <c r="J44" s="26"/>
      <c r="K44" s="26"/>
      <c r="L44" s="26"/>
      <c r="M44" s="26"/>
      <c r="N44" s="20"/>
      <c r="O44" s="25"/>
      <c r="P44" s="21"/>
      <c r="Q44" s="21"/>
      <c r="R44" s="25"/>
    </row>
    <row r="45" spans="2:22" x14ac:dyDescent="0.25">
      <c r="B45" s="26"/>
      <c r="C45" s="21"/>
      <c r="D45" s="22"/>
      <c r="E45" s="23"/>
      <c r="F45" s="26"/>
      <c r="G45" s="26"/>
      <c r="H45" s="26"/>
      <c r="I45" s="26"/>
      <c r="J45" s="26"/>
      <c r="K45" s="26"/>
      <c r="L45" s="26"/>
      <c r="M45" s="26"/>
      <c r="N45" s="20"/>
      <c r="O45" s="25"/>
      <c r="P45" s="21"/>
      <c r="Q45" s="21"/>
      <c r="R45" s="25"/>
    </row>
    <row r="46" spans="2:22" x14ac:dyDescent="0.25">
      <c r="B46" s="26"/>
      <c r="C46" s="21"/>
      <c r="D46" s="22"/>
      <c r="E46" s="23"/>
      <c r="F46" s="26"/>
      <c r="G46" s="26"/>
      <c r="H46" s="26"/>
      <c r="I46" s="26"/>
      <c r="J46" s="26"/>
      <c r="K46" s="26"/>
      <c r="L46" s="26"/>
      <c r="M46" s="26"/>
      <c r="N46" s="20"/>
      <c r="O46" s="25"/>
      <c r="P46" s="21"/>
      <c r="Q46" s="21"/>
      <c r="R46" s="25"/>
    </row>
    <row r="47" spans="2:22" x14ac:dyDescent="0.25">
      <c r="B47" s="26"/>
      <c r="C47" s="21"/>
      <c r="D47" s="22"/>
      <c r="E47" s="23"/>
      <c r="F47" s="26"/>
      <c r="G47" s="26"/>
      <c r="H47" s="26"/>
      <c r="I47" s="26"/>
      <c r="J47" s="26"/>
      <c r="K47" s="26"/>
      <c r="L47" s="26"/>
      <c r="M47" s="26"/>
      <c r="N47" s="20"/>
      <c r="O47" s="25"/>
      <c r="P47" s="21"/>
      <c r="Q47" s="21"/>
      <c r="R47" s="25"/>
    </row>
    <row r="48" spans="2:22" x14ac:dyDescent="0.25">
      <c r="B48" s="26"/>
      <c r="C48" s="21"/>
      <c r="D48" s="22"/>
      <c r="E48" s="23"/>
      <c r="F48" s="26"/>
      <c r="G48" s="26"/>
      <c r="H48" s="26"/>
      <c r="I48" s="26"/>
      <c r="J48" s="26"/>
      <c r="K48" s="26"/>
      <c r="L48" s="26"/>
      <c r="M48" s="26"/>
      <c r="N48" s="20"/>
      <c r="O48" s="25"/>
      <c r="P48" s="21"/>
      <c r="Q48" s="21"/>
      <c r="R48" s="25"/>
    </row>
    <row r="49" spans="1:18" x14ac:dyDescent="0.25">
      <c r="B49" s="26"/>
      <c r="C49" s="21"/>
      <c r="D49" s="22"/>
      <c r="E49" s="23"/>
      <c r="F49" s="26"/>
      <c r="G49" s="26"/>
      <c r="H49" s="26"/>
      <c r="I49" s="26"/>
      <c r="J49" s="26"/>
      <c r="K49" s="26"/>
      <c r="L49" s="26"/>
      <c r="M49" s="26"/>
      <c r="N49" s="20"/>
      <c r="O49" s="25"/>
      <c r="P49" s="21"/>
      <c r="Q49" s="21"/>
      <c r="R49" s="25"/>
    </row>
    <row r="50" spans="1:18" ht="15.75" thickBot="1" x14ac:dyDescent="0.3">
      <c r="B50" s="26"/>
      <c r="C50" s="21"/>
      <c r="D50" s="22"/>
      <c r="E50" s="23"/>
      <c r="F50" s="26"/>
      <c r="G50" s="26"/>
      <c r="H50" s="26"/>
      <c r="I50" s="26"/>
      <c r="Q50" s="21"/>
    </row>
    <row r="51" spans="1:18" ht="22.35" customHeight="1" thickBot="1" x14ac:dyDescent="0.3">
      <c r="B51" s="280" t="s">
        <v>85</v>
      </c>
      <c r="C51" s="281"/>
      <c r="D51" s="282"/>
      <c r="F51" s="280" t="s">
        <v>100</v>
      </c>
      <c r="G51" s="281"/>
      <c r="H51" s="282"/>
    </row>
    <row r="52" spans="1:18" ht="15.6" customHeight="1" x14ac:dyDescent="0.25">
      <c r="B52" s="283" t="s">
        <v>83</v>
      </c>
      <c r="C52" s="284"/>
      <c r="D52" s="28" t="s">
        <v>35</v>
      </c>
      <c r="F52" s="283" t="s">
        <v>83</v>
      </c>
      <c r="G52" s="284"/>
      <c r="H52" s="28" t="s">
        <v>35</v>
      </c>
    </row>
    <row r="53" spans="1:18" x14ac:dyDescent="0.25">
      <c r="B53" s="29" t="s">
        <v>41</v>
      </c>
      <c r="C53" s="30"/>
      <c r="D53" s="31">
        <f>COUNTIFS(Mar[Witnessed
Fall?],$B53)</f>
        <v>0</v>
      </c>
      <c r="F53" s="29" t="s">
        <v>79</v>
      </c>
      <c r="G53" s="30"/>
      <c r="H53" s="31">
        <f>COUNTIFS(Mar[Fall Circumstances],$F53)</f>
        <v>0</v>
      </c>
    </row>
    <row r="54" spans="1:18" ht="15.75" thickBot="1" x14ac:dyDescent="0.3">
      <c r="B54" s="32" t="s">
        <v>42</v>
      </c>
      <c r="C54" s="33"/>
      <c r="D54" s="34">
        <f>COUNTIFS(Mar[Witnessed
Fall?],$B54)</f>
        <v>0</v>
      </c>
      <c r="F54" s="29" t="s">
        <v>101</v>
      </c>
      <c r="G54" s="30"/>
      <c r="H54" s="31">
        <f>COUNTIFS(Mar[Fall Circumstances],$F54)</f>
        <v>0</v>
      </c>
    </row>
    <row r="55" spans="1:18" ht="15.6" customHeight="1" thickBot="1" x14ac:dyDescent="0.3">
      <c r="B55" s="285" t="s">
        <v>16</v>
      </c>
      <c r="C55" s="286"/>
      <c r="D55" s="35">
        <f>SUM(D53:D54)</f>
        <v>0</v>
      </c>
      <c r="F55" s="32" t="s">
        <v>102</v>
      </c>
      <c r="G55" s="33"/>
      <c r="H55" s="36">
        <f>COUNTIFS(Mar[Fall Circumstances],$F55)</f>
        <v>0</v>
      </c>
    </row>
    <row r="56" spans="1:18" ht="15.6" customHeight="1" thickBot="1" x14ac:dyDescent="0.3">
      <c r="A56" s="26"/>
      <c r="B56" s="21"/>
      <c r="C56" s="22"/>
      <c r="D56" s="26"/>
      <c r="F56" s="285" t="s">
        <v>16</v>
      </c>
      <c r="G56" s="286"/>
      <c r="H56" s="37">
        <f>SUM(H53:H55)</f>
        <v>0</v>
      </c>
    </row>
    <row r="57" spans="1:18" ht="15.75" thickBot="1" x14ac:dyDescent="0.3">
      <c r="A57" s="26"/>
      <c r="B57" s="21"/>
      <c r="C57" s="22"/>
      <c r="D57" s="26"/>
      <c r="F57" s="26"/>
      <c r="G57" s="21"/>
      <c r="H57" s="22"/>
      <c r="L57" s="21"/>
      <c r="O57" s="22"/>
    </row>
    <row r="58" spans="1:18" ht="15.75" thickBot="1" x14ac:dyDescent="0.3">
      <c r="A58" s="26"/>
      <c r="B58" s="21"/>
      <c r="C58" s="22"/>
      <c r="D58" s="26"/>
      <c r="F58" s="280" t="s">
        <v>103</v>
      </c>
      <c r="G58" s="281"/>
      <c r="H58" s="282"/>
      <c r="L58" s="21"/>
      <c r="O58" s="22"/>
    </row>
    <row r="59" spans="1:18" x14ac:dyDescent="0.25">
      <c r="A59" s="26"/>
      <c r="B59" s="21"/>
      <c r="C59" s="22"/>
      <c r="D59" s="26"/>
      <c r="F59" s="283" t="s">
        <v>26</v>
      </c>
      <c r="G59" s="284"/>
      <c r="H59" s="28" t="s">
        <v>35</v>
      </c>
      <c r="L59" s="21"/>
      <c r="O59" s="22"/>
    </row>
    <row r="60" spans="1:18" ht="15.6" customHeight="1" x14ac:dyDescent="0.25">
      <c r="F60" s="29" t="s">
        <v>142</v>
      </c>
      <c r="G60" s="30"/>
      <c r="H60" s="31">
        <f>COUNTIFS(Mar[Cognitive Impairment],$F60)</f>
        <v>0</v>
      </c>
    </row>
    <row r="61" spans="1:18" x14ac:dyDescent="0.25">
      <c r="F61" s="29" t="s">
        <v>143</v>
      </c>
      <c r="G61" s="30"/>
      <c r="H61" s="31">
        <f>COUNTIFS(Mar[Cognitive Impairment],$F61)</f>
        <v>0</v>
      </c>
    </row>
    <row r="62" spans="1:18" ht="15.75" thickBot="1" x14ac:dyDescent="0.3">
      <c r="F62" s="32" t="s">
        <v>144</v>
      </c>
      <c r="G62" s="33"/>
      <c r="H62" s="31">
        <f>COUNTIFS(Mar[Cognitive Impairment],$F62)</f>
        <v>0</v>
      </c>
    </row>
    <row r="63" spans="1:18" ht="15.75" thickBot="1" x14ac:dyDescent="0.3">
      <c r="F63" s="285" t="s">
        <v>16</v>
      </c>
      <c r="G63" s="286"/>
      <c r="H63" s="37">
        <f>SUM(H60:H62)</f>
        <v>0</v>
      </c>
    </row>
    <row r="64" spans="1:18" ht="15.75" thickBot="1" x14ac:dyDescent="0.3"/>
    <row r="65" spans="1:8" ht="21.4" customHeight="1" thickBot="1" x14ac:dyDescent="0.3">
      <c r="B65" s="280" t="s">
        <v>78</v>
      </c>
      <c r="C65" s="281"/>
      <c r="D65" s="281"/>
      <c r="E65" s="281"/>
      <c r="F65" s="281"/>
      <c r="G65" s="282"/>
    </row>
    <row r="66" spans="1:8" ht="15.6" customHeight="1" x14ac:dyDescent="0.25">
      <c r="A66" s="38"/>
      <c r="B66" s="288" t="s">
        <v>86</v>
      </c>
      <c r="C66" s="289"/>
      <c r="D66" s="289"/>
      <c r="E66" s="289"/>
      <c r="F66" s="290"/>
      <c r="G66" s="28" t="s">
        <v>35</v>
      </c>
    </row>
    <row r="67" spans="1:8" x14ac:dyDescent="0.25">
      <c r="A67" s="38"/>
      <c r="B67" s="39" t="str" cm="1">
        <f t="array" ref="B67:B90">IF(_xlfn._xlws.SORT(PriortoFall[What was the resident doing prior to fall?],1,1,TRUE)=0,"",(_xlfn._xlws.SORT(PriortoFall[What was the resident doing prior to fall?],1,1,TRUE)))</f>
        <v>Ambulating with assistive device (walker, cane, wheelchair)</v>
      </c>
      <c r="C67" s="40"/>
      <c r="D67" s="40"/>
      <c r="E67" s="40"/>
      <c r="F67" s="41"/>
      <c r="G67" s="42">
        <f>IF($B67="",NA(),COUNTIFS(Mar[What was resident doing prior to fall?],$B67))</f>
        <v>0</v>
      </c>
      <c r="H67" s="43"/>
    </row>
    <row r="68" spans="1:8" x14ac:dyDescent="0.25">
      <c r="A68" s="38"/>
      <c r="B68" s="44" t="str">
        <v>Ambulating with staff assistance</v>
      </c>
      <c r="C68" s="45"/>
      <c r="D68" s="45"/>
      <c r="E68" s="45"/>
      <c r="F68" s="46"/>
      <c r="G68" s="42">
        <f>IF($B68="",NA(),COUNTIFS(Mar[What was resident doing prior to fall?],$B68))</f>
        <v>0</v>
      </c>
    </row>
    <row r="69" spans="1:8" x14ac:dyDescent="0.25">
      <c r="A69" s="38"/>
      <c r="B69" s="39" t="str">
        <v>Ambulating without assistance or assistive device</v>
      </c>
      <c r="C69" s="40"/>
      <c r="D69" s="40"/>
      <c r="E69" s="40"/>
      <c r="F69" s="41"/>
      <c r="G69" s="42">
        <f>IF($B69="",NA(),COUNTIFS(Mar[What was resident doing prior to fall?],$B69))</f>
        <v>0</v>
      </c>
    </row>
    <row r="70" spans="1:8" x14ac:dyDescent="0.25">
      <c r="A70" s="38"/>
      <c r="B70" s="44" t="str">
        <v>Changing position (e.g., in bed, chair)</v>
      </c>
      <c r="C70" s="45"/>
      <c r="D70" s="45"/>
      <c r="E70" s="45"/>
      <c r="F70" s="46"/>
      <c r="G70" s="42">
        <f>IF($B70="",NA(),COUNTIFS(Mar[What was resident doing prior to fall?],$B70))</f>
        <v>0</v>
      </c>
    </row>
    <row r="71" spans="1:8" x14ac:dyDescent="0.25">
      <c r="A71" s="38"/>
      <c r="B71" s="44" t="str">
        <v>Dressing or undressing</v>
      </c>
      <c r="C71" s="45"/>
      <c r="D71" s="45"/>
      <c r="E71" s="45"/>
      <c r="F71" s="46"/>
      <c r="G71" s="42">
        <f>IF($B71="",NA(),COUNTIFS(Mar[What was resident doing prior to fall?],$B71))</f>
        <v>0</v>
      </c>
    </row>
    <row r="72" spans="1:8" x14ac:dyDescent="0.25">
      <c r="A72" s="38"/>
      <c r="B72" s="44" t="str">
        <v>Other activity</v>
      </c>
      <c r="C72" s="45"/>
      <c r="D72" s="45"/>
      <c r="E72" s="45"/>
      <c r="F72" s="46"/>
      <c r="G72" s="42">
        <f>IF($B72="",NA(),COUNTIFS(Mar[What was resident doing prior to fall?],$B72))</f>
        <v>0</v>
      </c>
    </row>
    <row r="73" spans="1:8" x14ac:dyDescent="0.25">
      <c r="A73" s="38"/>
      <c r="B73" s="44" t="str">
        <v>Reaching for an item</v>
      </c>
      <c r="C73" s="45"/>
      <c r="D73" s="45"/>
      <c r="E73" s="45"/>
      <c r="F73" s="46"/>
      <c r="G73" s="42">
        <f>IF($B73="",NA(),COUNTIFS(Mar[What was resident doing prior to fall?],$B73))</f>
        <v>0</v>
      </c>
    </row>
    <row r="74" spans="1:8" x14ac:dyDescent="0.25">
      <c r="A74" s="38"/>
      <c r="B74" s="44" t="str">
        <v>Showering or bathing</v>
      </c>
      <c r="C74" s="45"/>
      <c r="D74" s="45"/>
      <c r="E74" s="45"/>
      <c r="F74" s="46"/>
      <c r="G74" s="42">
        <f>IF($B74="",NA(),COUNTIFS(Mar[What was resident doing prior to fall?],$B74))</f>
        <v>0</v>
      </c>
    </row>
    <row r="75" spans="1:8" x14ac:dyDescent="0.25">
      <c r="A75" s="38"/>
      <c r="B75" s="44" t="str">
        <v>Toileting</v>
      </c>
      <c r="C75" s="45"/>
      <c r="D75" s="45"/>
      <c r="E75" s="45"/>
      <c r="F75" s="46"/>
      <c r="G75" s="42">
        <f>IF($B75="",NA(),COUNTIFS(Mar[What was resident doing prior to fall?],$B75))</f>
        <v>0</v>
      </c>
    </row>
    <row r="76" spans="1:8" x14ac:dyDescent="0.25">
      <c r="A76" s="38"/>
      <c r="B76" s="44" t="str">
        <v>Transferring to or from bed, chair, wheelchair, etc.</v>
      </c>
      <c r="C76" s="45"/>
      <c r="D76" s="45"/>
      <c r="E76" s="45"/>
      <c r="F76" s="46"/>
      <c r="G76" s="42">
        <f>IF($B76="",NA(),COUNTIFS(Mar[What was resident doing prior to fall?],$B76))</f>
        <v>0</v>
      </c>
    </row>
    <row r="77" spans="1:8" x14ac:dyDescent="0.25">
      <c r="A77" s="38"/>
      <c r="B77" s="39" t="str">
        <v>Unknown</v>
      </c>
      <c r="C77" s="40"/>
      <c r="D77" s="40"/>
      <c r="E77" s="40"/>
      <c r="F77" s="41"/>
      <c r="G77" s="42">
        <f>IF($B77="",NA(),COUNTIFS(Mar[What was resident doing prior to fall?],$B77))</f>
        <v>0</v>
      </c>
    </row>
    <row r="78" spans="1:8" x14ac:dyDescent="0.25">
      <c r="A78" s="38"/>
      <c r="B78" s="44" t="str">
        <v/>
      </c>
      <c r="C78" s="45"/>
      <c r="D78" s="45"/>
      <c r="E78" s="45"/>
      <c r="F78" s="46"/>
      <c r="G78" s="42" t="e">
        <f>IF($B78="",NA(),COUNTIFS(Mar[What was resident doing prior to fall?],$B78))</f>
        <v>#N/A</v>
      </c>
    </row>
    <row r="79" spans="1:8" x14ac:dyDescent="0.25">
      <c r="A79" s="38"/>
      <c r="B79" s="39" t="str">
        <v/>
      </c>
      <c r="C79" s="40"/>
      <c r="D79" s="40"/>
      <c r="E79" s="40"/>
      <c r="F79" s="41"/>
      <c r="G79" s="42" t="e">
        <f>IF($B79="",NA(),COUNTIFS(Mar[What was resident doing prior to fall?],$B79))</f>
        <v>#N/A</v>
      </c>
    </row>
    <row r="80" spans="1:8" x14ac:dyDescent="0.25">
      <c r="A80" s="38"/>
      <c r="B80" s="44" t="str">
        <v/>
      </c>
      <c r="C80" s="45"/>
      <c r="D80" s="45"/>
      <c r="E80" s="45"/>
      <c r="F80" s="46"/>
      <c r="G80" s="42" t="e">
        <f>IF($B80="",NA(),COUNTIFS(Mar[What was resident doing prior to fall?],$B80))</f>
        <v>#N/A</v>
      </c>
    </row>
    <row r="81" spans="1:7" x14ac:dyDescent="0.25">
      <c r="A81" s="38"/>
      <c r="B81" s="39" t="str">
        <v/>
      </c>
      <c r="C81" s="40"/>
      <c r="D81" s="40"/>
      <c r="E81" s="40"/>
      <c r="F81" s="41"/>
      <c r="G81" s="42" t="e">
        <f>IF($B81="",NA(),COUNTIFS(Mar[What was resident doing prior to fall?],$B81))</f>
        <v>#N/A</v>
      </c>
    </row>
    <row r="82" spans="1:7" x14ac:dyDescent="0.25">
      <c r="A82" s="38"/>
      <c r="B82" s="44" t="str">
        <v/>
      </c>
      <c r="C82" s="45"/>
      <c r="D82" s="45"/>
      <c r="E82" s="45"/>
      <c r="F82" s="46"/>
      <c r="G82" s="42" t="e">
        <f>IF($B82="",NA(),COUNTIFS(Mar[What was resident doing prior to fall?],$B82))</f>
        <v>#N/A</v>
      </c>
    </row>
    <row r="83" spans="1:7" x14ac:dyDescent="0.25">
      <c r="A83" s="38"/>
      <c r="B83" s="39" t="str">
        <v/>
      </c>
      <c r="C83" s="40"/>
      <c r="D83" s="40"/>
      <c r="E83" s="40"/>
      <c r="F83" s="41"/>
      <c r="G83" s="42" t="e">
        <f>IF($B83="",NA(),COUNTIFS(Mar[What was resident doing prior to fall?],$B83))</f>
        <v>#N/A</v>
      </c>
    </row>
    <row r="84" spans="1:7" x14ac:dyDescent="0.25">
      <c r="A84" s="38"/>
      <c r="B84" s="44" t="str">
        <v/>
      </c>
      <c r="C84" s="45"/>
      <c r="D84" s="45"/>
      <c r="E84" s="45"/>
      <c r="F84" s="46"/>
      <c r="G84" s="42" t="e">
        <f>IF($B84="",NA(),COUNTIFS(Mar[What was resident doing prior to fall?],$B84))</f>
        <v>#N/A</v>
      </c>
    </row>
    <row r="85" spans="1:7" x14ac:dyDescent="0.25">
      <c r="A85" s="38"/>
      <c r="B85" s="44" t="str">
        <v/>
      </c>
      <c r="C85" s="45"/>
      <c r="D85" s="45"/>
      <c r="E85" s="45"/>
      <c r="F85" s="46"/>
      <c r="G85" s="42" t="e">
        <f>IF($B85="",NA(),COUNTIFS(Mar[What was resident doing prior to fall?],$B85))</f>
        <v>#N/A</v>
      </c>
    </row>
    <row r="86" spans="1:7" x14ac:dyDescent="0.25">
      <c r="A86" s="38"/>
      <c r="B86" s="39" t="str">
        <v/>
      </c>
      <c r="C86" s="40"/>
      <c r="D86" s="40"/>
      <c r="E86" s="40"/>
      <c r="F86" s="41"/>
      <c r="G86" s="42" t="e">
        <f>IF($B86="",NA(),COUNTIFS(Mar[What was resident doing prior to fall?],$B86))</f>
        <v>#N/A</v>
      </c>
    </row>
    <row r="87" spans="1:7" x14ac:dyDescent="0.25">
      <c r="A87" s="38"/>
      <c r="B87" s="44" t="str">
        <v/>
      </c>
      <c r="C87" s="45"/>
      <c r="D87" s="45"/>
      <c r="E87" s="45"/>
      <c r="F87" s="46"/>
      <c r="G87" s="42" t="e">
        <f>IF($B87="",NA(),COUNTIFS(Mar[What was resident doing prior to fall?],$B87))</f>
        <v>#N/A</v>
      </c>
    </row>
    <row r="88" spans="1:7" x14ac:dyDescent="0.25">
      <c r="A88" s="38"/>
      <c r="B88" s="39" t="str">
        <v/>
      </c>
      <c r="C88" s="40"/>
      <c r="D88" s="40"/>
      <c r="E88" s="40"/>
      <c r="F88" s="41"/>
      <c r="G88" s="42" t="e">
        <f>IF($B88="",NA(),COUNTIFS(Mar[What was resident doing prior to fall?],$B88))</f>
        <v>#N/A</v>
      </c>
    </row>
    <row r="89" spans="1:7" x14ac:dyDescent="0.25">
      <c r="A89" s="38"/>
      <c r="B89" s="44" t="str">
        <v/>
      </c>
      <c r="C89" s="45"/>
      <c r="D89" s="45"/>
      <c r="E89" s="45"/>
      <c r="F89" s="46"/>
      <c r="G89" s="42" t="e">
        <f>IF($B89="",NA(),COUNTIFS(Mar[What was resident doing prior to fall?],$B89))</f>
        <v>#N/A</v>
      </c>
    </row>
    <row r="90" spans="1:7" ht="15.75" thickBot="1" x14ac:dyDescent="0.3">
      <c r="A90" s="38"/>
      <c r="B90" s="47" t="str">
        <v/>
      </c>
      <c r="C90" s="47"/>
      <c r="D90" s="47"/>
      <c r="E90" s="47"/>
      <c r="F90" s="48"/>
      <c r="G90" s="42" t="e">
        <f>IF($B90="",NA(),COUNTIFS(Mar[What was resident doing prior to fall?],$B90))</f>
        <v>#N/A</v>
      </c>
    </row>
    <row r="91" spans="1:7" ht="15.6" customHeight="1" thickBot="1" x14ac:dyDescent="0.3">
      <c r="B91" s="285" t="s">
        <v>35</v>
      </c>
      <c r="C91" s="286"/>
      <c r="D91" s="286"/>
      <c r="E91" s="286"/>
      <c r="F91" s="287"/>
      <c r="G91" s="37">
        <f>_xlfn.AGGREGATE(9,6,G67:G90)</f>
        <v>0</v>
      </c>
    </row>
    <row r="92" spans="1:7" ht="15.75" thickBot="1" x14ac:dyDescent="0.3"/>
    <row r="93" spans="1:7" ht="22.35" customHeight="1" thickBot="1" x14ac:dyDescent="0.3">
      <c r="B93" s="293" t="s">
        <v>173</v>
      </c>
      <c r="C93" s="294"/>
      <c r="D93" s="295"/>
    </row>
    <row r="94" spans="1:7" x14ac:dyDescent="0.25">
      <c r="A94" s="38"/>
      <c r="B94" s="298" t="s">
        <v>1</v>
      </c>
      <c r="C94" s="299"/>
      <c r="D94" s="49" t="s">
        <v>35</v>
      </c>
    </row>
    <row r="95" spans="1:7" x14ac:dyDescent="0.25">
      <c r="A95" s="38"/>
      <c r="B95" s="50" t="str" cm="1">
        <f t="array" ref="B95:B105">IF(_xlfn._xlws.SORT(Location[Location],1,1,TRUE)=0,"",(_xlfn._xlws.SORT(Location[Location],1,1,TRUE)))</f>
        <v>Activity Room</v>
      </c>
      <c r="C95" s="51"/>
      <c r="D95" s="52">
        <f>IF($B95="",NA(),COUNTIFS(Mar[Location],$B95))</f>
        <v>0</v>
      </c>
    </row>
    <row r="96" spans="1:7" x14ac:dyDescent="0.25">
      <c r="A96" s="38"/>
      <c r="B96" s="50" t="str">
        <v>Bedroom</v>
      </c>
      <c r="C96" s="51"/>
      <c r="D96" s="52">
        <f>IF($B96="",NA(),COUNTIFS(Mar[Location],$B96))</f>
        <v>0</v>
      </c>
    </row>
    <row r="97" spans="1:4" x14ac:dyDescent="0.25">
      <c r="A97" s="38"/>
      <c r="B97" s="50" t="str">
        <v>Bathroom</v>
      </c>
      <c r="C97" s="51"/>
      <c r="D97" s="52">
        <f>IF($B97="",NA(),COUNTIFS(Mar[Location],$B97))</f>
        <v>0</v>
      </c>
    </row>
    <row r="98" spans="1:4" x14ac:dyDescent="0.25">
      <c r="A98" s="38"/>
      <c r="B98" s="50" t="str">
        <v>Hallway</v>
      </c>
      <c r="C98" s="51"/>
      <c r="D98" s="52">
        <f>IF($B98="",NA(),COUNTIFS(Mar[Location],$B98))</f>
        <v>0</v>
      </c>
    </row>
    <row r="99" spans="1:4" x14ac:dyDescent="0.25">
      <c r="A99" s="38"/>
      <c r="B99" s="50" t="str">
        <v>Offsite</v>
      </c>
      <c r="C99" s="51"/>
      <c r="D99" s="52">
        <f>IF($B99="",NA(),COUNTIFS(Mar[Location],$B99))</f>
        <v>0</v>
      </c>
    </row>
    <row r="100" spans="1:4" x14ac:dyDescent="0.25">
      <c r="A100" s="38"/>
      <c r="B100" s="53" t="str">
        <v>Shower Room</v>
      </c>
      <c r="C100" s="54"/>
      <c r="D100" s="52">
        <f>IF($B100="",NA(),COUNTIFS(Mar[Location],$B100))</f>
        <v>0</v>
      </c>
    </row>
    <row r="101" spans="1:4" x14ac:dyDescent="0.25">
      <c r="A101" s="38"/>
      <c r="B101" s="55" t="str">
        <v>Dining Room</v>
      </c>
      <c r="C101" s="56"/>
      <c r="D101" s="52">
        <f>IF($B101="",NA(),COUNTIFS(Mar[Location],$B101))</f>
        <v>0</v>
      </c>
    </row>
    <row r="102" spans="1:4" x14ac:dyDescent="0.25">
      <c r="A102" s="38"/>
      <c r="B102" s="57" t="str">
        <v/>
      </c>
      <c r="C102" s="58"/>
      <c r="D102" s="52" t="e">
        <f>IF($B102="",NA(),COUNTIFS(Mar[Location],$B102))</f>
        <v>#N/A</v>
      </c>
    </row>
    <row r="103" spans="1:4" x14ac:dyDescent="0.25">
      <c r="A103" s="38"/>
      <c r="B103" s="59" t="str">
        <v/>
      </c>
      <c r="C103" s="51"/>
      <c r="D103" s="52" t="e">
        <f>IF($B103="",NA(),COUNTIFS(Mar[Location],$B103))</f>
        <v>#N/A</v>
      </c>
    </row>
    <row r="104" spans="1:4" x14ac:dyDescent="0.25">
      <c r="A104" s="38"/>
      <c r="B104" s="53" t="str">
        <v/>
      </c>
      <c r="C104" s="60"/>
      <c r="D104" s="52" t="e">
        <f>IF($B104="",NA(),COUNTIFS(Mar[Location],$B104))</f>
        <v>#N/A</v>
      </c>
    </row>
    <row r="105" spans="1:4" ht="15.75" thickBot="1" x14ac:dyDescent="0.3">
      <c r="A105" s="38"/>
      <c r="B105" s="59" t="str">
        <v/>
      </c>
      <c r="C105" s="61"/>
      <c r="D105" s="52" t="e">
        <f>IF($B105="",NA(),COUNTIFS(Mar[Location],$B105))</f>
        <v>#N/A</v>
      </c>
    </row>
    <row r="106" spans="1:4" ht="15.75" thickBot="1" x14ac:dyDescent="0.3">
      <c r="B106" s="296" t="s">
        <v>16</v>
      </c>
      <c r="C106" s="297"/>
      <c r="D106" s="37">
        <f>_xlfn.AGGREGATE(9,6,D95:D105)</f>
        <v>0</v>
      </c>
    </row>
    <row r="107" spans="1:4" ht="15.75" thickBot="1" x14ac:dyDescent="0.3"/>
    <row r="108" spans="1:4" ht="21.4" customHeight="1" thickBot="1" x14ac:dyDescent="0.3">
      <c r="B108" s="280" t="str">
        <f>"Falls by Nursing Station "</f>
        <v xml:space="preserve">Falls by Nursing Station </v>
      </c>
      <c r="C108" s="281"/>
      <c r="D108" s="282"/>
    </row>
    <row r="109" spans="1:4" ht="15.75" x14ac:dyDescent="0.25">
      <c r="B109" s="291" t="s">
        <v>2</v>
      </c>
      <c r="C109" s="291"/>
      <c r="D109" s="28" t="s">
        <v>35</v>
      </c>
    </row>
    <row r="110" spans="1:4" x14ac:dyDescent="0.25">
      <c r="B110" s="62" cm="1">
        <f t="array" ref="B110:B120">IF(_xlfn._xlws.SORT(NS[Nurses Stations],1,1,TRUE)=0,"",(_xlfn._xlws.SORT(NS[Nurses Stations],1,1,TRUE)))</f>
        <v>1</v>
      </c>
      <c r="C110" s="63"/>
      <c r="D110" s="31">
        <f>IF($B110="",NA(),COUNTIFS(Mar[Station],$B110))</f>
        <v>0</v>
      </c>
    </row>
    <row r="111" spans="1:4" x14ac:dyDescent="0.25">
      <c r="B111" s="62">
        <v>2</v>
      </c>
      <c r="C111" s="63"/>
      <c r="D111" s="31">
        <f>IF($B111="",NA(),COUNTIFS(Mar[Station],$B111))</f>
        <v>0</v>
      </c>
    </row>
    <row r="112" spans="1:4" x14ac:dyDescent="0.25">
      <c r="B112" s="62">
        <v>3</v>
      </c>
      <c r="C112" s="63"/>
      <c r="D112" s="31">
        <f>IF($B112="",NA(),COUNTIFS(Mar[Station],$B112))</f>
        <v>0</v>
      </c>
    </row>
    <row r="113" spans="2:4" x14ac:dyDescent="0.25">
      <c r="B113" s="62">
        <v>4</v>
      </c>
      <c r="C113" s="63"/>
      <c r="D113" s="31">
        <f>IF($B113="",NA(),COUNTIFS(Mar[Station],$B113))</f>
        <v>0</v>
      </c>
    </row>
    <row r="114" spans="2:4" x14ac:dyDescent="0.25">
      <c r="B114" s="62">
        <v>5</v>
      </c>
      <c r="C114" s="63"/>
      <c r="D114" s="31">
        <f>IF($B114="",NA(),COUNTIFS(Mar[Station],$B114))</f>
        <v>0</v>
      </c>
    </row>
    <row r="115" spans="2:4" x14ac:dyDescent="0.25">
      <c r="B115" s="62" t="str">
        <v/>
      </c>
      <c r="C115" s="63"/>
      <c r="D115" s="31" t="e">
        <f>IF($B115="",NA(),COUNTIFS(Mar[Station],$B115))</f>
        <v>#N/A</v>
      </c>
    </row>
    <row r="116" spans="2:4" x14ac:dyDescent="0.25">
      <c r="B116" s="62" t="str">
        <v/>
      </c>
      <c r="C116" s="63"/>
      <c r="D116" s="31" t="e">
        <f>IF($B116="",NA(),COUNTIFS(Mar[Station],$B116))</f>
        <v>#N/A</v>
      </c>
    </row>
    <row r="117" spans="2:4" x14ac:dyDescent="0.25">
      <c r="B117" s="62" t="str">
        <v/>
      </c>
      <c r="C117" s="63"/>
      <c r="D117" s="31" t="e">
        <f>IF($B117="",NA(),COUNTIFS(Mar[Station],$B117))</f>
        <v>#N/A</v>
      </c>
    </row>
    <row r="118" spans="2:4" x14ac:dyDescent="0.25">
      <c r="B118" s="62" t="str">
        <v/>
      </c>
      <c r="C118" s="63"/>
      <c r="D118" s="31" t="e">
        <f>IF($B118="",NA(),COUNTIFS(Mar[Station],$B118))</f>
        <v>#N/A</v>
      </c>
    </row>
    <row r="119" spans="2:4" x14ac:dyDescent="0.25">
      <c r="B119" s="62" t="str">
        <v/>
      </c>
      <c r="C119" s="63"/>
      <c r="D119" s="31" t="e">
        <f>IF($B119="",NA(),COUNTIFS(Mar[Station],$B119))</f>
        <v>#N/A</v>
      </c>
    </row>
    <row r="120" spans="2:4" ht="15.75" thickBot="1" x14ac:dyDescent="0.3">
      <c r="B120" s="64" t="str">
        <v/>
      </c>
      <c r="C120" s="63"/>
      <c r="D120" s="31" t="e">
        <f>IF($B120="",NA(),COUNTIFS(Mar[Station],$B120))</f>
        <v>#N/A</v>
      </c>
    </row>
    <row r="121" spans="2:4" ht="15.6" customHeight="1" thickBot="1" x14ac:dyDescent="0.3">
      <c r="B121" s="285" t="s">
        <v>16</v>
      </c>
      <c r="C121" s="286"/>
      <c r="D121" s="37">
        <f>_xlfn.AGGREGATE(9,6,D110:D120)</f>
        <v>0</v>
      </c>
    </row>
    <row r="122" spans="2:4" ht="15.6" customHeight="1" thickBot="1" x14ac:dyDescent="0.3">
      <c r="B122" s="65"/>
      <c r="C122" s="66"/>
      <c r="D122" s="67"/>
    </row>
    <row r="123" spans="2:4" ht="21.95" customHeight="1" thickBot="1" x14ac:dyDescent="0.3">
      <c r="B123" s="280" t="str">
        <f>"Falls by Day of the Week "</f>
        <v xml:space="preserve">Falls by Day of the Week </v>
      </c>
      <c r="C123" s="281"/>
      <c r="D123" s="282"/>
    </row>
    <row r="124" spans="2:4" ht="15.75" x14ac:dyDescent="0.25">
      <c r="B124" s="291" t="s">
        <v>3</v>
      </c>
      <c r="C124" s="291"/>
      <c r="D124" s="28" t="s">
        <v>35</v>
      </c>
    </row>
    <row r="125" spans="2:4" x14ac:dyDescent="0.25">
      <c r="B125" s="292" t="s">
        <v>46</v>
      </c>
      <c r="C125" s="292"/>
      <c r="D125" s="31">
        <f>COUNTIFS(Mar[Day],$B125)</f>
        <v>0</v>
      </c>
    </row>
    <row r="126" spans="2:4" x14ac:dyDescent="0.25">
      <c r="B126" s="292" t="s">
        <v>47</v>
      </c>
      <c r="C126" s="292"/>
      <c r="D126" s="31">
        <f>COUNTIFS(Mar[Day],$B126)</f>
        <v>0</v>
      </c>
    </row>
    <row r="127" spans="2:4" x14ac:dyDescent="0.25">
      <c r="B127" s="292" t="s">
        <v>52</v>
      </c>
      <c r="C127" s="292"/>
      <c r="D127" s="31">
        <f>COUNTIFS(Mar[Day],$B127)</f>
        <v>0</v>
      </c>
    </row>
    <row r="128" spans="2:4" x14ac:dyDescent="0.25">
      <c r="B128" s="292" t="s">
        <v>48</v>
      </c>
      <c r="C128" s="292"/>
      <c r="D128" s="31">
        <f>COUNTIFS(Mar[Day],$B128)</f>
        <v>0</v>
      </c>
    </row>
    <row r="129" spans="2:4" x14ac:dyDescent="0.25">
      <c r="B129" s="292" t="s">
        <v>51</v>
      </c>
      <c r="C129" s="292"/>
      <c r="D129" s="31">
        <f>COUNTIFS(Mar[Day],$B129)</f>
        <v>0</v>
      </c>
    </row>
    <row r="130" spans="2:4" x14ac:dyDescent="0.25">
      <c r="B130" s="292" t="s">
        <v>49</v>
      </c>
      <c r="C130" s="292"/>
      <c r="D130" s="31">
        <f>COUNTIFS(Mar[Day],$B130)</f>
        <v>0</v>
      </c>
    </row>
    <row r="131" spans="2:4" ht="15.75" thickBot="1" x14ac:dyDescent="0.3">
      <c r="B131" s="292" t="s">
        <v>50</v>
      </c>
      <c r="C131" s="292"/>
      <c r="D131" s="34">
        <f>COUNTIFS(Mar[Day],$B131)</f>
        <v>0</v>
      </c>
    </row>
    <row r="132" spans="2:4" ht="15.6" customHeight="1" thickBot="1" x14ac:dyDescent="0.3">
      <c r="B132" s="285" t="s">
        <v>16</v>
      </c>
      <c r="C132" s="286"/>
      <c r="D132" s="35">
        <f>SUM(D125:D131)</f>
        <v>0</v>
      </c>
    </row>
    <row r="133" spans="2:4" ht="15.75" thickBot="1" x14ac:dyDescent="0.3"/>
    <row r="134" spans="2:4" ht="21.4" customHeight="1" thickBot="1" x14ac:dyDescent="0.3">
      <c r="B134" s="280" t="str">
        <f>"Falls by Shift"</f>
        <v>Falls by Shift</v>
      </c>
      <c r="C134" s="281"/>
      <c r="D134" s="282"/>
    </row>
    <row r="135" spans="2:4" ht="15.75" x14ac:dyDescent="0.25">
      <c r="B135" s="291" t="s">
        <v>34</v>
      </c>
      <c r="C135" s="291"/>
      <c r="D135" s="28" t="s">
        <v>35</v>
      </c>
    </row>
    <row r="136" spans="2:4" x14ac:dyDescent="0.25">
      <c r="B136" s="29" t="str" cm="1">
        <f t="array" ref="B136:B140">IF(_xlfn._xlws.SORT('Data Validation'!P3:P7,1,1,TRUE)=0,"",(_xlfn._xlws.SORT('Data Validation'!P3:P7,1,1,TRUE)))</f>
        <v>11-7</v>
      </c>
      <c r="C136" s="58"/>
      <c r="D136" s="31">
        <f>IF($B136="",NA(),COUNTIFS(Mar[Shift],$B136))</f>
        <v>0</v>
      </c>
    </row>
    <row r="137" spans="2:4" x14ac:dyDescent="0.25">
      <c r="B137" s="29" t="str">
        <v>11–7</v>
      </c>
      <c r="C137" s="58"/>
      <c r="D137" s="31">
        <f>IF($B137="",NA(),COUNTIFS(Mar[Shift],$B137))</f>
        <v>0</v>
      </c>
    </row>
    <row r="138" spans="2:4" x14ac:dyDescent="0.25">
      <c r="B138" s="29" t="str">
        <v>7–3</v>
      </c>
      <c r="C138" s="58"/>
      <c r="D138" s="31">
        <f>IF($B138="",NA(),COUNTIFS(Mar[Shift],$B138))</f>
        <v>0</v>
      </c>
    </row>
    <row r="139" spans="2:4" x14ac:dyDescent="0.25">
      <c r="B139" s="29" t="str">
        <v>3–11</v>
      </c>
      <c r="C139" s="58"/>
      <c r="D139" s="31">
        <f>IF($B139="",NA(),COUNTIFS(Mar[Shift],$B139))</f>
        <v>0</v>
      </c>
    </row>
    <row r="140" spans="2:4" ht="15.75" thickBot="1" x14ac:dyDescent="0.3">
      <c r="B140" s="29" t="str">
        <v/>
      </c>
      <c r="C140" s="68"/>
      <c r="D140" s="34" t="e">
        <f>IF($B140="",NA(),COUNTIFS(Mar[Shift],$B140))</f>
        <v>#N/A</v>
      </c>
    </row>
    <row r="141" spans="2:4" ht="15.75" thickBot="1" x14ac:dyDescent="0.3">
      <c r="B141" s="285" t="s">
        <v>16</v>
      </c>
      <c r="C141" s="286"/>
      <c r="D141" s="35">
        <f>_xlfn.AGGREGATE(9,6,D136:D140)</f>
        <v>0</v>
      </c>
    </row>
    <row r="142" spans="2:4" ht="15.75" thickBot="1" x14ac:dyDescent="0.3"/>
    <row r="143" spans="2:4" ht="21.4" customHeight="1" thickBot="1" x14ac:dyDescent="0.3">
      <c r="B143" s="280" t="str">
        <f>"Falls by Hour "</f>
        <v xml:space="preserve">Falls by Hour </v>
      </c>
      <c r="C143" s="281"/>
      <c r="D143" s="282"/>
    </row>
    <row r="144" spans="2:4" ht="15.75" x14ac:dyDescent="0.25">
      <c r="B144" s="291" t="s">
        <v>33</v>
      </c>
      <c r="C144" s="291"/>
      <c r="D144" s="28" t="s">
        <v>35</v>
      </c>
    </row>
    <row r="145" spans="2:4" x14ac:dyDescent="0.25">
      <c r="B145" s="292" t="s">
        <v>115</v>
      </c>
      <c r="C145" s="292"/>
      <c r="D145" s="31">
        <f>COUNTIFS(Mar[Hour],$B145)</f>
        <v>0</v>
      </c>
    </row>
    <row r="146" spans="2:4" x14ac:dyDescent="0.25">
      <c r="B146" s="292" t="s">
        <v>116</v>
      </c>
      <c r="C146" s="292"/>
      <c r="D146" s="31">
        <f>COUNTIFS(Mar[Hour],$B146)</f>
        <v>0</v>
      </c>
    </row>
    <row r="147" spans="2:4" x14ac:dyDescent="0.25">
      <c r="B147" s="292" t="s">
        <v>117</v>
      </c>
      <c r="C147" s="292"/>
      <c r="D147" s="31">
        <f>COUNTIFS(Mar[Hour],$B147)</f>
        <v>0</v>
      </c>
    </row>
    <row r="148" spans="2:4" x14ac:dyDescent="0.25">
      <c r="B148" s="292" t="s">
        <v>118</v>
      </c>
      <c r="C148" s="292"/>
      <c r="D148" s="31">
        <f>COUNTIFS(Mar[Hour],$B148)</f>
        <v>0</v>
      </c>
    </row>
    <row r="149" spans="2:4" x14ac:dyDescent="0.25">
      <c r="B149" s="292" t="s">
        <v>119</v>
      </c>
      <c r="C149" s="292"/>
      <c r="D149" s="31">
        <f>COUNTIFS(Mar[Hour],$B149)</f>
        <v>0</v>
      </c>
    </row>
    <row r="150" spans="2:4" x14ac:dyDescent="0.25">
      <c r="B150" s="292" t="s">
        <v>120</v>
      </c>
      <c r="C150" s="292"/>
      <c r="D150" s="31">
        <f>COUNTIFS(Mar[Hour],$B150)</f>
        <v>0</v>
      </c>
    </row>
    <row r="151" spans="2:4" x14ac:dyDescent="0.25">
      <c r="B151" s="292" t="s">
        <v>121</v>
      </c>
      <c r="C151" s="292"/>
      <c r="D151" s="31">
        <f>COUNTIFS(Mar[Hour],$B151)</f>
        <v>0</v>
      </c>
    </row>
    <row r="152" spans="2:4" x14ac:dyDescent="0.25">
      <c r="B152" s="292" t="s">
        <v>122</v>
      </c>
      <c r="C152" s="292"/>
      <c r="D152" s="31">
        <f>COUNTIFS(Mar[Hour],$B152)</f>
        <v>0</v>
      </c>
    </row>
    <row r="153" spans="2:4" x14ac:dyDescent="0.25">
      <c r="B153" s="292" t="s">
        <v>123</v>
      </c>
      <c r="C153" s="292"/>
      <c r="D153" s="31">
        <f>COUNTIFS(Mar[Hour],$B153)</f>
        <v>0</v>
      </c>
    </row>
    <row r="154" spans="2:4" x14ac:dyDescent="0.25">
      <c r="B154" s="292" t="s">
        <v>124</v>
      </c>
      <c r="C154" s="292"/>
      <c r="D154" s="31">
        <f>COUNTIFS(Mar[Hour],$B154)</f>
        <v>0</v>
      </c>
    </row>
    <row r="155" spans="2:4" x14ac:dyDescent="0.25">
      <c r="B155" s="292" t="s">
        <v>125</v>
      </c>
      <c r="C155" s="292"/>
      <c r="D155" s="31">
        <f>COUNTIFS(Mar[Hour],$B155)</f>
        <v>0</v>
      </c>
    </row>
    <row r="156" spans="2:4" x14ac:dyDescent="0.25">
      <c r="B156" s="292" t="s">
        <v>126</v>
      </c>
      <c r="C156" s="292"/>
      <c r="D156" s="31">
        <f>COUNTIFS(Mar[Hour],$B156)</f>
        <v>0</v>
      </c>
    </row>
    <row r="157" spans="2:4" x14ac:dyDescent="0.25">
      <c r="B157" s="292" t="s">
        <v>127</v>
      </c>
      <c r="C157" s="292"/>
      <c r="D157" s="31">
        <f>COUNTIFS(Mar[Hour],$B157)</f>
        <v>0</v>
      </c>
    </row>
    <row r="158" spans="2:4" x14ac:dyDescent="0.25">
      <c r="B158" s="292" t="s">
        <v>128</v>
      </c>
      <c r="C158" s="292"/>
      <c r="D158" s="31">
        <f>COUNTIFS(Mar[Hour],$B158)</f>
        <v>0</v>
      </c>
    </row>
    <row r="159" spans="2:4" x14ac:dyDescent="0.25">
      <c r="B159" s="292" t="s">
        <v>129</v>
      </c>
      <c r="C159" s="292"/>
      <c r="D159" s="31">
        <f>COUNTIFS(Mar[Hour],$B159)</f>
        <v>0</v>
      </c>
    </row>
    <row r="160" spans="2:4" x14ac:dyDescent="0.25">
      <c r="B160" s="292" t="s">
        <v>130</v>
      </c>
      <c r="C160" s="292"/>
      <c r="D160" s="31">
        <f>COUNTIFS(Mar[Hour],$B160)</f>
        <v>0</v>
      </c>
    </row>
    <row r="161" spans="1:8" x14ac:dyDescent="0.25">
      <c r="B161" s="292" t="s">
        <v>131</v>
      </c>
      <c r="C161" s="292"/>
      <c r="D161" s="31">
        <f>COUNTIFS(Mar[Hour],$B161)</f>
        <v>0</v>
      </c>
    </row>
    <row r="162" spans="1:8" x14ac:dyDescent="0.25">
      <c r="B162" s="292" t="s">
        <v>132</v>
      </c>
      <c r="C162" s="292"/>
      <c r="D162" s="31">
        <f>COUNTIFS(Mar[Hour],$B162)</f>
        <v>0</v>
      </c>
    </row>
    <row r="163" spans="1:8" x14ac:dyDescent="0.25">
      <c r="B163" s="292" t="s">
        <v>133</v>
      </c>
      <c r="C163" s="292"/>
      <c r="D163" s="31">
        <f>COUNTIFS(Mar[Hour],$B163)</f>
        <v>0</v>
      </c>
    </row>
    <row r="164" spans="1:8" x14ac:dyDescent="0.25">
      <c r="B164" s="292" t="s">
        <v>134</v>
      </c>
      <c r="C164" s="292"/>
      <c r="D164" s="31">
        <f>COUNTIFS(Mar[Hour],$B164)</f>
        <v>0</v>
      </c>
    </row>
    <row r="165" spans="1:8" x14ac:dyDescent="0.25">
      <c r="B165" s="292" t="s">
        <v>135</v>
      </c>
      <c r="C165" s="292"/>
      <c r="D165" s="31">
        <f>COUNTIFS(Mar[Hour],$B165)</f>
        <v>0</v>
      </c>
    </row>
    <row r="166" spans="1:8" x14ac:dyDescent="0.25">
      <c r="B166" s="292" t="s">
        <v>136</v>
      </c>
      <c r="C166" s="292"/>
      <c r="D166" s="31">
        <f>COUNTIFS(Mar[Hour],$B166)</f>
        <v>0</v>
      </c>
    </row>
    <row r="167" spans="1:8" x14ac:dyDescent="0.25">
      <c r="B167" s="292" t="s">
        <v>137</v>
      </c>
      <c r="C167" s="292"/>
      <c r="D167" s="31">
        <f>COUNTIFS(Mar[Hour],$B167)</f>
        <v>0</v>
      </c>
    </row>
    <row r="168" spans="1:8" ht="15.75" thickBot="1" x14ac:dyDescent="0.3">
      <c r="B168" s="292" t="s">
        <v>138</v>
      </c>
      <c r="C168" s="292"/>
      <c r="D168" s="34">
        <f>COUNTIFS(Mar[Hour],$B168)</f>
        <v>0</v>
      </c>
    </row>
    <row r="169" spans="1:8" ht="15.75" thickBot="1" x14ac:dyDescent="0.3">
      <c r="B169" s="285" t="s">
        <v>35</v>
      </c>
      <c r="C169" s="286"/>
      <c r="D169" s="35">
        <f>SUM(D145:D168)</f>
        <v>0</v>
      </c>
    </row>
    <row r="170" spans="1:8" ht="15.75" thickBot="1" x14ac:dyDescent="0.3"/>
    <row r="171" spans="1:8" ht="21.4" customHeight="1" thickBot="1" x14ac:dyDescent="0.3">
      <c r="B171" s="280" t="str">
        <f>"Falls by Contributing Factors"</f>
        <v>Falls by Contributing Factors</v>
      </c>
      <c r="C171" s="281"/>
      <c r="D171" s="281"/>
      <c r="E171" s="281"/>
      <c r="F171" s="281"/>
      <c r="G171" s="282"/>
    </row>
    <row r="172" spans="1:8" ht="15.6" customHeight="1" x14ac:dyDescent="0.25">
      <c r="A172" s="38"/>
      <c r="B172" s="288" t="s">
        <v>92</v>
      </c>
      <c r="C172" s="289"/>
      <c r="D172" s="289"/>
      <c r="E172" s="289"/>
      <c r="F172" s="290"/>
      <c r="G172" s="28" t="s">
        <v>35</v>
      </c>
    </row>
    <row r="173" spans="1:8" x14ac:dyDescent="0.25">
      <c r="A173" s="38"/>
      <c r="B173" s="44" t="str" cm="1">
        <f t="array" ref="B173:B196">IF(_xlfn._xlws.SORT(CF[Contributing Factors],1,1,TRUE)=0,"",(_xlfn._xlws.SORT(CF[Contributing Factors],1,1,TRUE)))</f>
        <v>Assisted/caregiver transfer</v>
      </c>
      <c r="C173" s="45"/>
      <c r="D173" s="45"/>
      <c r="E173" s="45"/>
      <c r="F173" s="46"/>
      <c r="G173" s="42">
        <f>IF($B173="",NA(),COUNTIFS(Mar[Contributing Factors],$B173))</f>
        <v>0</v>
      </c>
      <c r="H173" s="43"/>
    </row>
    <row r="174" spans="1:8" x14ac:dyDescent="0.25">
      <c r="A174" s="38"/>
      <c r="B174" s="39" t="str">
        <v>Bowel and bladder (B&amp;B) needs</v>
      </c>
      <c r="C174" s="40"/>
      <c r="D174" s="40"/>
      <c r="E174" s="40"/>
      <c r="F174" s="41"/>
      <c r="G174" s="42">
        <f>IF($B174="",NA(),COUNTIFS(Mar[Contributing Factors],$B174))</f>
        <v>0</v>
      </c>
    </row>
    <row r="175" spans="1:8" x14ac:dyDescent="0.25">
      <c r="A175" s="38"/>
      <c r="B175" s="44" t="str">
        <v>Behavioral or situational</v>
      </c>
      <c r="C175" s="45"/>
      <c r="D175" s="45"/>
      <c r="E175" s="45"/>
      <c r="F175" s="46"/>
      <c r="G175" s="42">
        <f>IF($B175="",NA(),COUNTIFS(Mar[Contributing Factors],$B175))</f>
        <v>0</v>
      </c>
    </row>
    <row r="176" spans="1:8" x14ac:dyDescent="0.25">
      <c r="A176" s="38"/>
      <c r="B176" s="39" t="str">
        <v>Change of condition</v>
      </c>
      <c r="C176" s="40"/>
      <c r="D176" s="40"/>
      <c r="E176" s="40"/>
      <c r="F176" s="41"/>
      <c r="G176" s="42">
        <f>IF($B176="",NA(),COUNTIFS(Mar[Contributing Factors],$B176))</f>
        <v>0</v>
      </c>
    </row>
    <row r="177" spans="1:7" x14ac:dyDescent="0.25">
      <c r="A177" s="38"/>
      <c r="B177" s="44" t="str">
        <v>Environmental factors</v>
      </c>
      <c r="C177" s="45"/>
      <c r="D177" s="45"/>
      <c r="E177" s="45"/>
      <c r="F177" s="46"/>
      <c r="G177" s="42">
        <f>IF($B177="",NA(),COUNTIFS(Mar[Contributing Factors],$B177))</f>
        <v>0</v>
      </c>
    </row>
    <row r="178" spans="1:7" x14ac:dyDescent="0.25">
      <c r="A178" s="38"/>
      <c r="B178" s="39" t="str">
        <v>Equipment malfunction</v>
      </c>
      <c r="C178" s="40"/>
      <c r="D178" s="40"/>
      <c r="E178" s="40"/>
      <c r="F178" s="41"/>
      <c r="G178" s="42">
        <f>IF($B178="",NA(),COUNTIFS(Mar[Contributing Factors],$B178))</f>
        <v>0</v>
      </c>
    </row>
    <row r="179" spans="1:7" x14ac:dyDescent="0.25">
      <c r="A179" s="38"/>
      <c r="B179" s="44" t="str">
        <v>Equipment or assistive device</v>
      </c>
      <c r="C179" s="45"/>
      <c r="D179" s="45"/>
      <c r="E179" s="45"/>
      <c r="F179" s="46"/>
      <c r="G179" s="42">
        <f>IF($B179="",NA(),COUNTIFS(Mar[Contributing Factors],$B179))</f>
        <v>0</v>
      </c>
    </row>
    <row r="180" spans="1:7" x14ac:dyDescent="0.25">
      <c r="A180" s="38"/>
      <c r="B180" s="39" t="str">
        <v>Medication related</v>
      </c>
      <c r="C180" s="40"/>
      <c r="D180" s="40"/>
      <c r="E180" s="40"/>
      <c r="F180" s="41"/>
      <c r="G180" s="42">
        <f>IF($B180="",NA(),COUNTIFS(Mar[Contributing Factors],$B180))</f>
        <v>0</v>
      </c>
    </row>
    <row r="181" spans="1:7" x14ac:dyDescent="0.25">
      <c r="A181" s="38"/>
      <c r="B181" s="44" t="str">
        <v>Process(s) not followed</v>
      </c>
      <c r="C181" s="45"/>
      <c r="D181" s="45"/>
      <c r="E181" s="45"/>
      <c r="F181" s="46"/>
      <c r="G181" s="42">
        <f>IF($B181="",NA(),COUNTIFS(Mar[Contributing Factors],$B181))</f>
        <v>0</v>
      </c>
    </row>
    <row r="182" spans="1:7" x14ac:dyDescent="0.25">
      <c r="A182" s="38"/>
      <c r="B182" s="39" t="str">
        <v>Resident health conditions</v>
      </c>
      <c r="C182" s="40"/>
      <c r="D182" s="40"/>
      <c r="E182" s="40"/>
      <c r="F182" s="41"/>
      <c r="G182" s="42">
        <f>IF($B182="",NA(),COUNTIFS(Mar[Contributing Factors],$B182))</f>
        <v>0</v>
      </c>
    </row>
    <row r="183" spans="1:7" x14ac:dyDescent="0.25">
      <c r="A183" s="38"/>
      <c r="B183" s="44" t="str">
        <v>Staff</v>
      </c>
      <c r="C183" s="45"/>
      <c r="D183" s="45"/>
      <c r="E183" s="45"/>
      <c r="F183" s="46"/>
      <c r="G183" s="42">
        <f>IF($B183="",NA(),COUNTIFS(Mar[Contributing Factors],$B183))</f>
        <v>0</v>
      </c>
    </row>
    <row r="184" spans="1:7" x14ac:dyDescent="0.25">
      <c r="A184" s="38"/>
      <c r="B184" s="39" t="str">
        <v/>
      </c>
      <c r="C184" s="40"/>
      <c r="D184" s="40"/>
      <c r="E184" s="40"/>
      <c r="F184" s="41"/>
      <c r="G184" s="42" t="e">
        <f>IF($B184="",NA(),COUNTIFS(Mar[Contributing Factors],$B184))</f>
        <v>#N/A</v>
      </c>
    </row>
    <row r="185" spans="1:7" x14ac:dyDescent="0.25">
      <c r="A185" s="38"/>
      <c r="B185" s="44" t="str">
        <v/>
      </c>
      <c r="C185" s="45"/>
      <c r="D185" s="45"/>
      <c r="E185" s="45"/>
      <c r="F185" s="46"/>
      <c r="G185" s="42" t="e">
        <f>IF($B185="",NA(),COUNTIFS(Mar[Contributing Factors],$B185))</f>
        <v>#N/A</v>
      </c>
    </row>
    <row r="186" spans="1:7" x14ac:dyDescent="0.25">
      <c r="A186" s="38"/>
      <c r="B186" s="39" t="str">
        <v/>
      </c>
      <c r="C186" s="40"/>
      <c r="D186" s="40"/>
      <c r="E186" s="40"/>
      <c r="F186" s="41"/>
      <c r="G186" s="42" t="e">
        <f>IF($B186="",NA(),COUNTIFS(Mar[Contributing Factors],$B186))</f>
        <v>#N/A</v>
      </c>
    </row>
    <row r="187" spans="1:7" x14ac:dyDescent="0.25">
      <c r="A187" s="38"/>
      <c r="B187" s="44" t="str">
        <v/>
      </c>
      <c r="C187" s="45"/>
      <c r="D187" s="45"/>
      <c r="E187" s="45"/>
      <c r="F187" s="46"/>
      <c r="G187" s="42" t="e">
        <f>IF($B187="",NA(),COUNTIFS(Mar[Contributing Factors],$B187))</f>
        <v>#N/A</v>
      </c>
    </row>
    <row r="188" spans="1:7" x14ac:dyDescent="0.25">
      <c r="A188" s="38"/>
      <c r="B188" s="39" t="str">
        <v/>
      </c>
      <c r="C188" s="40"/>
      <c r="D188" s="40"/>
      <c r="E188" s="40"/>
      <c r="F188" s="41"/>
      <c r="G188" s="42" t="e">
        <f>IF($B188="",NA(),COUNTIFS(Mar[Contributing Factors],$B188))</f>
        <v>#N/A</v>
      </c>
    </row>
    <row r="189" spans="1:7" x14ac:dyDescent="0.25">
      <c r="A189" s="38"/>
      <c r="B189" s="44" t="str">
        <v/>
      </c>
      <c r="C189" s="45"/>
      <c r="D189" s="45"/>
      <c r="E189" s="45"/>
      <c r="F189" s="46"/>
      <c r="G189" s="42" t="e">
        <f>IF($B189="",NA(),COUNTIFS(Mar[Contributing Factors],$B189))</f>
        <v>#N/A</v>
      </c>
    </row>
    <row r="190" spans="1:7" x14ac:dyDescent="0.25">
      <c r="A190" s="38"/>
      <c r="B190" s="39" t="str">
        <v/>
      </c>
      <c r="C190" s="40"/>
      <c r="D190" s="40"/>
      <c r="E190" s="40"/>
      <c r="F190" s="41"/>
      <c r="G190" s="42" t="e">
        <f>IF($B190="",NA(),COUNTIFS(Mar[Contributing Factors],$B190))</f>
        <v>#N/A</v>
      </c>
    </row>
    <row r="191" spans="1:7" x14ac:dyDescent="0.25">
      <c r="A191" s="38"/>
      <c r="B191" s="44" t="str">
        <v/>
      </c>
      <c r="C191" s="45"/>
      <c r="D191" s="45"/>
      <c r="E191" s="45"/>
      <c r="F191" s="46"/>
      <c r="G191" s="42" t="e">
        <f>IF($B191="",NA(),COUNTIFS(Mar[Contributing Factors],$B191))</f>
        <v>#N/A</v>
      </c>
    </row>
    <row r="192" spans="1:7" x14ac:dyDescent="0.25">
      <c r="A192" s="38"/>
      <c r="B192" s="39" t="str">
        <v/>
      </c>
      <c r="C192" s="40"/>
      <c r="D192" s="40"/>
      <c r="E192" s="40"/>
      <c r="F192" s="41"/>
      <c r="G192" s="42" t="e">
        <f>IF($B192="",NA(),COUNTIFS(Mar[Contributing Factors],$B192))</f>
        <v>#N/A</v>
      </c>
    </row>
    <row r="193" spans="1:7" x14ac:dyDescent="0.25">
      <c r="A193" s="38"/>
      <c r="B193" s="44" t="str">
        <v/>
      </c>
      <c r="C193" s="45"/>
      <c r="D193" s="45"/>
      <c r="E193" s="45"/>
      <c r="F193" s="46"/>
      <c r="G193" s="42" t="e">
        <f>IF($B193="",NA(),COUNTIFS(Mar[Contributing Factors],$B193))</f>
        <v>#N/A</v>
      </c>
    </row>
    <row r="194" spans="1:7" x14ac:dyDescent="0.25">
      <c r="A194" s="38"/>
      <c r="B194" s="39" t="str">
        <v/>
      </c>
      <c r="C194" s="40"/>
      <c r="D194" s="40"/>
      <c r="E194" s="40"/>
      <c r="F194" s="41"/>
      <c r="G194" s="42" t="e">
        <f>IF($B194="",NA(),COUNTIFS(Mar[Contributing Factors],$B194))</f>
        <v>#N/A</v>
      </c>
    </row>
    <row r="195" spans="1:7" x14ac:dyDescent="0.25">
      <c r="A195" s="38"/>
      <c r="B195" s="44" t="str">
        <v/>
      </c>
      <c r="C195" s="45"/>
      <c r="D195" s="45"/>
      <c r="E195" s="45"/>
      <c r="F195" s="46"/>
      <c r="G195" s="42" t="e">
        <f>IF($B195="",NA(),COUNTIFS(Mar[Contributing Factors],$B195))</f>
        <v>#N/A</v>
      </c>
    </row>
    <row r="196" spans="1:7" ht="15.75" thickBot="1" x14ac:dyDescent="0.3">
      <c r="A196" s="38"/>
      <c r="B196" s="39" t="str">
        <v/>
      </c>
      <c r="C196" s="40"/>
      <c r="D196" s="40"/>
      <c r="E196" s="40"/>
      <c r="F196" s="41"/>
      <c r="G196" s="42" t="e">
        <f>IF($B196="",NA(),COUNTIFS(Mar[Contributing Factors],$B196))</f>
        <v>#N/A</v>
      </c>
    </row>
    <row r="197" spans="1:7" ht="15.6" customHeight="1" thickBot="1" x14ac:dyDescent="0.3">
      <c r="B197" s="285" t="s">
        <v>35</v>
      </c>
      <c r="C197" s="286"/>
      <c r="D197" s="286"/>
      <c r="E197" s="286"/>
      <c r="F197" s="287"/>
      <c r="G197" s="37">
        <f>_xlfn.AGGREGATE(9,6,G173:G196)</f>
        <v>0</v>
      </c>
    </row>
  </sheetData>
  <sheetProtection algorithmName="SHA-512" hashValue="eYkMsIiaTTx2BTEJNbZi3TSf4lqYJEPi1sV5eZVyf7ex0jXXyLG4PpHSTMS9brC4gNxJvMi/i5n68lOgpWELuw==" saltValue="fUbhJtlwNTw3Lcb6PDmVtw==" spinCount="100000" sheet="1" formatCells="0" formatColumns="0" formatRows="0" sort="0" autoFilter="0"/>
  <mergeCells count="61">
    <mergeCell ref="F56:G56"/>
    <mergeCell ref="B51:D51"/>
    <mergeCell ref="F51:H51"/>
    <mergeCell ref="B52:C52"/>
    <mergeCell ref="F52:G52"/>
    <mergeCell ref="B55:C55"/>
    <mergeCell ref="B121:C121"/>
    <mergeCell ref="F58:H58"/>
    <mergeCell ref="F59:G59"/>
    <mergeCell ref="F63:G63"/>
    <mergeCell ref="B65:G65"/>
    <mergeCell ref="B66:F66"/>
    <mergeCell ref="B91:F91"/>
    <mergeCell ref="B93:D93"/>
    <mergeCell ref="B94:C94"/>
    <mergeCell ref="B106:C106"/>
    <mergeCell ref="B108:D108"/>
    <mergeCell ref="B109:C109"/>
    <mergeCell ref="B135:C135"/>
    <mergeCell ref="B123:D123"/>
    <mergeCell ref="B124:C124"/>
    <mergeCell ref="B125:C125"/>
    <mergeCell ref="B126:C126"/>
    <mergeCell ref="B127:C127"/>
    <mergeCell ref="B128:C128"/>
    <mergeCell ref="B129:C129"/>
    <mergeCell ref="B130:C130"/>
    <mergeCell ref="B131:C131"/>
    <mergeCell ref="B132:C132"/>
    <mergeCell ref="B134:D134"/>
    <mergeCell ref="B153:C153"/>
    <mergeCell ref="B141:C141"/>
    <mergeCell ref="B143:D143"/>
    <mergeCell ref="B144:C144"/>
    <mergeCell ref="B145:C145"/>
    <mergeCell ref="B146:C146"/>
    <mergeCell ref="B147:C147"/>
    <mergeCell ref="B148:C148"/>
    <mergeCell ref="B149:C149"/>
    <mergeCell ref="B150:C150"/>
    <mergeCell ref="B151:C151"/>
    <mergeCell ref="B152:C152"/>
    <mergeCell ref="B165:C165"/>
    <mergeCell ref="B154:C154"/>
    <mergeCell ref="B155:C155"/>
    <mergeCell ref="B156:C156"/>
    <mergeCell ref="B157:C157"/>
    <mergeCell ref="B158:C158"/>
    <mergeCell ref="B159:C159"/>
    <mergeCell ref="B160:C160"/>
    <mergeCell ref="B161:C161"/>
    <mergeCell ref="B162:C162"/>
    <mergeCell ref="B163:C163"/>
    <mergeCell ref="B164:C164"/>
    <mergeCell ref="B197:F197"/>
    <mergeCell ref="B166:C166"/>
    <mergeCell ref="B167:C167"/>
    <mergeCell ref="B168:C168"/>
    <mergeCell ref="B169:C169"/>
    <mergeCell ref="B171:G171"/>
    <mergeCell ref="B172:F172"/>
  </mergeCells>
  <conditionalFormatting sqref="C1">
    <cfRule type="expression" dxfId="292" priority="18">
      <formula>OR($C$1="",$C$1=0)</formula>
    </cfRule>
  </conditionalFormatting>
  <conditionalFormatting sqref="D1">
    <cfRule type="cellIs" dxfId="291" priority="19" operator="equal">
      <formula>"Enter year in Data Validation tab"</formula>
    </cfRule>
  </conditionalFormatting>
  <conditionalFormatting sqref="D4:D40">
    <cfRule type="expression" dxfId="290" priority="22">
      <formula>AND($C4&lt;&gt;"",$D4="")</formula>
    </cfRule>
  </conditionalFormatting>
  <conditionalFormatting sqref="D95:D105">
    <cfRule type="expression" dxfId="289" priority="9">
      <formula>ISERROR($D95)</formula>
    </cfRule>
  </conditionalFormatting>
  <conditionalFormatting sqref="D110:D120">
    <cfRule type="expression" dxfId="288" priority="10">
      <formula>ISERROR($D110)</formula>
    </cfRule>
  </conditionalFormatting>
  <conditionalFormatting sqref="D136:D140">
    <cfRule type="expression" dxfId="287" priority="1">
      <formula>ISERROR(D136)</formula>
    </cfRule>
  </conditionalFormatting>
  <conditionalFormatting sqref="E4:E40">
    <cfRule type="expression" dxfId="286" priority="21">
      <formula>AND($C4&lt;&gt;"",$E4="")</formula>
    </cfRule>
  </conditionalFormatting>
  <conditionalFormatting sqref="F4:F40">
    <cfRule type="expression" dxfId="285" priority="14">
      <formula>AND($C4&lt;&gt;"",$F4="")</formula>
    </cfRule>
  </conditionalFormatting>
  <conditionalFormatting sqref="G4:G40">
    <cfRule type="expression" dxfId="284" priority="13">
      <formula>AND($C4&lt;&gt;"",$G4="")</formula>
    </cfRule>
  </conditionalFormatting>
  <conditionalFormatting sqref="G67:G90">
    <cfRule type="expression" dxfId="283" priority="8">
      <formula>ISERROR($G67)</formula>
    </cfRule>
  </conditionalFormatting>
  <conditionalFormatting sqref="G173:G196">
    <cfRule type="expression" dxfId="282" priority="7">
      <formula>ISERROR($G173)</formula>
    </cfRule>
  </conditionalFormatting>
  <conditionalFormatting sqref="H4:H40">
    <cfRule type="expression" dxfId="281" priority="12">
      <formula>AND($C4&lt;&gt;"",$H4="")</formula>
    </cfRule>
  </conditionalFormatting>
  <conditionalFormatting sqref="I4:I40">
    <cfRule type="expression" dxfId="280" priority="11">
      <formula>AND($C4&lt;&gt;"",$I4="")</formula>
    </cfRule>
  </conditionalFormatting>
  <conditionalFormatting sqref="J4:J40">
    <cfRule type="expression" dxfId="279" priority="23">
      <formula>AND($C4&lt;&gt;"",$J4="")</formula>
    </cfRule>
  </conditionalFormatting>
  <conditionalFormatting sqref="L4:L40">
    <cfRule type="expression" dxfId="278" priority="20">
      <formula>AND($C4&lt;&gt;"",$L4="")</formula>
    </cfRule>
  </conditionalFormatting>
  <conditionalFormatting sqref="N4:N40">
    <cfRule type="expression" dxfId="277" priority="25">
      <formula>AND($C4&lt;&gt;"",$N4="")</formula>
    </cfRule>
  </conditionalFormatting>
  <conditionalFormatting sqref="O4:O40">
    <cfRule type="expression" dxfId="276" priority="4">
      <formula>AND($C4&lt;&gt;"",$O4="")</formula>
    </cfRule>
    <cfRule type="cellIs" dxfId="275" priority="15" operator="equal">
      <formula>"Intact (13-15)"</formula>
    </cfRule>
    <cfRule type="cellIs" dxfId="274" priority="16" operator="equal">
      <formula>"Moderate (8-12)"</formula>
    </cfRule>
    <cfRule type="cellIs" dxfId="273" priority="17" operator="equal">
      <formula>"Severe (1-7)"</formula>
    </cfRule>
  </conditionalFormatting>
  <conditionalFormatting sqref="P4:P40">
    <cfRule type="expression" dxfId="272" priority="5">
      <formula>AND($C4&lt;&gt;"",$P4="")</formula>
    </cfRule>
  </conditionalFormatting>
  <conditionalFormatting sqref="Q4:Q40">
    <cfRule type="expression" dxfId="271" priority="3">
      <formula>AND($C4&lt;&gt;"",$Q4="")</formula>
    </cfRule>
  </conditionalFormatting>
  <conditionalFormatting sqref="R4:R40">
    <cfRule type="expression" dxfId="270" priority="26">
      <formula>AND($C4&lt;&gt;"",$R4="")</formula>
    </cfRule>
  </conditionalFormatting>
  <conditionalFormatting sqref="S4:S40">
    <cfRule type="expression" dxfId="269" priority="6">
      <formula>AND($C4&lt;&gt;"",$S4="")</formula>
    </cfRule>
  </conditionalFormatting>
  <conditionalFormatting sqref="T4:T40">
    <cfRule type="expression" dxfId="268" priority="27">
      <formula>AND($C4&lt;&gt;"",$T4="")</formula>
    </cfRule>
  </conditionalFormatting>
  <conditionalFormatting sqref="U4:U40">
    <cfRule type="expression" dxfId="267" priority="24">
      <formula>AND($C4&lt;&gt;"",$U4="")</formula>
    </cfRule>
  </conditionalFormatting>
  <conditionalFormatting sqref="V4:V40">
    <cfRule type="expression" dxfId="266" priority="2">
      <formula>AND($C4&lt;&gt;"",$V4="")</formula>
    </cfRule>
  </conditionalFormatting>
  <dataValidations count="9">
    <dataValidation type="list" allowBlank="1" showInputMessage="1" showErrorMessage="1" sqref="R4:R40" xr:uid="{C7B85AC9-EFFD-4C89-BD63-79A8BBC0D094}">
      <formula1>DV_RCAComp</formula1>
    </dataValidation>
    <dataValidation type="list" allowBlank="1" showInputMessage="1" showErrorMessage="1" sqref="G4:G40" xr:uid="{44B316B5-4BF0-4732-B536-CFDEEE55AC53}">
      <formula1>DV_FallCircumstances</formula1>
    </dataValidation>
    <dataValidation type="list" allowBlank="1" showInputMessage="1" showErrorMessage="1" sqref="P4:P40" xr:uid="{975BAAE5-ECB2-405A-8D0F-8662EB44C825}">
      <formula1>DV_PriortoFall</formula1>
    </dataValidation>
    <dataValidation type="list" allowBlank="1" showInputMessage="1" showErrorMessage="1" sqref="F4:F40" xr:uid="{2E525817-3F22-4102-8BE6-893A77527D92}">
      <formula1>DV_Witnessed</formula1>
    </dataValidation>
    <dataValidation type="list" allowBlank="1" showInputMessage="1" showErrorMessage="1" sqref="N4:N40" xr:uid="{D5534E4E-BE5A-4046-8491-16E7BA99761A}">
      <formula1>DV_BIMSScore</formula1>
    </dataValidation>
    <dataValidation type="list" allowBlank="1" showInputMessage="1" showErrorMessage="1" sqref="L4:L40" xr:uid="{930D79DD-7B76-45D9-9825-71E5D3B5227C}">
      <formula1>DV_Shifts</formula1>
    </dataValidation>
    <dataValidation type="list" allowBlank="1" showInputMessage="1" showErrorMessage="1" sqref="J4:J40" xr:uid="{85A1235B-76DF-42FF-91B0-1B7B7F546BD5}">
      <formula1>DV_Station</formula1>
    </dataValidation>
    <dataValidation type="list" allowBlank="1" showInputMessage="1" showErrorMessage="1" sqref="I4:I40" xr:uid="{9162FDC9-FE7B-4BF7-84E2-C345ECB2F62D}">
      <formula1>DV_Location</formula1>
    </dataValidation>
    <dataValidation type="list" allowBlank="1" showInputMessage="1" showErrorMessage="1" sqref="H4:H40" xr:uid="{12FBD05C-3C4B-4124-8F0E-288A1B68B739}">
      <formula1>DV_FallType</formula1>
    </dataValidation>
  </dataValidations>
  <printOptions horizontalCentered="1"/>
  <pageMargins left="0.15" right="0.15" top="0.5" bottom="0.25" header="0.3" footer="0.3"/>
  <pageSetup scale="59" fitToHeight="0" orientation="landscape" r:id="rId1"/>
  <rowBreaks count="3" manualBreakCount="3">
    <brk id="49" max="16383" man="1"/>
    <brk id="91" max="16383" man="1"/>
    <brk id="141" max="16383" man="1"/>
  </rowBreaks>
  <drawing r:id="rId2"/>
  <tableParts count="1">
    <tablePart r:id="rId3"/>
  </tableParts>
  <extLst>
    <ext xmlns:x14="http://schemas.microsoft.com/office/spreadsheetml/2009/9/main" uri="{CCE6A557-97BC-4b89-ADB6-D9C93CAAB3DF}">
      <x14:dataValidations xmlns:xm="http://schemas.microsoft.com/office/excel/2006/main" count="1">
        <x14:dataValidation type="list" allowBlank="1" showInputMessage="1" showErrorMessage="1" xr:uid="{B562779B-7397-49E6-8054-071711F6AC32}">
          <x14:formula1>
            <xm:f>'Data Validation'!$K$3:$K$26</xm:f>
          </x14:formula1>
          <xm:sqref>S4:S40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D229E7-9FD6-400D-AAEF-904104D3832B}">
  <sheetPr>
    <pageSetUpPr autoPageBreaks="0" fitToPage="1"/>
  </sheetPr>
  <dimension ref="A1:V197"/>
  <sheetViews>
    <sheetView showGridLines="0" zoomScaleNormal="100" zoomScaleSheetLayoutView="98" workbookViewId="0">
      <selection activeCell="B4" sqref="B4"/>
    </sheetView>
  </sheetViews>
  <sheetFormatPr defaultRowHeight="15" x14ac:dyDescent="0.25"/>
  <cols>
    <col min="1" max="1" width="1.28515625" customWidth="1"/>
    <col min="2" max="2" width="5.85546875" customWidth="1"/>
    <col min="3" max="3" width="17.140625" customWidth="1"/>
    <col min="4" max="4" width="9.28515625" customWidth="1"/>
    <col min="5" max="5" width="11" customWidth="1"/>
    <col min="6" max="6" width="8" customWidth="1"/>
    <col min="7" max="7" width="12.140625" customWidth="1"/>
    <col min="8" max="8" width="10.5703125" customWidth="1"/>
    <col min="9" max="9" width="7.7109375" customWidth="1"/>
    <col min="10" max="10" width="6" customWidth="1"/>
    <col min="11" max="11" width="4.7109375" customWidth="1"/>
    <col min="12" max="12" width="9.28515625" customWidth="1"/>
    <col min="13" max="14" width="4.7109375" customWidth="1"/>
    <col min="15" max="15" width="12.140625" customWidth="1"/>
    <col min="16" max="17" width="23.7109375" customWidth="1"/>
    <col min="18" max="18" width="8.7109375" customWidth="1"/>
    <col min="19" max="19" width="23.7109375" customWidth="1"/>
    <col min="20" max="22" width="11.7109375" customWidth="1"/>
    <col min="23" max="24" width="10.7109375" customWidth="1"/>
  </cols>
  <sheetData>
    <row r="1" spans="1:22" ht="18.75" customHeight="1" x14ac:dyDescent="0.25">
      <c r="B1" s="13" t="s">
        <v>28</v>
      </c>
      <c r="C1" s="14">
        <f>'Data Validation'!$C$4</f>
        <v>0</v>
      </c>
      <c r="D1" s="15" t="str">
        <f>IF(OR($C$1="",$C$1=0),"Enter Year in Data Validation tab",'Data Validation'!$C$2&amp;" April ")</f>
        <v>Enter Year in Data Validation tab</v>
      </c>
      <c r="E1" s="16"/>
      <c r="F1" s="16"/>
      <c r="G1" s="16"/>
      <c r="H1" s="16"/>
      <c r="I1" s="16"/>
      <c r="J1" s="16"/>
      <c r="K1" s="16"/>
      <c r="L1" s="16"/>
      <c r="M1" s="16"/>
      <c r="N1" s="4"/>
      <c r="O1" s="16"/>
      <c r="P1" s="16"/>
      <c r="Q1" s="16"/>
      <c r="R1" s="17" t="s">
        <v>59</v>
      </c>
      <c r="S1" s="14" t="str">
        <f>IF(COUNTIFS(Apr[Resident Name],"&lt;&gt;")=0,"No Data",COUNTIFS(Apr[Resident Name],"&lt;&gt;"))</f>
        <v>No Data</v>
      </c>
      <c r="T1" s="17" t="s">
        <v>62</v>
      </c>
      <c r="U1" s="14" t="str">
        <f>'Fall Rate and Census'!K35</f>
        <v>No Data</v>
      </c>
    </row>
    <row r="2" spans="1:22" ht="8.1" customHeight="1" x14ac:dyDescent="0.25">
      <c r="B2" s="18"/>
      <c r="C2" s="16"/>
      <c r="D2" s="16"/>
      <c r="E2" s="16"/>
      <c r="F2" s="16"/>
      <c r="G2" s="16"/>
      <c r="H2" s="16"/>
      <c r="I2" s="16"/>
      <c r="J2" s="16"/>
      <c r="K2" s="16"/>
      <c r="L2" s="16"/>
      <c r="M2" s="16"/>
      <c r="N2" s="16"/>
      <c r="O2" s="16"/>
      <c r="P2" s="16"/>
      <c r="Q2" s="16"/>
      <c r="R2" s="16"/>
    </row>
    <row r="3" spans="1:22" ht="22.35" customHeight="1" x14ac:dyDescent="0.25">
      <c r="B3" s="19" t="s">
        <v>104</v>
      </c>
      <c r="C3" s="19" t="s">
        <v>105</v>
      </c>
      <c r="D3" s="20" t="s">
        <v>0</v>
      </c>
      <c r="E3" s="20" t="s">
        <v>89</v>
      </c>
      <c r="F3" s="20" t="s">
        <v>84</v>
      </c>
      <c r="G3" s="20" t="s">
        <v>100</v>
      </c>
      <c r="H3" s="20" t="s">
        <v>90</v>
      </c>
      <c r="I3" s="20" t="s">
        <v>1</v>
      </c>
      <c r="J3" s="20" t="s">
        <v>2</v>
      </c>
      <c r="K3" s="20" t="s">
        <v>3</v>
      </c>
      <c r="L3" s="20" t="s">
        <v>33</v>
      </c>
      <c r="M3" s="20" t="s">
        <v>34</v>
      </c>
      <c r="N3" s="20" t="s">
        <v>26</v>
      </c>
      <c r="O3" s="20" t="s">
        <v>30</v>
      </c>
      <c r="P3" s="19" t="s">
        <v>158</v>
      </c>
      <c r="Q3" s="19" t="s">
        <v>80</v>
      </c>
      <c r="R3" s="20" t="s">
        <v>81</v>
      </c>
      <c r="S3" s="20" t="s">
        <v>92</v>
      </c>
      <c r="T3" s="12" t="s">
        <v>95</v>
      </c>
      <c r="U3" s="12" t="s">
        <v>94</v>
      </c>
      <c r="V3" s="12" t="s">
        <v>96</v>
      </c>
    </row>
    <row r="4" spans="1:22" ht="20.85" customHeight="1" x14ac:dyDescent="0.25">
      <c r="A4" s="21"/>
      <c r="B4" s="266"/>
      <c r="C4" s="5"/>
      <c r="D4" s="263"/>
      <c r="E4" s="263"/>
      <c r="F4" s="266"/>
      <c r="G4" s="267"/>
      <c r="H4" s="2"/>
      <c r="I4" s="2"/>
      <c r="J4" s="2"/>
      <c r="K4" s="24" t="str">
        <f>IF(Apr[[#This Row],[Date of Incident]]="","",TEXT(Apr[[#This Row],[Date of Incident]],"ddd"))</f>
        <v/>
      </c>
      <c r="L4" s="1"/>
      <c r="M4" s="24" t="str">
        <f>IFERROR(VLOOKUP(Apr[[#This Row],[Hour]],Shifts[],2,FALSE),"")</f>
        <v/>
      </c>
      <c r="N4" s="2"/>
      <c r="O4" s="24" t="str">
        <f>IFERROR(VLOOKUP(Apr[[#This Row],[BIMS Score]],BIMS[],2,FALSE),"")</f>
        <v/>
      </c>
      <c r="P4" s="3"/>
      <c r="Q4" s="3"/>
      <c r="R4" s="2"/>
      <c r="S4" s="168"/>
      <c r="T4" s="3"/>
      <c r="U4" s="3"/>
      <c r="V4" s="3"/>
    </row>
    <row r="5" spans="1:22" ht="20.85" customHeight="1" x14ac:dyDescent="0.25">
      <c r="A5" s="21"/>
      <c r="B5" s="266"/>
      <c r="C5" s="5"/>
      <c r="D5" s="263"/>
      <c r="E5" s="263"/>
      <c r="F5" s="266"/>
      <c r="G5" s="267"/>
      <c r="H5" s="2"/>
      <c r="I5" s="2"/>
      <c r="J5" s="2"/>
      <c r="K5" s="24" t="str">
        <f>IF(Apr[[#This Row],[Date of Incident]]="","",TEXT(Apr[[#This Row],[Date of Incident]],"ddd"))</f>
        <v/>
      </c>
      <c r="L5" s="1"/>
      <c r="M5" s="24" t="str">
        <f>IFERROR(VLOOKUP(Apr[[#This Row],[Hour]],Shifts[],2,FALSE),"")</f>
        <v/>
      </c>
      <c r="N5" s="2"/>
      <c r="O5" s="24" t="str">
        <f>IFERROR(VLOOKUP(Apr[[#This Row],[BIMS Score]],BIMS[],2,FALSE),"")</f>
        <v/>
      </c>
      <c r="P5" s="3"/>
      <c r="Q5" s="3"/>
      <c r="R5" s="2"/>
      <c r="S5" s="168"/>
      <c r="T5" s="3"/>
      <c r="U5" s="3"/>
      <c r="V5" s="3"/>
    </row>
    <row r="6" spans="1:22" ht="20.85" customHeight="1" x14ac:dyDescent="0.25">
      <c r="A6" s="21"/>
      <c r="B6" s="266"/>
      <c r="C6" s="5"/>
      <c r="D6" s="263"/>
      <c r="E6" s="263"/>
      <c r="F6" s="266"/>
      <c r="G6" s="267"/>
      <c r="H6" s="2"/>
      <c r="I6" s="2"/>
      <c r="J6" s="2"/>
      <c r="K6" s="24" t="str">
        <f>IF(Apr[[#This Row],[Date of Incident]]="","",TEXT(Apr[[#This Row],[Date of Incident]],"ddd"))</f>
        <v/>
      </c>
      <c r="L6" s="1"/>
      <c r="M6" s="24" t="str">
        <f>IFERROR(VLOOKUP(Apr[[#This Row],[Hour]],Shifts[],2,FALSE),"")</f>
        <v/>
      </c>
      <c r="N6" s="2"/>
      <c r="O6" s="24" t="str">
        <f>IFERROR(VLOOKUP(Apr[[#This Row],[BIMS Score]],BIMS[],2,FALSE),"")</f>
        <v/>
      </c>
      <c r="P6" s="3"/>
      <c r="Q6" s="3"/>
      <c r="R6" s="2"/>
      <c r="S6" s="168"/>
      <c r="T6" s="3"/>
      <c r="U6" s="3"/>
      <c r="V6" s="3"/>
    </row>
    <row r="7" spans="1:22" ht="20.85" customHeight="1" x14ac:dyDescent="0.25">
      <c r="A7" s="21"/>
      <c r="B7" s="266"/>
      <c r="C7" s="5"/>
      <c r="D7" s="263"/>
      <c r="E7" s="263"/>
      <c r="F7" s="266"/>
      <c r="G7" s="267"/>
      <c r="H7" s="2"/>
      <c r="I7" s="2"/>
      <c r="J7" s="2"/>
      <c r="K7" s="24" t="str">
        <f>IF(Apr[[#This Row],[Date of Incident]]="","",TEXT(Apr[[#This Row],[Date of Incident]],"ddd"))</f>
        <v/>
      </c>
      <c r="L7" s="1"/>
      <c r="M7" s="24" t="str">
        <f>IFERROR(VLOOKUP(Apr[[#This Row],[Hour]],Shifts[],2,FALSE),"")</f>
        <v/>
      </c>
      <c r="N7" s="2"/>
      <c r="O7" s="24" t="str">
        <f>IFERROR(VLOOKUP(Apr[[#This Row],[BIMS Score]],BIMS[],2,FALSE),"")</f>
        <v/>
      </c>
      <c r="P7" s="3"/>
      <c r="Q7" s="3"/>
      <c r="R7" s="2"/>
      <c r="S7" s="168"/>
      <c r="T7" s="3"/>
      <c r="U7" s="3"/>
      <c r="V7" s="3"/>
    </row>
    <row r="8" spans="1:22" ht="20.85" customHeight="1" x14ac:dyDescent="0.25">
      <c r="A8" s="21"/>
      <c r="B8" s="266"/>
      <c r="C8" s="5"/>
      <c r="D8" s="263"/>
      <c r="E8" s="263"/>
      <c r="F8" s="266"/>
      <c r="G8" s="267"/>
      <c r="H8" s="2"/>
      <c r="I8" s="2"/>
      <c r="J8" s="2"/>
      <c r="K8" s="24" t="str">
        <f>IF(Apr[[#This Row],[Date of Incident]]="","",TEXT(Apr[[#This Row],[Date of Incident]],"ddd"))</f>
        <v/>
      </c>
      <c r="L8" s="1"/>
      <c r="M8" s="24" t="str">
        <f>IFERROR(VLOOKUP(Apr[[#This Row],[Hour]],Shifts[],2,FALSE),"")</f>
        <v/>
      </c>
      <c r="N8" s="2"/>
      <c r="O8" s="24" t="str">
        <f>IFERROR(VLOOKUP(Apr[[#This Row],[BIMS Score]],BIMS[],2,FALSE),"")</f>
        <v/>
      </c>
      <c r="P8" s="3"/>
      <c r="Q8" s="3"/>
      <c r="R8" s="2"/>
      <c r="S8" s="168"/>
      <c r="T8" s="3"/>
      <c r="U8" s="3"/>
      <c r="V8" s="3"/>
    </row>
    <row r="9" spans="1:22" ht="20.85" customHeight="1" x14ac:dyDescent="0.25">
      <c r="A9" s="21"/>
      <c r="B9" s="266"/>
      <c r="C9" s="5"/>
      <c r="D9" s="263"/>
      <c r="E9" s="263"/>
      <c r="F9" s="266"/>
      <c r="G9" s="267"/>
      <c r="H9" s="2"/>
      <c r="I9" s="2"/>
      <c r="J9" s="2"/>
      <c r="K9" s="24" t="str">
        <f>IF(Apr[[#This Row],[Date of Incident]]="","",TEXT(Apr[[#This Row],[Date of Incident]],"ddd"))</f>
        <v/>
      </c>
      <c r="L9" s="1"/>
      <c r="M9" s="24" t="str">
        <f>IFERROR(VLOOKUP(Apr[[#This Row],[Hour]],Shifts[],2,FALSE),"")</f>
        <v/>
      </c>
      <c r="N9" s="2"/>
      <c r="O9" s="24" t="str">
        <f>IFERROR(VLOOKUP(Apr[[#This Row],[BIMS Score]],BIMS[],2,FALSE),"")</f>
        <v/>
      </c>
      <c r="P9" s="3"/>
      <c r="Q9" s="3"/>
      <c r="R9" s="2"/>
      <c r="S9" s="168"/>
      <c r="T9" s="3"/>
      <c r="U9" s="3"/>
      <c r="V9" s="3"/>
    </row>
    <row r="10" spans="1:22" ht="20.85" customHeight="1" x14ac:dyDescent="0.25">
      <c r="A10" s="21"/>
      <c r="B10" s="266"/>
      <c r="C10" s="5"/>
      <c r="D10" s="263"/>
      <c r="E10" s="263"/>
      <c r="F10" s="266"/>
      <c r="G10" s="267"/>
      <c r="H10" s="2"/>
      <c r="I10" s="2"/>
      <c r="J10" s="2"/>
      <c r="K10" s="24" t="str">
        <f>IF(Apr[[#This Row],[Date of Incident]]="","",TEXT(Apr[[#This Row],[Date of Incident]],"ddd"))</f>
        <v/>
      </c>
      <c r="L10" s="1"/>
      <c r="M10" s="24" t="str">
        <f>IFERROR(VLOOKUP(Apr[[#This Row],[Hour]],Shifts[],2,FALSE),"")</f>
        <v/>
      </c>
      <c r="N10" s="2"/>
      <c r="O10" s="24" t="str">
        <f>IFERROR(VLOOKUP(Apr[[#This Row],[BIMS Score]],BIMS[],2,FALSE),"")</f>
        <v/>
      </c>
      <c r="P10" s="3"/>
      <c r="Q10" s="3"/>
      <c r="R10" s="2"/>
      <c r="S10" s="168"/>
      <c r="T10" s="3"/>
      <c r="U10" s="3"/>
      <c r="V10" s="3"/>
    </row>
    <row r="11" spans="1:22" ht="20.85" customHeight="1" x14ac:dyDescent="0.25">
      <c r="A11" s="21"/>
      <c r="B11" s="266"/>
      <c r="C11" s="5"/>
      <c r="D11" s="263"/>
      <c r="E11" s="263"/>
      <c r="F11" s="266"/>
      <c r="G11" s="267"/>
      <c r="H11" s="2"/>
      <c r="I11" s="2"/>
      <c r="J11" s="2"/>
      <c r="K11" s="24" t="str">
        <f>IF(Apr[[#This Row],[Date of Incident]]="","",TEXT(Apr[[#This Row],[Date of Incident]],"ddd"))</f>
        <v/>
      </c>
      <c r="L11" s="1"/>
      <c r="M11" s="24" t="str">
        <f>IFERROR(VLOOKUP(Apr[[#This Row],[Hour]],Shifts[],2,FALSE),"")</f>
        <v/>
      </c>
      <c r="N11" s="2"/>
      <c r="O11" s="24" t="str">
        <f>IFERROR(VLOOKUP(Apr[[#This Row],[BIMS Score]],BIMS[],2,FALSE),"")</f>
        <v/>
      </c>
      <c r="P11" s="3"/>
      <c r="Q11" s="3"/>
      <c r="R11" s="2"/>
      <c r="S11" s="168"/>
      <c r="T11" s="3"/>
      <c r="U11" s="3"/>
      <c r="V11" s="3"/>
    </row>
    <row r="12" spans="1:22" ht="20.85" customHeight="1" x14ac:dyDescent="0.25">
      <c r="A12" s="21"/>
      <c r="B12" s="267"/>
      <c r="C12" s="5"/>
      <c r="D12" s="264"/>
      <c r="E12" s="263"/>
      <c r="F12" s="267"/>
      <c r="G12" s="267"/>
      <c r="H12" s="2"/>
      <c r="I12" s="2"/>
      <c r="J12" s="2"/>
      <c r="K12" s="24" t="str">
        <f>IF(Apr[[#This Row],[Date of Incident]]="","",TEXT(Apr[[#This Row],[Date of Incident]],"ddd"))</f>
        <v/>
      </c>
      <c r="L12" s="1"/>
      <c r="M12" s="24" t="str">
        <f>IFERROR(VLOOKUP(Apr[[#This Row],[Hour]],Shifts[],2,FALSE),"")</f>
        <v/>
      </c>
      <c r="N12" s="2"/>
      <c r="O12" s="24" t="str">
        <f>IFERROR(VLOOKUP(Apr[[#This Row],[BIMS Score]],BIMS[],2,FALSE),"")</f>
        <v/>
      </c>
      <c r="P12" s="3"/>
      <c r="Q12" s="3"/>
      <c r="R12" s="2"/>
      <c r="S12" s="168"/>
      <c r="T12" s="3"/>
      <c r="U12" s="3"/>
      <c r="V12" s="3"/>
    </row>
    <row r="13" spans="1:22" ht="20.85" customHeight="1" x14ac:dyDescent="0.25">
      <c r="A13" s="21"/>
      <c r="B13" s="267"/>
      <c r="C13" s="5"/>
      <c r="D13" s="264"/>
      <c r="E13" s="263"/>
      <c r="F13" s="267"/>
      <c r="G13" s="267"/>
      <c r="H13" s="2"/>
      <c r="I13" s="2"/>
      <c r="J13" s="2"/>
      <c r="K13" s="24" t="str">
        <f>IF(Apr[[#This Row],[Date of Incident]]="","",TEXT(Apr[[#This Row],[Date of Incident]],"ddd"))</f>
        <v/>
      </c>
      <c r="L13" s="1"/>
      <c r="M13" s="24" t="str">
        <f>IFERROR(VLOOKUP(Apr[[#This Row],[Hour]],Shifts[],2,FALSE),"")</f>
        <v/>
      </c>
      <c r="N13" s="2"/>
      <c r="O13" s="24" t="str">
        <f>IFERROR(VLOOKUP(Apr[[#This Row],[BIMS Score]],BIMS[],2,FALSE),"")</f>
        <v/>
      </c>
      <c r="P13" s="3"/>
      <c r="Q13" s="3"/>
      <c r="R13" s="2"/>
      <c r="S13" s="168"/>
      <c r="T13" s="3"/>
      <c r="U13" s="3"/>
      <c r="V13" s="3"/>
    </row>
    <row r="14" spans="1:22" ht="20.85" customHeight="1" x14ac:dyDescent="0.25">
      <c r="A14" s="21"/>
      <c r="B14" s="267"/>
      <c r="C14" s="5"/>
      <c r="D14" s="264"/>
      <c r="E14" s="263"/>
      <c r="F14" s="267"/>
      <c r="G14" s="267"/>
      <c r="H14" s="2"/>
      <c r="I14" s="2"/>
      <c r="J14" s="2"/>
      <c r="K14" s="24" t="str">
        <f>IF(Apr[[#This Row],[Date of Incident]]="","",TEXT(Apr[[#This Row],[Date of Incident]],"ddd"))</f>
        <v/>
      </c>
      <c r="L14" s="1"/>
      <c r="M14" s="24" t="str">
        <f>IFERROR(VLOOKUP(Apr[[#This Row],[Hour]],Shifts[],2,FALSE),"")</f>
        <v/>
      </c>
      <c r="N14" s="2"/>
      <c r="O14" s="24" t="str">
        <f>IFERROR(VLOOKUP(Apr[[#This Row],[BIMS Score]],BIMS[],2,FALSE),"")</f>
        <v/>
      </c>
      <c r="P14" s="3"/>
      <c r="Q14" s="3"/>
      <c r="R14" s="2"/>
      <c r="S14" s="168"/>
      <c r="T14" s="3"/>
      <c r="U14" s="3"/>
      <c r="V14" s="3"/>
    </row>
    <row r="15" spans="1:22" ht="20.85" customHeight="1" x14ac:dyDescent="0.25">
      <c r="A15" s="21"/>
      <c r="B15" s="267"/>
      <c r="C15" s="5"/>
      <c r="D15" s="264"/>
      <c r="E15" s="263"/>
      <c r="F15" s="267"/>
      <c r="G15" s="267"/>
      <c r="H15" s="2"/>
      <c r="I15" s="2"/>
      <c r="J15" s="2"/>
      <c r="K15" s="24" t="str">
        <f>IF(Apr[[#This Row],[Date of Incident]]="","",TEXT(Apr[[#This Row],[Date of Incident]],"ddd"))</f>
        <v/>
      </c>
      <c r="L15" s="1"/>
      <c r="M15" s="24" t="str">
        <f>IFERROR(VLOOKUP(Apr[[#This Row],[Hour]],Shifts[],2,FALSE),"")</f>
        <v/>
      </c>
      <c r="N15" s="2"/>
      <c r="O15" s="24" t="str">
        <f>IFERROR(VLOOKUP(Apr[[#This Row],[BIMS Score]],BIMS[],2,FALSE),"")</f>
        <v/>
      </c>
      <c r="P15" s="3"/>
      <c r="Q15" s="3"/>
      <c r="R15" s="2"/>
      <c r="S15" s="168"/>
      <c r="T15" s="3"/>
      <c r="U15" s="3"/>
      <c r="V15" s="3"/>
    </row>
    <row r="16" spans="1:22" ht="20.85" customHeight="1" x14ac:dyDescent="0.25">
      <c r="A16" s="21"/>
      <c r="B16" s="267"/>
      <c r="C16" s="3"/>
      <c r="D16" s="264"/>
      <c r="E16" s="264"/>
      <c r="F16" s="267"/>
      <c r="G16" s="267"/>
      <c r="H16" s="2"/>
      <c r="I16" s="2"/>
      <c r="J16" s="2"/>
      <c r="K16" s="24" t="str">
        <f>IF(Apr[[#This Row],[Date of Incident]]="","",TEXT(Apr[[#This Row],[Date of Incident]],"ddd"))</f>
        <v/>
      </c>
      <c r="L16" s="1"/>
      <c r="M16" s="24" t="str">
        <f>IFERROR(VLOOKUP(Apr[[#This Row],[Hour]],Shifts[],2,FALSE),"")</f>
        <v/>
      </c>
      <c r="N16" s="2"/>
      <c r="O16" s="24" t="str">
        <f>IFERROR(VLOOKUP(Apr[[#This Row],[BIMS Score]],BIMS[],2,FALSE),"")</f>
        <v/>
      </c>
      <c r="P16" s="3"/>
      <c r="Q16" s="3"/>
      <c r="R16" s="2"/>
      <c r="S16" s="168"/>
      <c r="T16" s="3"/>
      <c r="U16" s="3"/>
      <c r="V16" s="3"/>
    </row>
    <row r="17" spans="1:22" ht="20.85" customHeight="1" x14ac:dyDescent="0.25">
      <c r="A17" s="21"/>
      <c r="B17" s="267"/>
      <c r="C17" s="3"/>
      <c r="D17" s="264"/>
      <c r="E17" s="264"/>
      <c r="F17" s="267"/>
      <c r="G17" s="267"/>
      <c r="H17" s="2"/>
      <c r="I17" s="2"/>
      <c r="J17" s="2"/>
      <c r="K17" s="24" t="str">
        <f>IF(Apr[[#This Row],[Date of Incident]]="","",TEXT(Apr[[#This Row],[Date of Incident]],"ddd"))</f>
        <v/>
      </c>
      <c r="L17" s="1"/>
      <c r="M17" s="24" t="str">
        <f>IFERROR(VLOOKUP(Apr[[#This Row],[Hour]],Shifts[],2,FALSE),"")</f>
        <v/>
      </c>
      <c r="N17" s="2"/>
      <c r="O17" s="24" t="str">
        <f>IFERROR(VLOOKUP(Apr[[#This Row],[BIMS Score]],BIMS[],2,FALSE),"")</f>
        <v/>
      </c>
      <c r="P17" s="3"/>
      <c r="Q17" s="3"/>
      <c r="R17" s="2"/>
      <c r="S17" s="168"/>
      <c r="T17" s="3"/>
      <c r="U17" s="3"/>
      <c r="V17" s="3"/>
    </row>
    <row r="18" spans="1:22" ht="20.85" customHeight="1" x14ac:dyDescent="0.25">
      <c r="A18" s="21"/>
      <c r="B18" s="267"/>
      <c r="C18" s="3"/>
      <c r="D18" s="264"/>
      <c r="E18" s="264"/>
      <c r="F18" s="267"/>
      <c r="G18" s="267"/>
      <c r="H18" s="2"/>
      <c r="I18" s="2"/>
      <c r="J18" s="2"/>
      <c r="K18" s="24" t="str">
        <f>IF(Apr[[#This Row],[Date of Incident]]="","",TEXT(Apr[[#This Row],[Date of Incident]],"ddd"))</f>
        <v/>
      </c>
      <c r="L18" s="1"/>
      <c r="M18" s="24" t="str">
        <f>IFERROR(VLOOKUP(Apr[[#This Row],[Hour]],Shifts[],2,FALSE),"")</f>
        <v/>
      </c>
      <c r="N18" s="2"/>
      <c r="O18" s="24" t="str">
        <f>IFERROR(VLOOKUP(Apr[[#This Row],[BIMS Score]],BIMS[],2,FALSE),"")</f>
        <v/>
      </c>
      <c r="P18" s="3"/>
      <c r="Q18" s="3"/>
      <c r="R18" s="2"/>
      <c r="S18" s="168"/>
      <c r="T18" s="3"/>
      <c r="U18" s="3"/>
      <c r="V18" s="3"/>
    </row>
    <row r="19" spans="1:22" ht="20.85" customHeight="1" x14ac:dyDescent="0.25">
      <c r="A19" s="21"/>
      <c r="B19" s="267"/>
      <c r="C19" s="3"/>
      <c r="D19" s="264"/>
      <c r="E19" s="264"/>
      <c r="F19" s="267"/>
      <c r="G19" s="267"/>
      <c r="H19" s="2"/>
      <c r="I19" s="2"/>
      <c r="J19" s="2"/>
      <c r="K19" s="24" t="str">
        <f>IF(Apr[[#This Row],[Date of Incident]]="","",TEXT(Apr[[#This Row],[Date of Incident]],"ddd"))</f>
        <v/>
      </c>
      <c r="L19" s="1"/>
      <c r="M19" s="24" t="str">
        <f>IFERROR(VLOOKUP(Apr[[#This Row],[Hour]],Shifts[],2,FALSE),"")</f>
        <v/>
      </c>
      <c r="N19" s="2"/>
      <c r="O19" s="24" t="str">
        <f>IFERROR(VLOOKUP(Apr[[#This Row],[BIMS Score]],BIMS[],2,FALSE),"")</f>
        <v/>
      </c>
      <c r="P19" s="3"/>
      <c r="Q19" s="3"/>
      <c r="R19" s="2"/>
      <c r="S19" s="168"/>
      <c r="T19" s="3"/>
      <c r="U19" s="3"/>
      <c r="V19" s="3"/>
    </row>
    <row r="20" spans="1:22" ht="20.85" customHeight="1" x14ac:dyDescent="0.25">
      <c r="A20" s="21"/>
      <c r="B20" s="267"/>
      <c r="C20" s="3"/>
      <c r="D20" s="264"/>
      <c r="E20" s="264"/>
      <c r="F20" s="267"/>
      <c r="G20" s="267"/>
      <c r="H20" s="2"/>
      <c r="I20" s="2"/>
      <c r="J20" s="2"/>
      <c r="K20" s="24" t="str">
        <f>IF(Apr[[#This Row],[Date of Incident]]="","",TEXT(Apr[[#This Row],[Date of Incident]],"ddd"))</f>
        <v/>
      </c>
      <c r="L20" s="1"/>
      <c r="M20" s="24" t="str">
        <f>IFERROR(VLOOKUP(Apr[[#This Row],[Hour]],Shifts[],2,FALSE),"")</f>
        <v/>
      </c>
      <c r="N20" s="2"/>
      <c r="O20" s="24" t="str">
        <f>IFERROR(VLOOKUP(Apr[[#This Row],[BIMS Score]],BIMS[],2,FALSE),"")</f>
        <v/>
      </c>
      <c r="P20" s="3"/>
      <c r="Q20" s="3"/>
      <c r="R20" s="2"/>
      <c r="S20" s="168"/>
      <c r="T20" s="3"/>
      <c r="U20" s="3"/>
      <c r="V20" s="3"/>
    </row>
    <row r="21" spans="1:22" ht="20.85" customHeight="1" x14ac:dyDescent="0.25">
      <c r="A21" s="21"/>
      <c r="B21" s="267"/>
      <c r="C21" s="3"/>
      <c r="D21" s="264"/>
      <c r="E21" s="264"/>
      <c r="F21" s="267"/>
      <c r="G21" s="267"/>
      <c r="H21" s="2"/>
      <c r="I21" s="2"/>
      <c r="J21" s="2"/>
      <c r="K21" s="24" t="str">
        <f>IF(Apr[[#This Row],[Date of Incident]]="","",TEXT(Apr[[#This Row],[Date of Incident]],"ddd"))</f>
        <v/>
      </c>
      <c r="L21" s="1"/>
      <c r="M21" s="24" t="str">
        <f>IFERROR(VLOOKUP(Apr[[#This Row],[Hour]],Shifts[],2,FALSE),"")</f>
        <v/>
      </c>
      <c r="N21" s="2"/>
      <c r="O21" s="24" t="str">
        <f>IFERROR(VLOOKUP(Apr[[#This Row],[BIMS Score]],BIMS[],2,FALSE),"")</f>
        <v/>
      </c>
      <c r="P21" s="3"/>
      <c r="Q21" s="3"/>
      <c r="R21" s="2"/>
      <c r="S21" s="168"/>
      <c r="T21" s="3"/>
      <c r="U21" s="3"/>
      <c r="V21" s="3"/>
    </row>
    <row r="22" spans="1:22" ht="20.85" customHeight="1" x14ac:dyDescent="0.25">
      <c r="A22" s="21"/>
      <c r="B22" s="267"/>
      <c r="C22" s="3"/>
      <c r="D22" s="264"/>
      <c r="E22" s="264"/>
      <c r="F22" s="267"/>
      <c r="G22" s="267"/>
      <c r="H22" s="2"/>
      <c r="I22" s="2"/>
      <c r="J22" s="2"/>
      <c r="K22" s="24" t="str">
        <f>IF(Apr[[#This Row],[Date of Incident]]="","",TEXT(Apr[[#This Row],[Date of Incident]],"ddd"))</f>
        <v/>
      </c>
      <c r="L22" s="1"/>
      <c r="M22" s="24" t="str">
        <f>IFERROR(VLOOKUP(Apr[[#This Row],[Hour]],Shifts[],2,FALSE),"")</f>
        <v/>
      </c>
      <c r="N22" s="1"/>
      <c r="O22" s="24" t="str">
        <f>IFERROR(VLOOKUP(Apr[[#This Row],[BIMS Score]],BIMS[],2,FALSE),"")</f>
        <v/>
      </c>
      <c r="P22" s="3"/>
      <c r="Q22" s="3"/>
      <c r="R22" s="2"/>
      <c r="S22" s="168"/>
      <c r="T22" s="3"/>
      <c r="U22" s="3"/>
      <c r="V22" s="3"/>
    </row>
    <row r="23" spans="1:22" ht="20.85" customHeight="1" x14ac:dyDescent="0.25">
      <c r="A23" s="21"/>
      <c r="B23" s="267"/>
      <c r="C23" s="3"/>
      <c r="D23" s="264"/>
      <c r="E23" s="264"/>
      <c r="F23" s="267"/>
      <c r="G23" s="267"/>
      <c r="H23" s="2"/>
      <c r="I23" s="2"/>
      <c r="J23" s="2"/>
      <c r="K23" s="24" t="str">
        <f>IF(Apr[[#This Row],[Date of Incident]]="","",TEXT(Apr[[#This Row],[Date of Incident]],"ddd"))</f>
        <v/>
      </c>
      <c r="L23" s="1"/>
      <c r="M23" s="24" t="str">
        <f>IFERROR(VLOOKUP(Apr[[#This Row],[Hour]],Shifts[],2,FALSE),"")</f>
        <v/>
      </c>
      <c r="N23" s="1"/>
      <c r="O23" s="24" t="str">
        <f>IFERROR(VLOOKUP(Apr[[#This Row],[BIMS Score]],BIMS[],2,FALSE),"")</f>
        <v/>
      </c>
      <c r="P23" s="3"/>
      <c r="Q23" s="3"/>
      <c r="R23" s="2"/>
      <c r="S23" s="168"/>
      <c r="T23" s="3"/>
      <c r="U23" s="3"/>
      <c r="V23" s="3"/>
    </row>
    <row r="24" spans="1:22" s="10" customFormat="1" ht="20.85" customHeight="1" x14ac:dyDescent="0.25">
      <c r="A24" s="26"/>
      <c r="B24" s="266"/>
      <c r="C24" s="5"/>
      <c r="D24" s="263"/>
      <c r="E24" s="263"/>
      <c r="F24" s="267"/>
      <c r="G24" s="267"/>
      <c r="H24" s="1"/>
      <c r="I24" s="1"/>
      <c r="J24" s="1"/>
      <c r="K24" s="24" t="str">
        <f>IF(Apr[[#This Row],[Date of Incident]]="","",TEXT(Apr[[#This Row],[Date of Incident]],"ddd"))</f>
        <v/>
      </c>
      <c r="L24" s="1"/>
      <c r="M24" s="24" t="str">
        <f>IFERROR(VLOOKUP(Apr[[#This Row],[Hour]],Shifts[],2,FALSE),"")</f>
        <v/>
      </c>
      <c r="N24" s="1"/>
      <c r="O24" s="24" t="str">
        <f>IFERROR(VLOOKUP(Apr[[#This Row],[BIMS Score]],BIMS[],2,FALSE),"")</f>
        <v/>
      </c>
      <c r="P24" s="3"/>
      <c r="Q24" s="3"/>
      <c r="R24" s="2"/>
      <c r="S24" s="168"/>
      <c r="T24" s="5"/>
      <c r="U24" s="5"/>
      <c r="V24" s="3"/>
    </row>
    <row r="25" spans="1:22" ht="20.85" customHeight="1" x14ac:dyDescent="0.25">
      <c r="A25" s="21"/>
      <c r="B25" s="266"/>
      <c r="C25" s="5"/>
      <c r="D25" s="263"/>
      <c r="E25" s="263"/>
      <c r="F25" s="267"/>
      <c r="G25" s="267"/>
      <c r="H25" s="1"/>
      <c r="I25" s="1"/>
      <c r="J25" s="1"/>
      <c r="K25" s="24" t="str">
        <f>IF(Apr[[#This Row],[Date of Incident]]="","",TEXT(Apr[[#This Row],[Date of Incident]],"ddd"))</f>
        <v/>
      </c>
      <c r="L25" s="1"/>
      <c r="M25" s="24" t="str">
        <f>IFERROR(VLOOKUP(Apr[[#This Row],[Hour]],Shifts[],2,FALSE),"")</f>
        <v/>
      </c>
      <c r="N25" s="1"/>
      <c r="O25" s="24" t="str">
        <f>IFERROR(VLOOKUP(Apr[[#This Row],[BIMS Score]],BIMS[],2,FALSE),"")</f>
        <v/>
      </c>
      <c r="P25" s="3"/>
      <c r="Q25" s="3"/>
      <c r="R25" s="2"/>
      <c r="S25" s="168"/>
      <c r="T25" s="5"/>
      <c r="U25" s="5"/>
      <c r="V25" s="3"/>
    </row>
    <row r="26" spans="1:22" ht="20.65" customHeight="1" x14ac:dyDescent="0.25">
      <c r="A26" s="21"/>
      <c r="B26" s="266"/>
      <c r="C26" s="5"/>
      <c r="D26" s="263"/>
      <c r="E26" s="263"/>
      <c r="F26" s="267"/>
      <c r="G26" s="267"/>
      <c r="H26" s="1"/>
      <c r="I26" s="1"/>
      <c r="J26" s="1"/>
      <c r="K26" s="24" t="str">
        <f>IF(Apr[[#This Row],[Date of Incident]]="","",TEXT(Apr[[#This Row],[Date of Incident]],"ddd"))</f>
        <v/>
      </c>
      <c r="L26" s="1"/>
      <c r="M26" s="24" t="str">
        <f>IFERROR(VLOOKUP(Apr[[#This Row],[Hour]],Shifts[],2,FALSE),"")</f>
        <v/>
      </c>
      <c r="N26" s="1"/>
      <c r="O26" s="24" t="str">
        <f>IFERROR(VLOOKUP(Apr[[#This Row],[BIMS Score]],BIMS[],2,FALSE),"")</f>
        <v/>
      </c>
      <c r="P26" s="3"/>
      <c r="Q26" s="3"/>
      <c r="R26" s="2"/>
      <c r="S26" s="168"/>
      <c r="T26" s="5"/>
      <c r="U26" s="5"/>
      <c r="V26" s="3"/>
    </row>
    <row r="27" spans="1:22" ht="20.85" customHeight="1" x14ac:dyDescent="0.25">
      <c r="A27" s="21"/>
      <c r="B27" s="266"/>
      <c r="C27" s="5"/>
      <c r="D27" s="263"/>
      <c r="E27" s="263"/>
      <c r="F27" s="267"/>
      <c r="G27" s="267"/>
      <c r="H27" s="1"/>
      <c r="I27" s="1"/>
      <c r="J27" s="1"/>
      <c r="K27" s="24" t="str">
        <f>IF(Apr[[#This Row],[Date of Incident]]="","",TEXT(Apr[[#This Row],[Date of Incident]],"ddd"))</f>
        <v/>
      </c>
      <c r="L27" s="1"/>
      <c r="M27" s="24" t="str">
        <f>IFERROR(VLOOKUP(Apr[[#This Row],[Hour]],Shifts[],2,FALSE),"")</f>
        <v/>
      </c>
      <c r="N27" s="1"/>
      <c r="O27" s="24" t="str">
        <f>IFERROR(VLOOKUP(Apr[[#This Row],[BIMS Score]],BIMS[],2,FALSE),"")</f>
        <v/>
      </c>
      <c r="P27" s="3"/>
      <c r="Q27" s="3"/>
      <c r="R27" s="2"/>
      <c r="S27" s="168"/>
      <c r="T27" s="5"/>
      <c r="U27" s="5"/>
      <c r="V27" s="3"/>
    </row>
    <row r="28" spans="1:22" ht="20.85" customHeight="1" x14ac:dyDescent="0.25">
      <c r="A28" s="21"/>
      <c r="B28" s="266"/>
      <c r="C28" s="5"/>
      <c r="D28" s="263"/>
      <c r="E28" s="263"/>
      <c r="F28" s="267"/>
      <c r="G28" s="267"/>
      <c r="H28" s="1"/>
      <c r="I28" s="1"/>
      <c r="J28" s="1"/>
      <c r="K28" s="24" t="str">
        <f>IF(Apr[[#This Row],[Date of Incident]]="","",TEXT(Apr[[#This Row],[Date of Incident]],"ddd"))</f>
        <v/>
      </c>
      <c r="L28" s="1"/>
      <c r="M28" s="24" t="str">
        <f>IFERROR(VLOOKUP(Apr[[#This Row],[Hour]],Shifts[],2,FALSE),"")</f>
        <v/>
      </c>
      <c r="N28" s="1"/>
      <c r="O28" s="24" t="str">
        <f>IFERROR(VLOOKUP(Apr[[#This Row],[BIMS Score]],BIMS[],2,FALSE),"")</f>
        <v/>
      </c>
      <c r="P28" s="3"/>
      <c r="Q28" s="3"/>
      <c r="R28" s="2"/>
      <c r="S28" s="168"/>
      <c r="T28" s="5"/>
      <c r="U28" s="5"/>
      <c r="V28" s="3"/>
    </row>
    <row r="29" spans="1:22" ht="20.85" customHeight="1" x14ac:dyDescent="0.25">
      <c r="B29" s="266"/>
      <c r="C29" s="5"/>
      <c r="D29" s="263"/>
      <c r="E29" s="263"/>
      <c r="F29" s="267"/>
      <c r="G29" s="267"/>
      <c r="H29" s="1"/>
      <c r="I29" s="1"/>
      <c r="J29" s="1"/>
      <c r="K29" s="27" t="str">
        <f>IF(Apr[[#This Row],[Date of Incident]]="","",TEXT(Apr[[#This Row],[Date of Incident]],"ddd"))</f>
        <v/>
      </c>
      <c r="L29" s="1"/>
      <c r="M29" s="27" t="str">
        <f>IFERROR(VLOOKUP(Apr[[#This Row],[Hour]],Shifts[],2,FALSE),"")</f>
        <v/>
      </c>
      <c r="N29" s="2"/>
      <c r="O29" s="24" t="str">
        <f>IFERROR(VLOOKUP(Apr[[#This Row],[BIMS Score]],BIMS[],2,FALSE),"")</f>
        <v/>
      </c>
      <c r="P29" s="3"/>
      <c r="Q29" s="3"/>
      <c r="R29" s="2"/>
      <c r="S29" s="168"/>
      <c r="T29" s="5"/>
      <c r="U29" s="5"/>
      <c r="V29" s="5"/>
    </row>
    <row r="30" spans="1:22" ht="20.85" customHeight="1" x14ac:dyDescent="0.25">
      <c r="B30" s="266"/>
      <c r="C30" s="5"/>
      <c r="D30" s="263"/>
      <c r="E30" s="263"/>
      <c r="F30" s="267"/>
      <c r="G30" s="267"/>
      <c r="H30" s="1"/>
      <c r="I30" s="1"/>
      <c r="J30" s="1"/>
      <c r="K30" s="27" t="str">
        <f>IF(Apr[[#This Row],[Date of Incident]]="","",TEXT(Apr[[#This Row],[Date of Incident]],"ddd"))</f>
        <v/>
      </c>
      <c r="L30" s="1"/>
      <c r="M30" s="27" t="str">
        <f>IFERROR(VLOOKUP(Apr[[#This Row],[Hour]],Shifts[],2,FALSE),"")</f>
        <v/>
      </c>
      <c r="N30" s="2"/>
      <c r="O30" s="24" t="str">
        <f>IFERROR(VLOOKUP(Apr[[#This Row],[BIMS Score]],BIMS[],2,FALSE),"")</f>
        <v/>
      </c>
      <c r="P30" s="3"/>
      <c r="Q30" s="3"/>
      <c r="R30" s="2"/>
      <c r="S30" s="168"/>
      <c r="T30" s="5"/>
      <c r="U30" s="5"/>
      <c r="V30" s="5"/>
    </row>
    <row r="31" spans="1:22" ht="20.85" customHeight="1" x14ac:dyDescent="0.25">
      <c r="B31" s="266"/>
      <c r="C31" s="5"/>
      <c r="D31" s="263"/>
      <c r="E31" s="263"/>
      <c r="F31" s="267"/>
      <c r="G31" s="267"/>
      <c r="H31" s="1"/>
      <c r="I31" s="1"/>
      <c r="J31" s="1"/>
      <c r="K31" s="27" t="str">
        <f>IF(Apr[[#This Row],[Date of Incident]]="","",TEXT(Apr[[#This Row],[Date of Incident]],"ddd"))</f>
        <v/>
      </c>
      <c r="L31" s="1"/>
      <c r="M31" s="27" t="str">
        <f>IFERROR(VLOOKUP(Apr[[#This Row],[Hour]],Shifts[],2,FALSE),"")</f>
        <v/>
      </c>
      <c r="N31" s="2"/>
      <c r="O31" s="24" t="str">
        <f>IFERROR(VLOOKUP(Apr[[#This Row],[BIMS Score]],BIMS[],2,FALSE),"")</f>
        <v/>
      </c>
      <c r="P31" s="3"/>
      <c r="Q31" s="3"/>
      <c r="R31" s="2"/>
      <c r="S31" s="168"/>
      <c r="T31" s="5"/>
      <c r="U31" s="5"/>
      <c r="V31" s="5"/>
    </row>
    <row r="32" spans="1:22" ht="20.85" customHeight="1" x14ac:dyDescent="0.25">
      <c r="B32" s="266"/>
      <c r="C32" s="5"/>
      <c r="D32" s="263"/>
      <c r="E32" s="263"/>
      <c r="F32" s="267"/>
      <c r="G32" s="267"/>
      <c r="H32" s="1"/>
      <c r="I32" s="1"/>
      <c r="J32" s="1"/>
      <c r="K32" s="27" t="str">
        <f>IF(Apr[[#This Row],[Date of Incident]]="","",TEXT(Apr[[#This Row],[Date of Incident]],"ddd"))</f>
        <v/>
      </c>
      <c r="L32" s="1"/>
      <c r="M32" s="27" t="str">
        <f>IFERROR(VLOOKUP(Apr[[#This Row],[Hour]],Shifts[],2,FALSE),"")</f>
        <v/>
      </c>
      <c r="N32" s="2"/>
      <c r="O32" s="24" t="str">
        <f>IFERROR(VLOOKUP(Apr[[#This Row],[BIMS Score]],BIMS[],2,FALSE),"")</f>
        <v/>
      </c>
      <c r="P32" s="3"/>
      <c r="Q32" s="3"/>
      <c r="R32" s="2"/>
      <c r="S32" s="168"/>
      <c r="T32" s="5"/>
      <c r="U32" s="5"/>
      <c r="V32" s="5"/>
    </row>
    <row r="33" spans="2:22" ht="20.85" customHeight="1" x14ac:dyDescent="0.25">
      <c r="B33" s="266"/>
      <c r="C33" s="5"/>
      <c r="D33" s="263"/>
      <c r="E33" s="263"/>
      <c r="F33" s="267"/>
      <c r="G33" s="267"/>
      <c r="H33" s="1"/>
      <c r="I33" s="1"/>
      <c r="J33" s="1"/>
      <c r="K33" s="27" t="str">
        <f>IF(Apr[[#This Row],[Date of Incident]]="","",TEXT(Apr[[#This Row],[Date of Incident]],"ddd"))</f>
        <v/>
      </c>
      <c r="L33" s="1"/>
      <c r="M33" s="27" t="str">
        <f>IFERROR(VLOOKUP(Apr[[#This Row],[Hour]],Shifts[],2,FALSE),"")</f>
        <v/>
      </c>
      <c r="N33" s="2"/>
      <c r="O33" s="24" t="str">
        <f>IFERROR(VLOOKUP(Apr[[#This Row],[BIMS Score]],BIMS[],2,FALSE),"")</f>
        <v/>
      </c>
      <c r="P33" s="3"/>
      <c r="Q33" s="3"/>
      <c r="R33" s="2"/>
      <c r="S33" s="168"/>
      <c r="T33" s="5"/>
      <c r="U33" s="5"/>
      <c r="V33" s="5"/>
    </row>
    <row r="34" spans="2:22" ht="20.85" customHeight="1" x14ac:dyDescent="0.25">
      <c r="B34" s="266"/>
      <c r="C34" s="5"/>
      <c r="D34" s="263"/>
      <c r="E34" s="263"/>
      <c r="F34" s="267"/>
      <c r="G34" s="267"/>
      <c r="H34" s="1"/>
      <c r="I34" s="1"/>
      <c r="J34" s="1"/>
      <c r="K34" s="27" t="str">
        <f>IF(Apr[[#This Row],[Date of Incident]]="","",TEXT(Apr[[#This Row],[Date of Incident]],"ddd"))</f>
        <v/>
      </c>
      <c r="L34" s="1"/>
      <c r="M34" s="27" t="str">
        <f>IFERROR(VLOOKUP(Apr[[#This Row],[Hour]],Shifts[],2,FALSE),"")</f>
        <v/>
      </c>
      <c r="N34" s="2"/>
      <c r="O34" s="24" t="str">
        <f>IFERROR(VLOOKUP(Apr[[#This Row],[BIMS Score]],BIMS[],2,FALSE),"")</f>
        <v/>
      </c>
      <c r="P34" s="3"/>
      <c r="Q34" s="3"/>
      <c r="R34" s="2"/>
      <c r="S34" s="168"/>
      <c r="T34" s="5"/>
      <c r="U34" s="5"/>
      <c r="V34" s="5"/>
    </row>
    <row r="35" spans="2:22" ht="20.85" customHeight="1" x14ac:dyDescent="0.25">
      <c r="B35" s="266"/>
      <c r="C35" s="5"/>
      <c r="D35" s="263"/>
      <c r="E35" s="263"/>
      <c r="F35" s="267"/>
      <c r="G35" s="267"/>
      <c r="H35" s="1"/>
      <c r="I35" s="1"/>
      <c r="J35" s="1"/>
      <c r="K35" s="27" t="str">
        <f>IF(Apr[[#This Row],[Date of Incident]]="","",TEXT(Apr[[#This Row],[Date of Incident]],"ddd"))</f>
        <v/>
      </c>
      <c r="L35" s="1"/>
      <c r="M35" s="27" t="str">
        <f>IFERROR(VLOOKUP(Apr[[#This Row],[Hour]],Shifts[],2,FALSE),"")</f>
        <v/>
      </c>
      <c r="N35" s="2"/>
      <c r="O35" s="24" t="str">
        <f>IFERROR(VLOOKUP(Apr[[#This Row],[BIMS Score]],BIMS[],2,FALSE),"")</f>
        <v/>
      </c>
      <c r="P35" s="3"/>
      <c r="Q35" s="3"/>
      <c r="R35" s="2"/>
      <c r="S35" s="168"/>
      <c r="T35" s="5"/>
      <c r="U35" s="5"/>
      <c r="V35" s="5"/>
    </row>
    <row r="36" spans="2:22" ht="20.85" customHeight="1" x14ac:dyDescent="0.25">
      <c r="B36" s="266"/>
      <c r="C36" s="5"/>
      <c r="D36" s="263"/>
      <c r="E36" s="263"/>
      <c r="F36" s="267"/>
      <c r="G36" s="267"/>
      <c r="H36" s="1"/>
      <c r="I36" s="1"/>
      <c r="J36" s="1"/>
      <c r="K36" s="27" t="str">
        <f>IF(Apr[[#This Row],[Date of Incident]]="","",TEXT(Apr[[#This Row],[Date of Incident]],"ddd"))</f>
        <v/>
      </c>
      <c r="L36" s="1"/>
      <c r="M36" s="27" t="str">
        <f>IFERROR(VLOOKUP(Apr[[#This Row],[Hour]],Shifts[],2,FALSE),"")</f>
        <v/>
      </c>
      <c r="N36" s="2"/>
      <c r="O36" s="24" t="str">
        <f>IFERROR(VLOOKUP(Apr[[#This Row],[BIMS Score]],BIMS[],2,FALSE),"")</f>
        <v/>
      </c>
      <c r="P36" s="3"/>
      <c r="Q36" s="3"/>
      <c r="R36" s="2"/>
      <c r="S36" s="168"/>
      <c r="T36" s="5"/>
      <c r="U36" s="5"/>
      <c r="V36" s="5"/>
    </row>
    <row r="37" spans="2:22" ht="20.85" customHeight="1" x14ac:dyDescent="0.25">
      <c r="B37" s="266"/>
      <c r="C37" s="5"/>
      <c r="D37" s="263"/>
      <c r="E37" s="263"/>
      <c r="F37" s="267"/>
      <c r="G37" s="267"/>
      <c r="H37" s="1"/>
      <c r="I37" s="1"/>
      <c r="J37" s="1"/>
      <c r="K37" s="27" t="str">
        <f>IF(Apr[[#This Row],[Date of Incident]]="","",TEXT(Apr[[#This Row],[Date of Incident]],"ddd"))</f>
        <v/>
      </c>
      <c r="L37" s="1"/>
      <c r="M37" s="27" t="str">
        <f>IFERROR(VLOOKUP(Apr[[#This Row],[Hour]],Shifts[],2,FALSE),"")</f>
        <v/>
      </c>
      <c r="N37" s="2"/>
      <c r="O37" s="24" t="str">
        <f>IFERROR(VLOOKUP(Apr[[#This Row],[BIMS Score]],BIMS[],2,FALSE),"")</f>
        <v/>
      </c>
      <c r="P37" s="3"/>
      <c r="Q37" s="3"/>
      <c r="R37" s="2"/>
      <c r="S37" s="168"/>
      <c r="T37" s="5"/>
      <c r="U37" s="5"/>
      <c r="V37" s="5"/>
    </row>
    <row r="38" spans="2:22" ht="20.85" customHeight="1" x14ac:dyDescent="0.25">
      <c r="B38" s="266"/>
      <c r="C38" s="5"/>
      <c r="D38" s="263"/>
      <c r="E38" s="263"/>
      <c r="F38" s="267"/>
      <c r="G38" s="267"/>
      <c r="H38" s="1"/>
      <c r="I38" s="1"/>
      <c r="J38" s="1"/>
      <c r="K38" s="27" t="str">
        <f>IF(Apr[[#This Row],[Date of Incident]]="","",TEXT(Apr[[#This Row],[Date of Incident]],"ddd"))</f>
        <v/>
      </c>
      <c r="L38" s="1"/>
      <c r="M38" s="27" t="str">
        <f>IFERROR(VLOOKUP(Apr[[#This Row],[Hour]],Shifts[],2,FALSE),"")</f>
        <v/>
      </c>
      <c r="N38" s="2"/>
      <c r="O38" s="24" t="str">
        <f>IFERROR(VLOOKUP(Apr[[#This Row],[BIMS Score]],BIMS[],2,FALSE),"")</f>
        <v/>
      </c>
      <c r="P38" s="3"/>
      <c r="Q38" s="3"/>
      <c r="R38" s="2"/>
      <c r="S38" s="168"/>
      <c r="T38" s="5"/>
      <c r="U38" s="5"/>
      <c r="V38" s="5"/>
    </row>
    <row r="39" spans="2:22" ht="20.85" customHeight="1" x14ac:dyDescent="0.25">
      <c r="B39" s="266"/>
      <c r="C39" s="5"/>
      <c r="D39" s="263"/>
      <c r="E39" s="263"/>
      <c r="F39" s="267"/>
      <c r="G39" s="267"/>
      <c r="H39" s="1"/>
      <c r="I39" s="1"/>
      <c r="J39" s="1"/>
      <c r="K39" s="27" t="str">
        <f>IF(Apr[[#This Row],[Date of Incident]]="","",TEXT(Apr[[#This Row],[Date of Incident]],"ddd"))</f>
        <v/>
      </c>
      <c r="L39" s="1"/>
      <c r="M39" s="27" t="str">
        <f>IFERROR(VLOOKUP(Apr[[#This Row],[Hour]],Shifts[],2,FALSE),"")</f>
        <v/>
      </c>
      <c r="N39" s="2"/>
      <c r="O39" s="24" t="str">
        <f>IFERROR(VLOOKUP(Apr[[#This Row],[BIMS Score]],BIMS[],2,FALSE),"")</f>
        <v/>
      </c>
      <c r="P39" s="3"/>
      <c r="Q39" s="3"/>
      <c r="R39" s="2"/>
      <c r="S39" s="168"/>
      <c r="T39" s="5"/>
      <c r="U39" s="5"/>
      <c r="V39" s="5"/>
    </row>
    <row r="40" spans="2:22" ht="20.85" customHeight="1" x14ac:dyDescent="0.25">
      <c r="B40" s="266"/>
      <c r="C40" s="5"/>
      <c r="D40" s="263"/>
      <c r="E40" s="263"/>
      <c r="F40" s="267"/>
      <c r="G40" s="267"/>
      <c r="H40" s="1"/>
      <c r="I40" s="1"/>
      <c r="J40" s="1"/>
      <c r="K40" s="27" t="str">
        <f>IF(Apr[[#This Row],[Date of Incident]]="","",TEXT(Apr[[#This Row],[Date of Incident]],"ddd"))</f>
        <v/>
      </c>
      <c r="L40" s="1"/>
      <c r="M40" s="27" t="str">
        <f>IFERROR(VLOOKUP(Apr[[#This Row],[Hour]],Shifts[],2,FALSE),"")</f>
        <v/>
      </c>
      <c r="N40" s="2"/>
      <c r="O40" s="24" t="str">
        <f>IFERROR(VLOOKUP(Apr[[#This Row],[BIMS Score]],BIMS[],2,FALSE),"")</f>
        <v/>
      </c>
      <c r="P40" s="3"/>
      <c r="Q40" s="3"/>
      <c r="R40" s="2"/>
      <c r="S40" s="168"/>
      <c r="T40" s="5"/>
      <c r="U40" s="5"/>
      <c r="V40" s="5"/>
    </row>
    <row r="41" spans="2:22" x14ac:dyDescent="0.25">
      <c r="B41" s="26"/>
      <c r="C41" s="21"/>
      <c r="D41" s="22"/>
      <c r="E41" s="23"/>
      <c r="F41" s="26"/>
      <c r="G41" s="26"/>
      <c r="H41" s="26"/>
      <c r="I41" s="26"/>
      <c r="J41" s="26"/>
      <c r="K41" s="26"/>
      <c r="L41" s="26"/>
      <c r="M41" s="26"/>
      <c r="N41" s="20"/>
      <c r="O41" s="25"/>
      <c r="P41" s="21"/>
      <c r="Q41" s="21"/>
      <c r="R41" s="25"/>
    </row>
    <row r="42" spans="2:22" x14ac:dyDescent="0.25">
      <c r="B42" s="26"/>
      <c r="C42" s="21"/>
      <c r="D42" s="22"/>
      <c r="E42" s="23"/>
      <c r="F42" s="26"/>
      <c r="G42" s="26"/>
      <c r="H42" s="26"/>
      <c r="I42" s="26"/>
      <c r="J42" s="26"/>
      <c r="K42" s="26"/>
      <c r="L42" s="26"/>
      <c r="M42" s="26"/>
      <c r="N42" s="20"/>
      <c r="O42" s="25"/>
      <c r="P42" s="21"/>
      <c r="Q42" s="21"/>
      <c r="R42" s="25"/>
    </row>
    <row r="43" spans="2:22" x14ac:dyDescent="0.25">
      <c r="B43" s="26"/>
      <c r="C43" s="21"/>
      <c r="D43" s="22"/>
      <c r="E43" s="23"/>
      <c r="F43" s="26"/>
      <c r="G43" s="26"/>
      <c r="H43" s="26"/>
      <c r="I43" s="26"/>
      <c r="J43" s="26"/>
      <c r="K43" s="26"/>
      <c r="L43" s="26"/>
      <c r="M43" s="26"/>
      <c r="N43" s="20"/>
      <c r="O43" s="25"/>
      <c r="P43" s="21"/>
      <c r="Q43" s="21"/>
      <c r="R43" s="25"/>
    </row>
    <row r="44" spans="2:22" x14ac:dyDescent="0.25">
      <c r="B44" s="26"/>
      <c r="C44" s="21"/>
      <c r="D44" s="22"/>
      <c r="E44" s="23"/>
      <c r="F44" s="26"/>
      <c r="G44" s="26"/>
      <c r="H44" s="26"/>
      <c r="I44" s="26"/>
      <c r="J44" s="26"/>
      <c r="K44" s="26"/>
      <c r="L44" s="26"/>
      <c r="M44" s="26"/>
      <c r="N44" s="20"/>
      <c r="O44" s="25"/>
      <c r="P44" s="21"/>
      <c r="Q44" s="21"/>
      <c r="R44" s="25"/>
    </row>
    <row r="45" spans="2:22" x14ac:dyDescent="0.25">
      <c r="B45" s="26"/>
      <c r="C45" s="21"/>
      <c r="D45" s="22"/>
      <c r="E45" s="23"/>
      <c r="F45" s="26"/>
      <c r="G45" s="26"/>
      <c r="H45" s="26"/>
      <c r="I45" s="26"/>
      <c r="J45" s="26"/>
      <c r="K45" s="26"/>
      <c r="L45" s="26"/>
      <c r="M45" s="26"/>
      <c r="N45" s="20"/>
      <c r="O45" s="25"/>
      <c r="P45" s="21"/>
      <c r="Q45" s="21"/>
      <c r="R45" s="25"/>
    </row>
    <row r="46" spans="2:22" x14ac:dyDescent="0.25">
      <c r="B46" s="26"/>
      <c r="C46" s="21"/>
      <c r="D46" s="22"/>
      <c r="E46" s="23"/>
      <c r="F46" s="26"/>
      <c r="G46" s="26"/>
      <c r="H46" s="26"/>
      <c r="I46" s="26"/>
      <c r="J46" s="26"/>
      <c r="K46" s="26"/>
      <c r="L46" s="26"/>
      <c r="M46" s="26"/>
      <c r="N46" s="20"/>
      <c r="O46" s="25"/>
      <c r="P46" s="21"/>
      <c r="Q46" s="21"/>
      <c r="R46" s="25"/>
    </row>
    <row r="47" spans="2:22" x14ac:dyDescent="0.25">
      <c r="B47" s="26"/>
      <c r="C47" s="21"/>
      <c r="D47" s="22"/>
      <c r="E47" s="23"/>
      <c r="F47" s="26"/>
      <c r="G47" s="26"/>
      <c r="H47" s="26"/>
      <c r="I47" s="26"/>
      <c r="J47" s="26"/>
      <c r="K47" s="26"/>
      <c r="L47" s="26"/>
      <c r="M47" s="26"/>
      <c r="N47" s="20"/>
      <c r="O47" s="25"/>
      <c r="P47" s="21"/>
      <c r="Q47" s="21"/>
      <c r="R47" s="25"/>
    </row>
    <row r="48" spans="2:22" x14ac:dyDescent="0.25">
      <c r="B48" s="26"/>
      <c r="C48" s="21"/>
      <c r="D48" s="22"/>
      <c r="E48" s="23"/>
      <c r="F48" s="26"/>
      <c r="G48" s="26"/>
      <c r="H48" s="26"/>
      <c r="I48" s="26"/>
      <c r="J48" s="26"/>
      <c r="K48" s="26"/>
      <c r="L48" s="26"/>
      <c r="M48" s="26"/>
      <c r="N48" s="20"/>
      <c r="O48" s="25"/>
      <c r="P48" s="21"/>
      <c r="Q48" s="21"/>
      <c r="R48" s="25"/>
    </row>
    <row r="49" spans="1:18" x14ac:dyDescent="0.25">
      <c r="B49" s="26"/>
      <c r="C49" s="21"/>
      <c r="D49" s="22"/>
      <c r="E49" s="23"/>
      <c r="F49" s="26"/>
      <c r="G49" s="26"/>
      <c r="H49" s="26"/>
      <c r="I49" s="26"/>
      <c r="J49" s="26"/>
      <c r="K49" s="26"/>
      <c r="L49" s="26"/>
      <c r="M49" s="26"/>
      <c r="N49" s="20"/>
      <c r="O49" s="25"/>
      <c r="P49" s="21"/>
      <c r="Q49" s="21"/>
      <c r="R49" s="25"/>
    </row>
    <row r="50" spans="1:18" ht="15.75" thickBot="1" x14ac:dyDescent="0.3">
      <c r="B50" s="26"/>
      <c r="C50" s="21"/>
      <c r="D50" s="22"/>
      <c r="E50" s="23"/>
      <c r="F50" s="26"/>
      <c r="G50" s="26"/>
      <c r="H50" s="26"/>
      <c r="I50" s="26"/>
      <c r="Q50" s="21"/>
    </row>
    <row r="51" spans="1:18" ht="22.35" customHeight="1" thickBot="1" x14ac:dyDescent="0.3">
      <c r="B51" s="280" t="s">
        <v>85</v>
      </c>
      <c r="C51" s="281"/>
      <c r="D51" s="282"/>
      <c r="F51" s="280" t="s">
        <v>100</v>
      </c>
      <c r="G51" s="281"/>
      <c r="H51" s="282"/>
    </row>
    <row r="52" spans="1:18" ht="15.6" customHeight="1" x14ac:dyDescent="0.25">
      <c r="B52" s="283" t="s">
        <v>83</v>
      </c>
      <c r="C52" s="284"/>
      <c r="D52" s="28" t="s">
        <v>35</v>
      </c>
      <c r="F52" s="283" t="s">
        <v>83</v>
      </c>
      <c r="G52" s="284"/>
      <c r="H52" s="28" t="s">
        <v>35</v>
      </c>
    </row>
    <row r="53" spans="1:18" x14ac:dyDescent="0.25">
      <c r="B53" s="29" t="s">
        <v>41</v>
      </c>
      <c r="C53" s="30"/>
      <c r="D53" s="31">
        <f>COUNTIFS(Apr[Witnessed
Fall?],$B53)</f>
        <v>0</v>
      </c>
      <c r="F53" s="29" t="s">
        <v>79</v>
      </c>
      <c r="G53" s="30"/>
      <c r="H53" s="31">
        <f>COUNTIFS(Apr[Fall Circumstances],$F53)</f>
        <v>0</v>
      </c>
    </row>
    <row r="54" spans="1:18" ht="15.75" thickBot="1" x14ac:dyDescent="0.3">
      <c r="B54" s="32" t="s">
        <v>42</v>
      </c>
      <c r="C54" s="33"/>
      <c r="D54" s="34">
        <f>COUNTIFS(Apr[Witnessed
Fall?],$B54)</f>
        <v>0</v>
      </c>
      <c r="F54" s="29" t="s">
        <v>101</v>
      </c>
      <c r="G54" s="30"/>
      <c r="H54" s="31">
        <f>COUNTIFS(Apr[Fall Circumstances],$F54)</f>
        <v>0</v>
      </c>
    </row>
    <row r="55" spans="1:18" ht="15.6" customHeight="1" thickBot="1" x14ac:dyDescent="0.3">
      <c r="B55" s="285" t="s">
        <v>16</v>
      </c>
      <c r="C55" s="286"/>
      <c r="D55" s="35">
        <f>SUM(D53:D54)</f>
        <v>0</v>
      </c>
      <c r="F55" s="32" t="s">
        <v>102</v>
      </c>
      <c r="G55" s="33"/>
      <c r="H55" s="36">
        <f>COUNTIFS(Apr[Fall Circumstances],$F55)</f>
        <v>0</v>
      </c>
    </row>
    <row r="56" spans="1:18" ht="15.6" customHeight="1" thickBot="1" x14ac:dyDescent="0.3">
      <c r="A56" s="26"/>
      <c r="B56" s="21"/>
      <c r="C56" s="22"/>
      <c r="D56" s="26"/>
      <c r="F56" s="285" t="s">
        <v>16</v>
      </c>
      <c r="G56" s="286"/>
      <c r="H56" s="37">
        <f>SUM(H53:H55)</f>
        <v>0</v>
      </c>
    </row>
    <row r="57" spans="1:18" ht="15.75" thickBot="1" x14ac:dyDescent="0.3">
      <c r="A57" s="26"/>
      <c r="B57" s="21"/>
      <c r="C57" s="22"/>
      <c r="D57" s="26"/>
      <c r="F57" s="26"/>
      <c r="G57" s="21"/>
      <c r="H57" s="22"/>
      <c r="L57" s="21"/>
      <c r="O57" s="22"/>
    </row>
    <row r="58" spans="1:18" ht="15.75" thickBot="1" x14ac:dyDescent="0.3">
      <c r="A58" s="26"/>
      <c r="B58" s="21"/>
      <c r="C58" s="22"/>
      <c r="D58" s="26"/>
      <c r="F58" s="280" t="s">
        <v>103</v>
      </c>
      <c r="G58" s="281"/>
      <c r="H58" s="282"/>
      <c r="L58" s="21"/>
      <c r="O58" s="22"/>
    </row>
    <row r="59" spans="1:18" x14ac:dyDescent="0.25">
      <c r="A59" s="26"/>
      <c r="B59" s="21"/>
      <c r="C59" s="22"/>
      <c r="D59" s="26"/>
      <c r="F59" s="283" t="s">
        <v>26</v>
      </c>
      <c r="G59" s="284"/>
      <c r="H59" s="28" t="s">
        <v>35</v>
      </c>
      <c r="L59" s="21"/>
      <c r="O59" s="22"/>
    </row>
    <row r="60" spans="1:18" ht="15.6" customHeight="1" x14ac:dyDescent="0.25">
      <c r="F60" s="29" t="s">
        <v>142</v>
      </c>
      <c r="G60" s="30"/>
      <c r="H60" s="31">
        <f>COUNTIFS(Apr[Cognitive Impairment],$F60)</f>
        <v>0</v>
      </c>
    </row>
    <row r="61" spans="1:18" x14ac:dyDescent="0.25">
      <c r="F61" s="29" t="s">
        <v>143</v>
      </c>
      <c r="G61" s="30"/>
      <c r="H61" s="31">
        <f>COUNTIFS(Apr[Cognitive Impairment],$F61)</f>
        <v>0</v>
      </c>
    </row>
    <row r="62" spans="1:18" ht="15.75" thickBot="1" x14ac:dyDescent="0.3">
      <c r="F62" s="32" t="s">
        <v>144</v>
      </c>
      <c r="G62" s="33"/>
      <c r="H62" s="31">
        <f>COUNTIFS(Apr[Cognitive Impairment],$F62)</f>
        <v>0</v>
      </c>
    </row>
    <row r="63" spans="1:18" ht="15.75" thickBot="1" x14ac:dyDescent="0.3">
      <c r="F63" s="285" t="s">
        <v>16</v>
      </c>
      <c r="G63" s="286"/>
      <c r="H63" s="37">
        <f>SUM(H60:H62)</f>
        <v>0</v>
      </c>
    </row>
    <row r="64" spans="1:18" ht="15.75" thickBot="1" x14ac:dyDescent="0.3"/>
    <row r="65" spans="1:8" ht="21.4" customHeight="1" thickBot="1" x14ac:dyDescent="0.3">
      <c r="B65" s="280" t="s">
        <v>78</v>
      </c>
      <c r="C65" s="281"/>
      <c r="D65" s="281"/>
      <c r="E65" s="281"/>
      <c r="F65" s="281"/>
      <c r="G65" s="282"/>
    </row>
    <row r="66" spans="1:8" ht="15.6" customHeight="1" x14ac:dyDescent="0.25">
      <c r="A66" s="38"/>
      <c r="B66" s="288" t="s">
        <v>86</v>
      </c>
      <c r="C66" s="289"/>
      <c r="D66" s="289"/>
      <c r="E66" s="289"/>
      <c r="F66" s="290"/>
      <c r="G66" s="28" t="s">
        <v>35</v>
      </c>
    </row>
    <row r="67" spans="1:8" x14ac:dyDescent="0.25">
      <c r="A67" s="38"/>
      <c r="B67" s="39" t="str" cm="1">
        <f t="array" ref="B67:B90">IF(_xlfn._xlws.SORT(PriortoFall[What was the resident doing prior to fall?],1,1,TRUE)=0,"",(_xlfn._xlws.SORT(PriortoFall[What was the resident doing prior to fall?],1,1,TRUE)))</f>
        <v>Ambulating with assistive device (walker, cane, wheelchair)</v>
      </c>
      <c r="C67" s="40"/>
      <c r="D67" s="40"/>
      <c r="E67" s="40"/>
      <c r="F67" s="41"/>
      <c r="G67" s="42">
        <f>IF($B67="",NA(),COUNTIFS(Apr[What was resident doing prior to fall?],$B67))</f>
        <v>0</v>
      </c>
      <c r="H67" s="43"/>
    </row>
    <row r="68" spans="1:8" x14ac:dyDescent="0.25">
      <c r="A68" s="38"/>
      <c r="B68" s="44" t="str">
        <v>Ambulating with staff assistance</v>
      </c>
      <c r="C68" s="45"/>
      <c r="D68" s="45"/>
      <c r="E68" s="45"/>
      <c r="F68" s="46"/>
      <c r="G68" s="42">
        <f>IF($B68="",NA(),COUNTIFS(Apr[What was resident doing prior to fall?],$B68))</f>
        <v>0</v>
      </c>
    </row>
    <row r="69" spans="1:8" x14ac:dyDescent="0.25">
      <c r="A69" s="38"/>
      <c r="B69" s="39" t="str">
        <v>Ambulating without assistance or assistive device</v>
      </c>
      <c r="C69" s="40"/>
      <c r="D69" s="40"/>
      <c r="E69" s="40"/>
      <c r="F69" s="41"/>
      <c r="G69" s="42">
        <f>IF($B69="",NA(),COUNTIFS(Apr[What was resident doing prior to fall?],$B69))</f>
        <v>0</v>
      </c>
    </row>
    <row r="70" spans="1:8" x14ac:dyDescent="0.25">
      <c r="A70" s="38"/>
      <c r="B70" s="44" t="str">
        <v>Changing position (e.g., in bed, chair)</v>
      </c>
      <c r="C70" s="45"/>
      <c r="D70" s="45"/>
      <c r="E70" s="45"/>
      <c r="F70" s="46"/>
      <c r="G70" s="42">
        <f>IF($B70="",NA(),COUNTIFS(Apr[What was resident doing prior to fall?],$B70))</f>
        <v>0</v>
      </c>
    </row>
    <row r="71" spans="1:8" x14ac:dyDescent="0.25">
      <c r="A71" s="38"/>
      <c r="B71" s="44" t="str">
        <v>Dressing or undressing</v>
      </c>
      <c r="C71" s="45"/>
      <c r="D71" s="45"/>
      <c r="E71" s="45"/>
      <c r="F71" s="46"/>
      <c r="G71" s="42">
        <f>IF($B71="",NA(),COUNTIFS(Apr[What was resident doing prior to fall?],$B71))</f>
        <v>0</v>
      </c>
    </row>
    <row r="72" spans="1:8" x14ac:dyDescent="0.25">
      <c r="A72" s="38"/>
      <c r="B72" s="44" t="str">
        <v>Other activity</v>
      </c>
      <c r="C72" s="45"/>
      <c r="D72" s="45"/>
      <c r="E72" s="45"/>
      <c r="F72" s="46"/>
      <c r="G72" s="42">
        <f>IF($B72="",NA(),COUNTIFS(Apr[What was resident doing prior to fall?],$B72))</f>
        <v>0</v>
      </c>
    </row>
    <row r="73" spans="1:8" x14ac:dyDescent="0.25">
      <c r="A73" s="38"/>
      <c r="B73" s="44" t="str">
        <v>Reaching for an item</v>
      </c>
      <c r="C73" s="45"/>
      <c r="D73" s="45"/>
      <c r="E73" s="45"/>
      <c r="F73" s="46"/>
      <c r="G73" s="42">
        <f>IF($B73="",NA(),COUNTIFS(Apr[What was resident doing prior to fall?],$B73))</f>
        <v>0</v>
      </c>
    </row>
    <row r="74" spans="1:8" x14ac:dyDescent="0.25">
      <c r="A74" s="38"/>
      <c r="B74" s="44" t="str">
        <v>Showering or bathing</v>
      </c>
      <c r="C74" s="45"/>
      <c r="D74" s="45"/>
      <c r="E74" s="45"/>
      <c r="F74" s="46"/>
      <c r="G74" s="42">
        <f>IF($B74="",NA(),COUNTIFS(Apr[What was resident doing prior to fall?],$B74))</f>
        <v>0</v>
      </c>
    </row>
    <row r="75" spans="1:8" x14ac:dyDescent="0.25">
      <c r="A75" s="38"/>
      <c r="B75" s="44" t="str">
        <v>Toileting</v>
      </c>
      <c r="C75" s="45"/>
      <c r="D75" s="45"/>
      <c r="E75" s="45"/>
      <c r="F75" s="46"/>
      <c r="G75" s="42">
        <f>IF($B75="",NA(),COUNTIFS(Apr[What was resident doing prior to fall?],$B75))</f>
        <v>0</v>
      </c>
    </row>
    <row r="76" spans="1:8" x14ac:dyDescent="0.25">
      <c r="A76" s="38"/>
      <c r="B76" s="44" t="str">
        <v>Transferring to or from bed, chair, wheelchair, etc.</v>
      </c>
      <c r="C76" s="45"/>
      <c r="D76" s="45"/>
      <c r="E76" s="45"/>
      <c r="F76" s="46"/>
      <c r="G76" s="42">
        <f>IF($B76="",NA(),COUNTIFS(Apr[What was resident doing prior to fall?],$B76))</f>
        <v>0</v>
      </c>
    </row>
    <row r="77" spans="1:8" x14ac:dyDescent="0.25">
      <c r="A77" s="38"/>
      <c r="B77" s="39" t="str">
        <v>Unknown</v>
      </c>
      <c r="C77" s="40"/>
      <c r="D77" s="40"/>
      <c r="E77" s="40"/>
      <c r="F77" s="41"/>
      <c r="G77" s="42">
        <f>IF($B77="",NA(),COUNTIFS(Apr[What was resident doing prior to fall?],$B77))</f>
        <v>0</v>
      </c>
    </row>
    <row r="78" spans="1:8" x14ac:dyDescent="0.25">
      <c r="A78" s="38"/>
      <c r="B78" s="44" t="str">
        <v/>
      </c>
      <c r="C78" s="45"/>
      <c r="D78" s="45"/>
      <c r="E78" s="45"/>
      <c r="F78" s="46"/>
      <c r="G78" s="42" t="e">
        <f>IF($B78="",NA(),COUNTIFS(Apr[What was resident doing prior to fall?],$B78))</f>
        <v>#N/A</v>
      </c>
    </row>
    <row r="79" spans="1:8" x14ac:dyDescent="0.25">
      <c r="A79" s="38"/>
      <c r="B79" s="39" t="str">
        <v/>
      </c>
      <c r="C79" s="40"/>
      <c r="D79" s="40"/>
      <c r="E79" s="40"/>
      <c r="F79" s="41"/>
      <c r="G79" s="42" t="e">
        <f>IF($B79="",NA(),COUNTIFS(Apr[What was resident doing prior to fall?],$B79))</f>
        <v>#N/A</v>
      </c>
    </row>
    <row r="80" spans="1:8" x14ac:dyDescent="0.25">
      <c r="A80" s="38"/>
      <c r="B80" s="44" t="str">
        <v/>
      </c>
      <c r="C80" s="45"/>
      <c r="D80" s="45"/>
      <c r="E80" s="45"/>
      <c r="F80" s="46"/>
      <c r="G80" s="42" t="e">
        <f>IF($B80="",NA(),COUNTIFS(Apr[What was resident doing prior to fall?],$B80))</f>
        <v>#N/A</v>
      </c>
    </row>
    <row r="81" spans="1:7" x14ac:dyDescent="0.25">
      <c r="A81" s="38"/>
      <c r="B81" s="39" t="str">
        <v/>
      </c>
      <c r="C81" s="40"/>
      <c r="D81" s="40"/>
      <c r="E81" s="40"/>
      <c r="F81" s="41"/>
      <c r="G81" s="42" t="e">
        <f>IF($B81="",NA(),COUNTIFS(Apr[What was resident doing prior to fall?],$B81))</f>
        <v>#N/A</v>
      </c>
    </row>
    <row r="82" spans="1:7" x14ac:dyDescent="0.25">
      <c r="A82" s="38"/>
      <c r="B82" s="44" t="str">
        <v/>
      </c>
      <c r="C82" s="45"/>
      <c r="D82" s="45"/>
      <c r="E82" s="45"/>
      <c r="F82" s="46"/>
      <c r="G82" s="42" t="e">
        <f>IF($B82="",NA(),COUNTIFS(Apr[What was resident doing prior to fall?],$B82))</f>
        <v>#N/A</v>
      </c>
    </row>
    <row r="83" spans="1:7" x14ac:dyDescent="0.25">
      <c r="A83" s="38"/>
      <c r="B83" s="39" t="str">
        <v/>
      </c>
      <c r="C83" s="40"/>
      <c r="D83" s="40"/>
      <c r="E83" s="40"/>
      <c r="F83" s="41"/>
      <c r="G83" s="42" t="e">
        <f>IF($B83="",NA(),COUNTIFS(Apr[What was resident doing prior to fall?],$B83))</f>
        <v>#N/A</v>
      </c>
    </row>
    <row r="84" spans="1:7" x14ac:dyDescent="0.25">
      <c r="A84" s="38"/>
      <c r="B84" s="44" t="str">
        <v/>
      </c>
      <c r="C84" s="45"/>
      <c r="D84" s="45"/>
      <c r="E84" s="45"/>
      <c r="F84" s="46"/>
      <c r="G84" s="42" t="e">
        <f>IF($B84="",NA(),COUNTIFS(Apr[What was resident doing prior to fall?],$B84))</f>
        <v>#N/A</v>
      </c>
    </row>
    <row r="85" spans="1:7" x14ac:dyDescent="0.25">
      <c r="A85" s="38"/>
      <c r="B85" s="44" t="str">
        <v/>
      </c>
      <c r="C85" s="45"/>
      <c r="D85" s="45"/>
      <c r="E85" s="45"/>
      <c r="F85" s="46"/>
      <c r="G85" s="42" t="e">
        <f>IF($B85="",NA(),COUNTIFS(Apr[What was resident doing prior to fall?],$B85))</f>
        <v>#N/A</v>
      </c>
    </row>
    <row r="86" spans="1:7" x14ac:dyDescent="0.25">
      <c r="A86" s="38"/>
      <c r="B86" s="39" t="str">
        <v/>
      </c>
      <c r="C86" s="40"/>
      <c r="D86" s="40"/>
      <c r="E86" s="40"/>
      <c r="F86" s="41"/>
      <c r="G86" s="42" t="e">
        <f>IF($B86="",NA(),COUNTIFS(Apr[What was resident doing prior to fall?],$B86))</f>
        <v>#N/A</v>
      </c>
    </row>
    <row r="87" spans="1:7" x14ac:dyDescent="0.25">
      <c r="A87" s="38"/>
      <c r="B87" s="44" t="str">
        <v/>
      </c>
      <c r="C87" s="45"/>
      <c r="D87" s="45"/>
      <c r="E87" s="45"/>
      <c r="F87" s="46"/>
      <c r="G87" s="42" t="e">
        <f>IF($B87="",NA(),COUNTIFS(Apr[What was resident doing prior to fall?],$B87))</f>
        <v>#N/A</v>
      </c>
    </row>
    <row r="88" spans="1:7" x14ac:dyDescent="0.25">
      <c r="A88" s="38"/>
      <c r="B88" s="39" t="str">
        <v/>
      </c>
      <c r="C88" s="40"/>
      <c r="D88" s="40"/>
      <c r="E88" s="40"/>
      <c r="F88" s="41"/>
      <c r="G88" s="42" t="e">
        <f>IF($B88="",NA(),COUNTIFS(Apr[What was resident doing prior to fall?],$B88))</f>
        <v>#N/A</v>
      </c>
    </row>
    <row r="89" spans="1:7" x14ac:dyDescent="0.25">
      <c r="A89" s="38"/>
      <c r="B89" s="44" t="str">
        <v/>
      </c>
      <c r="C89" s="45"/>
      <c r="D89" s="45"/>
      <c r="E89" s="45"/>
      <c r="F89" s="46"/>
      <c r="G89" s="42" t="e">
        <f>IF($B89="",NA(),COUNTIFS(Apr[What was resident doing prior to fall?],$B89))</f>
        <v>#N/A</v>
      </c>
    </row>
    <row r="90" spans="1:7" ht="15.75" thickBot="1" x14ac:dyDescent="0.3">
      <c r="A90" s="38"/>
      <c r="B90" s="47" t="str">
        <v/>
      </c>
      <c r="C90" s="47"/>
      <c r="D90" s="47"/>
      <c r="E90" s="47"/>
      <c r="F90" s="48"/>
      <c r="G90" s="42" t="e">
        <f>IF($B90="",NA(),COUNTIFS(Apr[What was resident doing prior to fall?],$B90))</f>
        <v>#N/A</v>
      </c>
    </row>
    <row r="91" spans="1:7" ht="15.6" customHeight="1" thickBot="1" x14ac:dyDescent="0.3">
      <c r="B91" s="285" t="s">
        <v>35</v>
      </c>
      <c r="C91" s="286"/>
      <c r="D91" s="286"/>
      <c r="E91" s="286"/>
      <c r="F91" s="287"/>
      <c r="G91" s="37">
        <f>_xlfn.AGGREGATE(9,6,G67:G90)</f>
        <v>0</v>
      </c>
    </row>
    <row r="92" spans="1:7" ht="15.75" thickBot="1" x14ac:dyDescent="0.3"/>
    <row r="93" spans="1:7" ht="22.35" customHeight="1" thickBot="1" x14ac:dyDescent="0.3">
      <c r="B93" s="293" t="s">
        <v>173</v>
      </c>
      <c r="C93" s="294"/>
      <c r="D93" s="295"/>
    </row>
    <row r="94" spans="1:7" x14ac:dyDescent="0.25">
      <c r="A94" s="38"/>
      <c r="B94" s="298" t="s">
        <v>1</v>
      </c>
      <c r="C94" s="299"/>
      <c r="D94" s="49" t="s">
        <v>35</v>
      </c>
    </row>
    <row r="95" spans="1:7" x14ac:dyDescent="0.25">
      <c r="A95" s="38"/>
      <c r="B95" s="50" t="str" cm="1">
        <f t="array" ref="B95:B105">IF(_xlfn._xlws.SORT(Location[Location],1,1,TRUE)=0,"",(_xlfn._xlws.SORT(Location[Location],1,1,TRUE)))</f>
        <v>Activity Room</v>
      </c>
      <c r="C95" s="51"/>
      <c r="D95" s="52">
        <f>IF($B95="",NA(),COUNTIFS(Apr[Location],$B95))</f>
        <v>0</v>
      </c>
    </row>
    <row r="96" spans="1:7" x14ac:dyDescent="0.25">
      <c r="A96" s="38"/>
      <c r="B96" s="50" t="str">
        <v>Bedroom</v>
      </c>
      <c r="C96" s="51"/>
      <c r="D96" s="52">
        <f>IF($B96="",NA(),COUNTIFS(Apr[Location],$B96))</f>
        <v>0</v>
      </c>
    </row>
    <row r="97" spans="1:4" x14ac:dyDescent="0.25">
      <c r="A97" s="38"/>
      <c r="B97" s="50" t="str">
        <v>Bathroom</v>
      </c>
      <c r="C97" s="51"/>
      <c r="D97" s="52">
        <f>IF($B97="",NA(),COUNTIFS(Apr[Location],$B97))</f>
        <v>0</v>
      </c>
    </row>
    <row r="98" spans="1:4" x14ac:dyDescent="0.25">
      <c r="A98" s="38"/>
      <c r="B98" s="50" t="str">
        <v>Hallway</v>
      </c>
      <c r="C98" s="51"/>
      <c r="D98" s="52">
        <f>IF($B98="",NA(),COUNTIFS(Apr[Location],$B98))</f>
        <v>0</v>
      </c>
    </row>
    <row r="99" spans="1:4" x14ac:dyDescent="0.25">
      <c r="A99" s="38"/>
      <c r="B99" s="50" t="str">
        <v>Offsite</v>
      </c>
      <c r="C99" s="51"/>
      <c r="D99" s="52">
        <f>IF($B99="",NA(),COUNTIFS(Apr[Location],$B99))</f>
        <v>0</v>
      </c>
    </row>
    <row r="100" spans="1:4" x14ac:dyDescent="0.25">
      <c r="A100" s="38"/>
      <c r="B100" s="53" t="str">
        <v>Shower Room</v>
      </c>
      <c r="C100" s="54"/>
      <c r="D100" s="52">
        <f>IF($B100="",NA(),COUNTIFS(Apr[Location],$B100))</f>
        <v>0</v>
      </c>
    </row>
    <row r="101" spans="1:4" x14ac:dyDescent="0.25">
      <c r="A101" s="38"/>
      <c r="B101" s="55" t="str">
        <v>Dining Room</v>
      </c>
      <c r="C101" s="56"/>
      <c r="D101" s="52">
        <f>IF($B101="",NA(),COUNTIFS(Apr[Location],$B101))</f>
        <v>0</v>
      </c>
    </row>
    <row r="102" spans="1:4" x14ac:dyDescent="0.25">
      <c r="A102" s="38"/>
      <c r="B102" s="57" t="str">
        <v/>
      </c>
      <c r="C102" s="58"/>
      <c r="D102" s="52" t="e">
        <f>IF($B102="",NA(),COUNTIFS(Apr[Location],$B102))</f>
        <v>#N/A</v>
      </c>
    </row>
    <row r="103" spans="1:4" x14ac:dyDescent="0.25">
      <c r="A103" s="38"/>
      <c r="B103" s="59" t="str">
        <v/>
      </c>
      <c r="C103" s="51"/>
      <c r="D103" s="52" t="e">
        <f>IF($B103="",NA(),COUNTIFS(Apr[Location],$B103))</f>
        <v>#N/A</v>
      </c>
    </row>
    <row r="104" spans="1:4" x14ac:dyDescent="0.25">
      <c r="A104" s="38"/>
      <c r="B104" s="53" t="str">
        <v/>
      </c>
      <c r="C104" s="60"/>
      <c r="D104" s="52" t="e">
        <f>IF($B104="",NA(),COUNTIFS(Apr[Location],$B104))</f>
        <v>#N/A</v>
      </c>
    </row>
    <row r="105" spans="1:4" ht="15.75" thickBot="1" x14ac:dyDescent="0.3">
      <c r="A105" s="38"/>
      <c r="B105" s="59" t="str">
        <v/>
      </c>
      <c r="C105" s="61"/>
      <c r="D105" s="52" t="e">
        <f>IF($B105="",NA(),COUNTIFS(Apr[Location],$B105))</f>
        <v>#N/A</v>
      </c>
    </row>
    <row r="106" spans="1:4" ht="15.75" thickBot="1" x14ac:dyDescent="0.3">
      <c r="B106" s="296" t="s">
        <v>16</v>
      </c>
      <c r="C106" s="297"/>
      <c r="D106" s="37">
        <f>_xlfn.AGGREGATE(9,6,D95:D105)</f>
        <v>0</v>
      </c>
    </row>
    <row r="107" spans="1:4" ht="15.75" thickBot="1" x14ac:dyDescent="0.3"/>
    <row r="108" spans="1:4" ht="21.4" customHeight="1" thickBot="1" x14ac:dyDescent="0.3">
      <c r="B108" s="280" t="str">
        <f>"Falls by Nursing Station "</f>
        <v xml:space="preserve">Falls by Nursing Station </v>
      </c>
      <c r="C108" s="281"/>
      <c r="D108" s="282"/>
    </row>
    <row r="109" spans="1:4" ht="15.75" x14ac:dyDescent="0.25">
      <c r="B109" s="291" t="s">
        <v>2</v>
      </c>
      <c r="C109" s="291"/>
      <c r="D109" s="28" t="s">
        <v>35</v>
      </c>
    </row>
    <row r="110" spans="1:4" x14ac:dyDescent="0.25">
      <c r="B110" s="62" cm="1">
        <f t="array" ref="B110:B120">IF(_xlfn._xlws.SORT(NS[Nurses Stations],1,1,TRUE)=0,"",(_xlfn._xlws.SORT(NS[Nurses Stations],1,1,TRUE)))</f>
        <v>1</v>
      </c>
      <c r="C110" s="63"/>
      <c r="D110" s="31">
        <f>IF($B110="",NA(),COUNTIFS(Apr[Station],$B110))</f>
        <v>0</v>
      </c>
    </row>
    <row r="111" spans="1:4" x14ac:dyDescent="0.25">
      <c r="B111" s="62">
        <v>2</v>
      </c>
      <c r="C111" s="63"/>
      <c r="D111" s="31">
        <f>IF($B111="",NA(),COUNTIFS(Apr[Station],$B111))</f>
        <v>0</v>
      </c>
    </row>
    <row r="112" spans="1:4" x14ac:dyDescent="0.25">
      <c r="B112" s="62">
        <v>3</v>
      </c>
      <c r="C112" s="63"/>
      <c r="D112" s="31">
        <f>IF($B112="",NA(),COUNTIFS(Apr[Station],$B112))</f>
        <v>0</v>
      </c>
    </row>
    <row r="113" spans="2:4" x14ac:dyDescent="0.25">
      <c r="B113" s="62">
        <v>4</v>
      </c>
      <c r="C113" s="63"/>
      <c r="D113" s="31">
        <f>IF($B113="",NA(),COUNTIFS(Apr[Station],$B113))</f>
        <v>0</v>
      </c>
    </row>
    <row r="114" spans="2:4" x14ac:dyDescent="0.25">
      <c r="B114" s="62">
        <v>5</v>
      </c>
      <c r="C114" s="63"/>
      <c r="D114" s="31">
        <f>IF($B114="",NA(),COUNTIFS(Apr[Station],$B114))</f>
        <v>0</v>
      </c>
    </row>
    <row r="115" spans="2:4" x14ac:dyDescent="0.25">
      <c r="B115" s="62" t="str">
        <v/>
      </c>
      <c r="C115" s="63"/>
      <c r="D115" s="31" t="e">
        <f>IF($B115="",NA(),COUNTIFS(Apr[Station],$B115))</f>
        <v>#N/A</v>
      </c>
    </row>
    <row r="116" spans="2:4" x14ac:dyDescent="0.25">
      <c r="B116" s="62" t="str">
        <v/>
      </c>
      <c r="C116" s="63"/>
      <c r="D116" s="31" t="e">
        <f>IF($B116="",NA(),COUNTIFS(Apr[Station],$B116))</f>
        <v>#N/A</v>
      </c>
    </row>
    <row r="117" spans="2:4" x14ac:dyDescent="0.25">
      <c r="B117" s="62" t="str">
        <v/>
      </c>
      <c r="C117" s="63"/>
      <c r="D117" s="31" t="e">
        <f>IF($B117="",NA(),COUNTIFS(Apr[Station],$B117))</f>
        <v>#N/A</v>
      </c>
    </row>
    <row r="118" spans="2:4" x14ac:dyDescent="0.25">
      <c r="B118" s="62" t="str">
        <v/>
      </c>
      <c r="C118" s="63"/>
      <c r="D118" s="31" t="e">
        <f>IF($B118="",NA(),COUNTIFS(Apr[Station],$B118))</f>
        <v>#N/A</v>
      </c>
    </row>
    <row r="119" spans="2:4" x14ac:dyDescent="0.25">
      <c r="B119" s="62" t="str">
        <v/>
      </c>
      <c r="C119" s="63"/>
      <c r="D119" s="31" t="e">
        <f>IF($B119="",NA(),COUNTIFS(Apr[Station],$B119))</f>
        <v>#N/A</v>
      </c>
    </row>
    <row r="120" spans="2:4" ht="15.75" thickBot="1" x14ac:dyDescent="0.3">
      <c r="B120" s="64" t="str">
        <v/>
      </c>
      <c r="C120" s="63"/>
      <c r="D120" s="31" t="e">
        <f>IF($B120="",NA(),COUNTIFS(Apr[Station],$B120))</f>
        <v>#N/A</v>
      </c>
    </row>
    <row r="121" spans="2:4" ht="15.6" customHeight="1" thickBot="1" x14ac:dyDescent="0.3">
      <c r="B121" s="285" t="s">
        <v>16</v>
      </c>
      <c r="C121" s="286"/>
      <c r="D121" s="37">
        <f>_xlfn.AGGREGATE(9,6,D110:D120)</f>
        <v>0</v>
      </c>
    </row>
    <row r="122" spans="2:4" ht="15.6" customHeight="1" thickBot="1" x14ac:dyDescent="0.3">
      <c r="B122" s="65"/>
      <c r="C122" s="66"/>
      <c r="D122" s="67"/>
    </row>
    <row r="123" spans="2:4" ht="21.95" customHeight="1" thickBot="1" x14ac:dyDescent="0.3">
      <c r="B123" s="280" t="str">
        <f>"Falls by Day of the Week "</f>
        <v xml:space="preserve">Falls by Day of the Week </v>
      </c>
      <c r="C123" s="281"/>
      <c r="D123" s="282"/>
    </row>
    <row r="124" spans="2:4" ht="15.75" x14ac:dyDescent="0.25">
      <c r="B124" s="291" t="s">
        <v>3</v>
      </c>
      <c r="C124" s="291"/>
      <c r="D124" s="28" t="s">
        <v>35</v>
      </c>
    </row>
    <row r="125" spans="2:4" x14ac:dyDescent="0.25">
      <c r="B125" s="292" t="s">
        <v>46</v>
      </c>
      <c r="C125" s="292"/>
      <c r="D125" s="31">
        <f>COUNTIFS(Apr[Day],$B125)</f>
        <v>0</v>
      </c>
    </row>
    <row r="126" spans="2:4" x14ac:dyDescent="0.25">
      <c r="B126" s="292" t="s">
        <v>47</v>
      </c>
      <c r="C126" s="292"/>
      <c r="D126" s="31">
        <f>COUNTIFS(Apr[Day],$B126)</f>
        <v>0</v>
      </c>
    </row>
    <row r="127" spans="2:4" x14ac:dyDescent="0.25">
      <c r="B127" s="292" t="s">
        <v>52</v>
      </c>
      <c r="C127" s="292"/>
      <c r="D127" s="31">
        <f>COUNTIFS(Apr[Day],$B127)</f>
        <v>0</v>
      </c>
    </row>
    <row r="128" spans="2:4" x14ac:dyDescent="0.25">
      <c r="B128" s="292" t="s">
        <v>48</v>
      </c>
      <c r="C128" s="292"/>
      <c r="D128" s="31">
        <f>COUNTIFS(Apr[Day],$B128)</f>
        <v>0</v>
      </c>
    </row>
    <row r="129" spans="2:4" x14ac:dyDescent="0.25">
      <c r="B129" s="292" t="s">
        <v>51</v>
      </c>
      <c r="C129" s="292"/>
      <c r="D129" s="31">
        <f>COUNTIFS(Apr[Day],$B129)</f>
        <v>0</v>
      </c>
    </row>
    <row r="130" spans="2:4" x14ac:dyDescent="0.25">
      <c r="B130" s="292" t="s">
        <v>49</v>
      </c>
      <c r="C130" s="292"/>
      <c r="D130" s="31">
        <f>COUNTIFS(Apr[Day],$B130)</f>
        <v>0</v>
      </c>
    </row>
    <row r="131" spans="2:4" ht="15.75" thickBot="1" x14ac:dyDescent="0.3">
      <c r="B131" s="292" t="s">
        <v>50</v>
      </c>
      <c r="C131" s="292"/>
      <c r="D131" s="34">
        <f>COUNTIFS(Apr[Day],$B131)</f>
        <v>0</v>
      </c>
    </row>
    <row r="132" spans="2:4" ht="15.6" customHeight="1" thickBot="1" x14ac:dyDescent="0.3">
      <c r="B132" s="285" t="s">
        <v>16</v>
      </c>
      <c r="C132" s="286"/>
      <c r="D132" s="35">
        <f>SUM(D125:D131)</f>
        <v>0</v>
      </c>
    </row>
    <row r="133" spans="2:4" ht="15.75" thickBot="1" x14ac:dyDescent="0.3"/>
    <row r="134" spans="2:4" ht="21.4" customHeight="1" thickBot="1" x14ac:dyDescent="0.3">
      <c r="B134" s="280" t="str">
        <f>"Falls by Shift"</f>
        <v>Falls by Shift</v>
      </c>
      <c r="C134" s="281"/>
      <c r="D134" s="282"/>
    </row>
    <row r="135" spans="2:4" ht="15.75" x14ac:dyDescent="0.25">
      <c r="B135" s="291" t="s">
        <v>34</v>
      </c>
      <c r="C135" s="291"/>
      <c r="D135" s="28" t="s">
        <v>35</v>
      </c>
    </row>
    <row r="136" spans="2:4" x14ac:dyDescent="0.25">
      <c r="B136" s="29" t="str" cm="1">
        <f t="array" ref="B136:B140">IF(_xlfn._xlws.SORT('Data Validation'!P3:P7,1,1,TRUE)=0,"",(_xlfn._xlws.SORT('Data Validation'!P3:P7,1,1,TRUE)))</f>
        <v>11-7</v>
      </c>
      <c r="C136" s="58"/>
      <c r="D136" s="31">
        <f>IF($B136="",NA(),COUNTIFS(Apr[Shift],$B136))</f>
        <v>0</v>
      </c>
    </row>
    <row r="137" spans="2:4" x14ac:dyDescent="0.25">
      <c r="B137" s="29" t="str">
        <v>11–7</v>
      </c>
      <c r="C137" s="58"/>
      <c r="D137" s="31">
        <f>IF($B137="",NA(),COUNTIFS(Apr[Shift],$B137))</f>
        <v>0</v>
      </c>
    </row>
    <row r="138" spans="2:4" x14ac:dyDescent="0.25">
      <c r="B138" s="29" t="str">
        <v>7–3</v>
      </c>
      <c r="C138" s="58"/>
      <c r="D138" s="31">
        <f>IF($B138="",NA(),COUNTIFS(Apr[Shift],$B138))</f>
        <v>0</v>
      </c>
    </row>
    <row r="139" spans="2:4" x14ac:dyDescent="0.25">
      <c r="B139" s="29" t="str">
        <v>3–11</v>
      </c>
      <c r="C139" s="58"/>
      <c r="D139" s="31">
        <f>IF($B139="",NA(),COUNTIFS(Apr[Shift],$B139))</f>
        <v>0</v>
      </c>
    </row>
    <row r="140" spans="2:4" ht="15.75" thickBot="1" x14ac:dyDescent="0.3">
      <c r="B140" s="29" t="str">
        <v/>
      </c>
      <c r="C140" s="68"/>
      <c r="D140" s="34" t="e">
        <f>IF($B140="",NA(),COUNTIFS(Apr[Shift],$B140))</f>
        <v>#N/A</v>
      </c>
    </row>
    <row r="141" spans="2:4" ht="15.75" thickBot="1" x14ac:dyDescent="0.3">
      <c r="B141" s="285" t="s">
        <v>16</v>
      </c>
      <c r="C141" s="286"/>
      <c r="D141" s="35">
        <f>_xlfn.AGGREGATE(9,6,D136:D140)</f>
        <v>0</v>
      </c>
    </row>
    <row r="142" spans="2:4" ht="15.75" thickBot="1" x14ac:dyDescent="0.3"/>
    <row r="143" spans="2:4" ht="21.4" customHeight="1" thickBot="1" x14ac:dyDescent="0.3">
      <c r="B143" s="280" t="str">
        <f>"Falls by Hour "</f>
        <v xml:space="preserve">Falls by Hour </v>
      </c>
      <c r="C143" s="281"/>
      <c r="D143" s="282"/>
    </row>
    <row r="144" spans="2:4" ht="15.75" x14ac:dyDescent="0.25">
      <c r="B144" s="291" t="s">
        <v>33</v>
      </c>
      <c r="C144" s="291"/>
      <c r="D144" s="28" t="s">
        <v>35</v>
      </c>
    </row>
    <row r="145" spans="2:4" x14ac:dyDescent="0.25">
      <c r="B145" s="292" t="s">
        <v>115</v>
      </c>
      <c r="C145" s="292"/>
      <c r="D145" s="31">
        <f>COUNTIFS(Apr[Hour],$B145)</f>
        <v>0</v>
      </c>
    </row>
    <row r="146" spans="2:4" x14ac:dyDescent="0.25">
      <c r="B146" s="292" t="s">
        <v>116</v>
      </c>
      <c r="C146" s="292"/>
      <c r="D146" s="31">
        <f>COUNTIFS(Apr[Hour],$B146)</f>
        <v>0</v>
      </c>
    </row>
    <row r="147" spans="2:4" x14ac:dyDescent="0.25">
      <c r="B147" s="292" t="s">
        <v>117</v>
      </c>
      <c r="C147" s="292"/>
      <c r="D147" s="31">
        <f>COUNTIFS(Apr[Hour],$B147)</f>
        <v>0</v>
      </c>
    </row>
    <row r="148" spans="2:4" x14ac:dyDescent="0.25">
      <c r="B148" s="292" t="s">
        <v>118</v>
      </c>
      <c r="C148" s="292"/>
      <c r="D148" s="31">
        <f>COUNTIFS(Apr[Hour],$B148)</f>
        <v>0</v>
      </c>
    </row>
    <row r="149" spans="2:4" x14ac:dyDescent="0.25">
      <c r="B149" s="292" t="s">
        <v>119</v>
      </c>
      <c r="C149" s="292"/>
      <c r="D149" s="31">
        <f>COUNTIFS(Apr[Hour],$B149)</f>
        <v>0</v>
      </c>
    </row>
    <row r="150" spans="2:4" x14ac:dyDescent="0.25">
      <c r="B150" s="292" t="s">
        <v>120</v>
      </c>
      <c r="C150" s="292"/>
      <c r="D150" s="31">
        <f>COUNTIFS(Apr[Hour],$B150)</f>
        <v>0</v>
      </c>
    </row>
    <row r="151" spans="2:4" x14ac:dyDescent="0.25">
      <c r="B151" s="292" t="s">
        <v>121</v>
      </c>
      <c r="C151" s="292"/>
      <c r="D151" s="31">
        <f>COUNTIFS(Apr[Hour],$B151)</f>
        <v>0</v>
      </c>
    </row>
    <row r="152" spans="2:4" x14ac:dyDescent="0.25">
      <c r="B152" s="292" t="s">
        <v>122</v>
      </c>
      <c r="C152" s="292"/>
      <c r="D152" s="31">
        <f>COUNTIFS(Apr[Hour],$B152)</f>
        <v>0</v>
      </c>
    </row>
    <row r="153" spans="2:4" x14ac:dyDescent="0.25">
      <c r="B153" s="292" t="s">
        <v>123</v>
      </c>
      <c r="C153" s="292"/>
      <c r="D153" s="31">
        <f>COUNTIFS(Apr[Hour],$B153)</f>
        <v>0</v>
      </c>
    </row>
    <row r="154" spans="2:4" x14ac:dyDescent="0.25">
      <c r="B154" s="292" t="s">
        <v>124</v>
      </c>
      <c r="C154" s="292"/>
      <c r="D154" s="31">
        <f>COUNTIFS(Apr[Hour],$B154)</f>
        <v>0</v>
      </c>
    </row>
    <row r="155" spans="2:4" x14ac:dyDescent="0.25">
      <c r="B155" s="292" t="s">
        <v>125</v>
      </c>
      <c r="C155" s="292"/>
      <c r="D155" s="31">
        <f>COUNTIFS(Apr[Hour],$B155)</f>
        <v>0</v>
      </c>
    </row>
    <row r="156" spans="2:4" x14ac:dyDescent="0.25">
      <c r="B156" s="292" t="s">
        <v>126</v>
      </c>
      <c r="C156" s="292"/>
      <c r="D156" s="31">
        <f>COUNTIFS(Apr[Hour],$B156)</f>
        <v>0</v>
      </c>
    </row>
    <row r="157" spans="2:4" x14ac:dyDescent="0.25">
      <c r="B157" s="292" t="s">
        <v>127</v>
      </c>
      <c r="C157" s="292"/>
      <c r="D157" s="31">
        <f>COUNTIFS(Apr[Hour],$B157)</f>
        <v>0</v>
      </c>
    </row>
    <row r="158" spans="2:4" x14ac:dyDescent="0.25">
      <c r="B158" s="292" t="s">
        <v>128</v>
      </c>
      <c r="C158" s="292"/>
      <c r="D158" s="31">
        <f>COUNTIFS(Apr[Hour],$B158)</f>
        <v>0</v>
      </c>
    </row>
    <row r="159" spans="2:4" x14ac:dyDescent="0.25">
      <c r="B159" s="292" t="s">
        <v>129</v>
      </c>
      <c r="C159" s="292"/>
      <c r="D159" s="31">
        <f>COUNTIFS(Apr[Hour],$B159)</f>
        <v>0</v>
      </c>
    </row>
    <row r="160" spans="2:4" x14ac:dyDescent="0.25">
      <c r="B160" s="292" t="s">
        <v>130</v>
      </c>
      <c r="C160" s="292"/>
      <c r="D160" s="31">
        <f>COUNTIFS(Apr[Hour],$B160)</f>
        <v>0</v>
      </c>
    </row>
    <row r="161" spans="1:8" x14ac:dyDescent="0.25">
      <c r="B161" s="292" t="s">
        <v>131</v>
      </c>
      <c r="C161" s="292"/>
      <c r="D161" s="31">
        <f>COUNTIFS(Apr[Hour],$B161)</f>
        <v>0</v>
      </c>
    </row>
    <row r="162" spans="1:8" x14ac:dyDescent="0.25">
      <c r="B162" s="292" t="s">
        <v>132</v>
      </c>
      <c r="C162" s="292"/>
      <c r="D162" s="31">
        <f>COUNTIFS(Apr[Hour],$B162)</f>
        <v>0</v>
      </c>
    </row>
    <row r="163" spans="1:8" x14ac:dyDescent="0.25">
      <c r="B163" s="292" t="s">
        <v>133</v>
      </c>
      <c r="C163" s="292"/>
      <c r="D163" s="31">
        <f>COUNTIFS(Apr[Hour],$B163)</f>
        <v>0</v>
      </c>
    </row>
    <row r="164" spans="1:8" x14ac:dyDescent="0.25">
      <c r="B164" s="292" t="s">
        <v>134</v>
      </c>
      <c r="C164" s="292"/>
      <c r="D164" s="31">
        <f>COUNTIFS(Apr[Hour],$B164)</f>
        <v>0</v>
      </c>
    </row>
    <row r="165" spans="1:8" x14ac:dyDescent="0.25">
      <c r="B165" s="292" t="s">
        <v>135</v>
      </c>
      <c r="C165" s="292"/>
      <c r="D165" s="31">
        <f>COUNTIFS(Apr[Hour],$B165)</f>
        <v>0</v>
      </c>
    </row>
    <row r="166" spans="1:8" x14ac:dyDescent="0.25">
      <c r="B166" s="292" t="s">
        <v>136</v>
      </c>
      <c r="C166" s="292"/>
      <c r="D166" s="31">
        <f>COUNTIFS(Apr[Hour],$B166)</f>
        <v>0</v>
      </c>
    </row>
    <row r="167" spans="1:8" x14ac:dyDescent="0.25">
      <c r="B167" s="292" t="s">
        <v>137</v>
      </c>
      <c r="C167" s="292"/>
      <c r="D167" s="31">
        <f>COUNTIFS(Apr[Hour],$B167)</f>
        <v>0</v>
      </c>
    </row>
    <row r="168" spans="1:8" ht="15.75" thickBot="1" x14ac:dyDescent="0.3">
      <c r="B168" s="292" t="s">
        <v>138</v>
      </c>
      <c r="C168" s="292"/>
      <c r="D168" s="34">
        <f>COUNTIFS(Apr[Hour],$B168)</f>
        <v>0</v>
      </c>
    </row>
    <row r="169" spans="1:8" ht="15.75" thickBot="1" x14ac:dyDescent="0.3">
      <c r="B169" s="285" t="s">
        <v>35</v>
      </c>
      <c r="C169" s="286"/>
      <c r="D169" s="35">
        <f>SUM(D145:D168)</f>
        <v>0</v>
      </c>
    </row>
    <row r="170" spans="1:8" ht="15.75" thickBot="1" x14ac:dyDescent="0.3"/>
    <row r="171" spans="1:8" ht="21.4" customHeight="1" thickBot="1" x14ac:dyDescent="0.3">
      <c r="B171" s="280" t="str">
        <f>"Falls by Contributing Factors"</f>
        <v>Falls by Contributing Factors</v>
      </c>
      <c r="C171" s="281"/>
      <c r="D171" s="281"/>
      <c r="E171" s="281"/>
      <c r="F171" s="281"/>
      <c r="G171" s="282"/>
    </row>
    <row r="172" spans="1:8" ht="15.6" customHeight="1" x14ac:dyDescent="0.25">
      <c r="A172" s="38"/>
      <c r="B172" s="288" t="s">
        <v>92</v>
      </c>
      <c r="C172" s="289"/>
      <c r="D172" s="289"/>
      <c r="E172" s="289"/>
      <c r="F172" s="290"/>
      <c r="G172" s="28" t="s">
        <v>35</v>
      </c>
    </row>
    <row r="173" spans="1:8" x14ac:dyDescent="0.25">
      <c r="A173" s="38"/>
      <c r="B173" s="44" t="str" cm="1">
        <f t="array" ref="B173:B196">IF(_xlfn._xlws.SORT(CF[Contributing Factors],1,1,TRUE)=0,"",(_xlfn._xlws.SORT(CF[Contributing Factors],1,1,TRUE)))</f>
        <v>Assisted/caregiver transfer</v>
      </c>
      <c r="C173" s="45"/>
      <c r="D173" s="45"/>
      <c r="E173" s="45"/>
      <c r="F173" s="46"/>
      <c r="G173" s="42">
        <f>IF($B173="",NA(),COUNTIFS(Apr[Contributing Factors],$B173))</f>
        <v>0</v>
      </c>
      <c r="H173" s="43"/>
    </row>
    <row r="174" spans="1:8" x14ac:dyDescent="0.25">
      <c r="A174" s="38"/>
      <c r="B174" s="39" t="str">
        <v>Bowel and bladder (B&amp;B) needs</v>
      </c>
      <c r="C174" s="40"/>
      <c r="D174" s="40"/>
      <c r="E174" s="40"/>
      <c r="F174" s="41"/>
      <c r="G174" s="42">
        <f>IF($B174="",NA(),COUNTIFS(Apr[Contributing Factors],$B174))</f>
        <v>0</v>
      </c>
    </row>
    <row r="175" spans="1:8" x14ac:dyDescent="0.25">
      <c r="A175" s="38"/>
      <c r="B175" s="44" t="str">
        <v>Behavioral or situational</v>
      </c>
      <c r="C175" s="45"/>
      <c r="D175" s="45"/>
      <c r="E175" s="45"/>
      <c r="F175" s="46"/>
      <c r="G175" s="42">
        <f>IF($B175="",NA(),COUNTIFS(Apr[Contributing Factors],$B175))</f>
        <v>0</v>
      </c>
    </row>
    <row r="176" spans="1:8" x14ac:dyDescent="0.25">
      <c r="A176" s="38"/>
      <c r="B176" s="39" t="str">
        <v>Change of condition</v>
      </c>
      <c r="C176" s="40"/>
      <c r="D176" s="40"/>
      <c r="E176" s="40"/>
      <c r="F176" s="41"/>
      <c r="G176" s="42">
        <f>IF($B176="",NA(),COUNTIFS(Apr[Contributing Factors],$B176))</f>
        <v>0</v>
      </c>
    </row>
    <row r="177" spans="1:7" x14ac:dyDescent="0.25">
      <c r="A177" s="38"/>
      <c r="B177" s="44" t="str">
        <v>Environmental factors</v>
      </c>
      <c r="C177" s="45"/>
      <c r="D177" s="45"/>
      <c r="E177" s="45"/>
      <c r="F177" s="46"/>
      <c r="G177" s="42">
        <f>IF($B177="",NA(),COUNTIFS(Apr[Contributing Factors],$B177))</f>
        <v>0</v>
      </c>
    </row>
    <row r="178" spans="1:7" x14ac:dyDescent="0.25">
      <c r="A178" s="38"/>
      <c r="B178" s="39" t="str">
        <v>Equipment malfunction</v>
      </c>
      <c r="C178" s="40"/>
      <c r="D178" s="40"/>
      <c r="E178" s="40"/>
      <c r="F178" s="41"/>
      <c r="G178" s="42">
        <f>IF($B178="",NA(),COUNTIFS(Apr[Contributing Factors],$B178))</f>
        <v>0</v>
      </c>
    </row>
    <row r="179" spans="1:7" x14ac:dyDescent="0.25">
      <c r="A179" s="38"/>
      <c r="B179" s="44" t="str">
        <v>Equipment or assistive device</v>
      </c>
      <c r="C179" s="45"/>
      <c r="D179" s="45"/>
      <c r="E179" s="45"/>
      <c r="F179" s="46"/>
      <c r="G179" s="42">
        <f>IF($B179="",NA(),COUNTIFS(Apr[Contributing Factors],$B179))</f>
        <v>0</v>
      </c>
    </row>
    <row r="180" spans="1:7" x14ac:dyDescent="0.25">
      <c r="A180" s="38"/>
      <c r="B180" s="39" t="str">
        <v>Medication related</v>
      </c>
      <c r="C180" s="40"/>
      <c r="D180" s="40"/>
      <c r="E180" s="40"/>
      <c r="F180" s="41"/>
      <c r="G180" s="42">
        <f>IF($B180="",NA(),COUNTIFS(Apr[Contributing Factors],$B180))</f>
        <v>0</v>
      </c>
    </row>
    <row r="181" spans="1:7" x14ac:dyDescent="0.25">
      <c r="A181" s="38"/>
      <c r="B181" s="44" t="str">
        <v>Process(s) not followed</v>
      </c>
      <c r="C181" s="45"/>
      <c r="D181" s="45"/>
      <c r="E181" s="45"/>
      <c r="F181" s="46"/>
      <c r="G181" s="42">
        <f>IF($B181="",NA(),COUNTIFS(Apr[Contributing Factors],$B181))</f>
        <v>0</v>
      </c>
    </row>
    <row r="182" spans="1:7" x14ac:dyDescent="0.25">
      <c r="A182" s="38"/>
      <c r="B182" s="39" t="str">
        <v>Resident health conditions</v>
      </c>
      <c r="C182" s="40"/>
      <c r="D182" s="40"/>
      <c r="E182" s="40"/>
      <c r="F182" s="41"/>
      <c r="G182" s="42">
        <f>IF($B182="",NA(),COUNTIFS(Apr[Contributing Factors],$B182))</f>
        <v>0</v>
      </c>
    </row>
    <row r="183" spans="1:7" x14ac:dyDescent="0.25">
      <c r="A183" s="38"/>
      <c r="B183" s="44" t="str">
        <v>Staff</v>
      </c>
      <c r="C183" s="45"/>
      <c r="D183" s="45"/>
      <c r="E183" s="45"/>
      <c r="F183" s="46"/>
      <c r="G183" s="42">
        <f>IF($B183="",NA(),COUNTIFS(Apr[Contributing Factors],$B183))</f>
        <v>0</v>
      </c>
    </row>
    <row r="184" spans="1:7" x14ac:dyDescent="0.25">
      <c r="A184" s="38"/>
      <c r="B184" s="39" t="str">
        <v/>
      </c>
      <c r="C184" s="40"/>
      <c r="D184" s="40"/>
      <c r="E184" s="40"/>
      <c r="F184" s="41"/>
      <c r="G184" s="42" t="e">
        <f>IF($B184="",NA(),COUNTIFS(Apr[Contributing Factors],$B184))</f>
        <v>#N/A</v>
      </c>
    </row>
    <row r="185" spans="1:7" x14ac:dyDescent="0.25">
      <c r="A185" s="38"/>
      <c r="B185" s="44" t="str">
        <v/>
      </c>
      <c r="C185" s="45"/>
      <c r="D185" s="45"/>
      <c r="E185" s="45"/>
      <c r="F185" s="46"/>
      <c r="G185" s="42" t="e">
        <f>IF($B185="",NA(),COUNTIFS(Apr[Contributing Factors],$B185))</f>
        <v>#N/A</v>
      </c>
    </row>
    <row r="186" spans="1:7" x14ac:dyDescent="0.25">
      <c r="A186" s="38"/>
      <c r="B186" s="39" t="str">
        <v/>
      </c>
      <c r="C186" s="40"/>
      <c r="D186" s="40"/>
      <c r="E186" s="40"/>
      <c r="F186" s="41"/>
      <c r="G186" s="42" t="e">
        <f>IF($B186="",NA(),COUNTIFS(Apr[Contributing Factors],$B186))</f>
        <v>#N/A</v>
      </c>
    </row>
    <row r="187" spans="1:7" x14ac:dyDescent="0.25">
      <c r="A187" s="38"/>
      <c r="B187" s="44" t="str">
        <v/>
      </c>
      <c r="C187" s="45"/>
      <c r="D187" s="45"/>
      <c r="E187" s="45"/>
      <c r="F187" s="46"/>
      <c r="G187" s="42" t="e">
        <f>IF($B187="",NA(),COUNTIFS(Apr[Contributing Factors],$B187))</f>
        <v>#N/A</v>
      </c>
    </row>
    <row r="188" spans="1:7" x14ac:dyDescent="0.25">
      <c r="A188" s="38"/>
      <c r="B188" s="39" t="str">
        <v/>
      </c>
      <c r="C188" s="40"/>
      <c r="D188" s="40"/>
      <c r="E188" s="40"/>
      <c r="F188" s="41"/>
      <c r="G188" s="42" t="e">
        <f>IF($B188="",NA(),COUNTIFS(Apr[Contributing Factors],$B188))</f>
        <v>#N/A</v>
      </c>
    </row>
    <row r="189" spans="1:7" x14ac:dyDescent="0.25">
      <c r="A189" s="38"/>
      <c r="B189" s="44" t="str">
        <v/>
      </c>
      <c r="C189" s="45"/>
      <c r="D189" s="45"/>
      <c r="E189" s="45"/>
      <c r="F189" s="46"/>
      <c r="G189" s="42" t="e">
        <f>IF($B189="",NA(),COUNTIFS(Apr[Contributing Factors],$B189))</f>
        <v>#N/A</v>
      </c>
    </row>
    <row r="190" spans="1:7" x14ac:dyDescent="0.25">
      <c r="A190" s="38"/>
      <c r="B190" s="39" t="str">
        <v/>
      </c>
      <c r="C190" s="40"/>
      <c r="D190" s="40"/>
      <c r="E190" s="40"/>
      <c r="F190" s="41"/>
      <c r="G190" s="42" t="e">
        <f>IF($B190="",NA(),COUNTIFS(Apr[Contributing Factors],$B190))</f>
        <v>#N/A</v>
      </c>
    </row>
    <row r="191" spans="1:7" x14ac:dyDescent="0.25">
      <c r="A191" s="38"/>
      <c r="B191" s="44" t="str">
        <v/>
      </c>
      <c r="C191" s="45"/>
      <c r="D191" s="45"/>
      <c r="E191" s="45"/>
      <c r="F191" s="46"/>
      <c r="G191" s="42" t="e">
        <f>IF($B191="",NA(),COUNTIFS(Apr[Contributing Factors],$B191))</f>
        <v>#N/A</v>
      </c>
    </row>
    <row r="192" spans="1:7" x14ac:dyDescent="0.25">
      <c r="A192" s="38"/>
      <c r="B192" s="39" t="str">
        <v/>
      </c>
      <c r="C192" s="40"/>
      <c r="D192" s="40"/>
      <c r="E192" s="40"/>
      <c r="F192" s="41"/>
      <c r="G192" s="42" t="e">
        <f>IF($B192="",NA(),COUNTIFS(Apr[Contributing Factors],$B192))</f>
        <v>#N/A</v>
      </c>
    </row>
    <row r="193" spans="1:7" x14ac:dyDescent="0.25">
      <c r="A193" s="38"/>
      <c r="B193" s="44" t="str">
        <v/>
      </c>
      <c r="C193" s="45"/>
      <c r="D193" s="45"/>
      <c r="E193" s="45"/>
      <c r="F193" s="46"/>
      <c r="G193" s="42" t="e">
        <f>IF($B193="",NA(),COUNTIFS(Apr[Contributing Factors],$B193))</f>
        <v>#N/A</v>
      </c>
    </row>
    <row r="194" spans="1:7" x14ac:dyDescent="0.25">
      <c r="A194" s="38"/>
      <c r="B194" s="39" t="str">
        <v/>
      </c>
      <c r="C194" s="40"/>
      <c r="D194" s="40"/>
      <c r="E194" s="40"/>
      <c r="F194" s="41"/>
      <c r="G194" s="42" t="e">
        <f>IF($B194="",NA(),COUNTIFS(Apr[Contributing Factors],$B194))</f>
        <v>#N/A</v>
      </c>
    </row>
    <row r="195" spans="1:7" x14ac:dyDescent="0.25">
      <c r="A195" s="38"/>
      <c r="B195" s="44" t="str">
        <v/>
      </c>
      <c r="C195" s="45"/>
      <c r="D195" s="45"/>
      <c r="E195" s="45"/>
      <c r="F195" s="46"/>
      <c r="G195" s="42" t="e">
        <f>IF($B195="",NA(),COUNTIFS(Apr[Contributing Factors],$B195))</f>
        <v>#N/A</v>
      </c>
    </row>
    <row r="196" spans="1:7" ht="15.75" thickBot="1" x14ac:dyDescent="0.3">
      <c r="A196" s="38"/>
      <c r="B196" s="39" t="str">
        <v/>
      </c>
      <c r="C196" s="40"/>
      <c r="D196" s="40"/>
      <c r="E196" s="40"/>
      <c r="F196" s="41"/>
      <c r="G196" s="42" t="e">
        <f>IF($B196="",NA(),COUNTIFS(Apr[Contributing Factors],$B196))</f>
        <v>#N/A</v>
      </c>
    </row>
    <row r="197" spans="1:7" ht="15.6" customHeight="1" thickBot="1" x14ac:dyDescent="0.3">
      <c r="B197" s="285" t="s">
        <v>35</v>
      </c>
      <c r="C197" s="286"/>
      <c r="D197" s="286"/>
      <c r="E197" s="286"/>
      <c r="F197" s="287"/>
      <c r="G197" s="37">
        <f>_xlfn.AGGREGATE(9,6,G173:G196)</f>
        <v>0</v>
      </c>
    </row>
  </sheetData>
  <sheetProtection algorithmName="SHA-512" hashValue="bsos0G1G48LbR84DoP1rChSfSIfsHqg6MdTdneOSJMSUcJKZqC2xiqkquIeirZ2BwvZ3dsIHg6s4tuYopOQBOA==" saltValue="jmktJtlUfBRUAqUZqwx46g==" spinCount="100000" sheet="1" formatCells="0" formatColumns="0" formatRows="0" sort="0" autoFilter="0"/>
  <mergeCells count="61">
    <mergeCell ref="F56:G56"/>
    <mergeCell ref="B51:D51"/>
    <mergeCell ref="F51:H51"/>
    <mergeCell ref="B52:C52"/>
    <mergeCell ref="F52:G52"/>
    <mergeCell ref="B55:C55"/>
    <mergeCell ref="B121:C121"/>
    <mergeCell ref="F58:H58"/>
    <mergeCell ref="F59:G59"/>
    <mergeCell ref="F63:G63"/>
    <mergeCell ref="B65:G65"/>
    <mergeCell ref="B66:F66"/>
    <mergeCell ref="B91:F91"/>
    <mergeCell ref="B93:D93"/>
    <mergeCell ref="B94:C94"/>
    <mergeCell ref="B106:C106"/>
    <mergeCell ref="B108:D108"/>
    <mergeCell ref="B109:C109"/>
    <mergeCell ref="B135:C135"/>
    <mergeCell ref="B123:D123"/>
    <mergeCell ref="B124:C124"/>
    <mergeCell ref="B125:C125"/>
    <mergeCell ref="B126:C126"/>
    <mergeCell ref="B127:C127"/>
    <mergeCell ref="B128:C128"/>
    <mergeCell ref="B129:C129"/>
    <mergeCell ref="B130:C130"/>
    <mergeCell ref="B131:C131"/>
    <mergeCell ref="B132:C132"/>
    <mergeCell ref="B134:D134"/>
    <mergeCell ref="B153:C153"/>
    <mergeCell ref="B141:C141"/>
    <mergeCell ref="B143:D143"/>
    <mergeCell ref="B144:C144"/>
    <mergeCell ref="B145:C145"/>
    <mergeCell ref="B146:C146"/>
    <mergeCell ref="B147:C147"/>
    <mergeCell ref="B148:C148"/>
    <mergeCell ref="B149:C149"/>
    <mergeCell ref="B150:C150"/>
    <mergeCell ref="B151:C151"/>
    <mergeCell ref="B152:C152"/>
    <mergeCell ref="B165:C165"/>
    <mergeCell ref="B154:C154"/>
    <mergeCell ref="B155:C155"/>
    <mergeCell ref="B156:C156"/>
    <mergeCell ref="B157:C157"/>
    <mergeCell ref="B158:C158"/>
    <mergeCell ref="B159:C159"/>
    <mergeCell ref="B160:C160"/>
    <mergeCell ref="B161:C161"/>
    <mergeCell ref="B162:C162"/>
    <mergeCell ref="B163:C163"/>
    <mergeCell ref="B164:C164"/>
    <mergeCell ref="B197:F197"/>
    <mergeCell ref="B166:C166"/>
    <mergeCell ref="B167:C167"/>
    <mergeCell ref="B168:C168"/>
    <mergeCell ref="B169:C169"/>
    <mergeCell ref="B171:G171"/>
    <mergeCell ref="B172:F172"/>
  </mergeCells>
  <conditionalFormatting sqref="C1">
    <cfRule type="expression" dxfId="265" priority="18">
      <formula>OR($C$1="",$C$1=0)</formula>
    </cfRule>
  </conditionalFormatting>
  <conditionalFormatting sqref="D1">
    <cfRule type="cellIs" dxfId="264" priority="19" operator="equal">
      <formula>"Enter year in Data Validation tab"</formula>
    </cfRule>
  </conditionalFormatting>
  <conditionalFormatting sqref="D4:D40">
    <cfRule type="expression" dxfId="263" priority="22">
      <formula>AND($C4&lt;&gt;"",$D4="")</formula>
    </cfRule>
  </conditionalFormatting>
  <conditionalFormatting sqref="D95:D105">
    <cfRule type="expression" dxfId="262" priority="9">
      <formula>ISERROR($D95)</formula>
    </cfRule>
  </conditionalFormatting>
  <conditionalFormatting sqref="D110:D120">
    <cfRule type="expression" dxfId="261" priority="10">
      <formula>ISERROR($D110)</formula>
    </cfRule>
  </conditionalFormatting>
  <conditionalFormatting sqref="D136:D140">
    <cfRule type="expression" dxfId="260" priority="1">
      <formula>ISERROR(D136)</formula>
    </cfRule>
  </conditionalFormatting>
  <conditionalFormatting sqref="E4:E40">
    <cfRule type="expression" dxfId="259" priority="21">
      <formula>AND($C4&lt;&gt;"",$E4="")</formula>
    </cfRule>
  </conditionalFormatting>
  <conditionalFormatting sqref="F4:F40">
    <cfRule type="expression" dxfId="258" priority="14">
      <formula>AND($C4&lt;&gt;"",$F4="")</formula>
    </cfRule>
  </conditionalFormatting>
  <conditionalFormatting sqref="G4:G40">
    <cfRule type="expression" dxfId="257" priority="13">
      <formula>AND($C4&lt;&gt;"",$G4="")</formula>
    </cfRule>
  </conditionalFormatting>
  <conditionalFormatting sqref="G67:G90">
    <cfRule type="expression" dxfId="256" priority="8">
      <formula>ISERROR($G67)</formula>
    </cfRule>
  </conditionalFormatting>
  <conditionalFormatting sqref="G173:G196">
    <cfRule type="expression" dxfId="255" priority="7">
      <formula>ISERROR($G173)</formula>
    </cfRule>
  </conditionalFormatting>
  <conditionalFormatting sqref="H4:H40">
    <cfRule type="expression" dxfId="254" priority="12">
      <formula>AND($C4&lt;&gt;"",$H4="")</formula>
    </cfRule>
  </conditionalFormatting>
  <conditionalFormatting sqref="I4:I40">
    <cfRule type="expression" dxfId="253" priority="11">
      <formula>AND($C4&lt;&gt;"",$I4="")</formula>
    </cfRule>
  </conditionalFormatting>
  <conditionalFormatting sqref="J4:J40">
    <cfRule type="expression" dxfId="252" priority="23">
      <formula>AND($C4&lt;&gt;"",$J4="")</formula>
    </cfRule>
  </conditionalFormatting>
  <conditionalFormatting sqref="L4:L40">
    <cfRule type="expression" dxfId="251" priority="20">
      <formula>AND($C4&lt;&gt;"",$L4="")</formula>
    </cfRule>
  </conditionalFormatting>
  <conditionalFormatting sqref="N4:N40">
    <cfRule type="expression" dxfId="250" priority="25">
      <formula>AND($C4&lt;&gt;"",$N4="")</formula>
    </cfRule>
  </conditionalFormatting>
  <conditionalFormatting sqref="O4:O40">
    <cfRule type="expression" dxfId="249" priority="4">
      <formula>AND($C4&lt;&gt;"",$O4="")</formula>
    </cfRule>
    <cfRule type="cellIs" dxfId="248" priority="15" operator="equal">
      <formula>"Intact (13-15)"</formula>
    </cfRule>
    <cfRule type="cellIs" dxfId="247" priority="16" operator="equal">
      <formula>"Moderate (8-12)"</formula>
    </cfRule>
    <cfRule type="cellIs" dxfId="246" priority="17" operator="equal">
      <formula>"Severe (1-7)"</formula>
    </cfRule>
  </conditionalFormatting>
  <conditionalFormatting sqref="P4:P40">
    <cfRule type="expression" dxfId="245" priority="5">
      <formula>AND($C4&lt;&gt;"",$P4="")</formula>
    </cfRule>
  </conditionalFormatting>
  <conditionalFormatting sqref="Q4:Q40">
    <cfRule type="expression" dxfId="244" priority="3">
      <formula>AND($C4&lt;&gt;"",$Q4="")</formula>
    </cfRule>
  </conditionalFormatting>
  <conditionalFormatting sqref="R4:R40">
    <cfRule type="expression" dxfId="243" priority="26">
      <formula>AND($C4&lt;&gt;"",$R4="")</formula>
    </cfRule>
  </conditionalFormatting>
  <conditionalFormatting sqref="S4:S40">
    <cfRule type="expression" dxfId="242" priority="6">
      <formula>AND($C4&lt;&gt;"",$S4="")</formula>
    </cfRule>
  </conditionalFormatting>
  <conditionalFormatting sqref="T4:T40">
    <cfRule type="expression" dxfId="241" priority="27">
      <formula>AND($C4&lt;&gt;"",$T4="")</formula>
    </cfRule>
  </conditionalFormatting>
  <conditionalFormatting sqref="U4:U40">
    <cfRule type="expression" dxfId="240" priority="24">
      <formula>AND($C4&lt;&gt;"",$U4="")</formula>
    </cfRule>
  </conditionalFormatting>
  <conditionalFormatting sqref="V4:V40">
    <cfRule type="expression" dxfId="239" priority="2">
      <formula>AND($C4&lt;&gt;"",$V4="")</formula>
    </cfRule>
  </conditionalFormatting>
  <dataValidations count="9">
    <dataValidation type="list" allowBlank="1" showInputMessage="1" showErrorMessage="1" sqref="R4:R40" xr:uid="{5A653BB5-7B4B-4E96-82B0-7E7E0BE46E71}">
      <formula1>DV_RCAComp</formula1>
    </dataValidation>
    <dataValidation type="list" allowBlank="1" showInputMessage="1" showErrorMessage="1" sqref="G4:G40" xr:uid="{9F986377-AC2B-4BE2-A7CB-10E9EDB3A05E}">
      <formula1>DV_FallCircumstances</formula1>
    </dataValidation>
    <dataValidation type="list" allowBlank="1" showInputMessage="1" showErrorMessage="1" sqref="P4:P40" xr:uid="{A973E870-C639-437E-BCE4-1C61CEBA4084}">
      <formula1>DV_PriortoFall</formula1>
    </dataValidation>
    <dataValidation type="list" allowBlank="1" showInputMessage="1" showErrorMessage="1" sqref="F4:F40" xr:uid="{5EE03FFB-19CD-42FC-BACF-68D0D35E998F}">
      <formula1>DV_Witnessed</formula1>
    </dataValidation>
    <dataValidation type="list" allowBlank="1" showInputMessage="1" showErrorMessage="1" sqref="N4:N40" xr:uid="{E0B8F21F-9D7B-477B-9706-2D5C98C1BA6F}">
      <formula1>DV_BIMSScore</formula1>
    </dataValidation>
    <dataValidation type="list" allowBlank="1" showInputMessage="1" showErrorMessage="1" sqref="L4:L40" xr:uid="{31AF8203-8A90-4B37-97C7-5135E9E42295}">
      <formula1>DV_Shifts</formula1>
    </dataValidation>
    <dataValidation type="list" allowBlank="1" showInputMessage="1" showErrorMessage="1" sqref="J4:J40" xr:uid="{F7445D28-84AA-4FEE-8B2D-D69B569D6BC5}">
      <formula1>DV_Station</formula1>
    </dataValidation>
    <dataValidation type="list" allowBlank="1" showInputMessage="1" showErrorMessage="1" sqref="I4:I40" xr:uid="{7BF78C0E-A963-48AC-BE31-186A14581532}">
      <formula1>DV_Location</formula1>
    </dataValidation>
    <dataValidation type="list" allowBlank="1" showInputMessage="1" showErrorMessage="1" sqref="H4:H40" xr:uid="{9E1628DF-8F8A-4013-B1DB-911FD622A605}">
      <formula1>DV_FallType</formula1>
    </dataValidation>
  </dataValidations>
  <printOptions horizontalCentered="1"/>
  <pageMargins left="0.15" right="0.15" top="0.5" bottom="0.25" header="0.3" footer="0.3"/>
  <pageSetup scale="59" fitToHeight="0" orientation="landscape" r:id="rId1"/>
  <rowBreaks count="3" manualBreakCount="3">
    <brk id="49" max="16383" man="1"/>
    <brk id="91" max="16383" man="1"/>
    <brk id="141" max="16383" man="1"/>
  </rowBreaks>
  <drawing r:id="rId2"/>
  <tableParts count="1">
    <tablePart r:id="rId3"/>
  </tableParts>
  <extLst>
    <ext xmlns:x14="http://schemas.microsoft.com/office/spreadsheetml/2009/9/main" uri="{CCE6A557-97BC-4b89-ADB6-D9C93CAAB3DF}">
      <x14:dataValidations xmlns:xm="http://schemas.microsoft.com/office/excel/2006/main" count="1">
        <x14:dataValidation type="list" allowBlank="1" showInputMessage="1" showErrorMessage="1" xr:uid="{ACF9BE00-D51F-4655-95E1-85C1CE0CC5AA}">
          <x14:formula1>
            <xm:f>'Data Validation'!$K$3:$K$26</xm:f>
          </x14:formula1>
          <xm:sqref>S4:S40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810D95-73DA-4005-A46A-639F5703D052}">
  <sheetPr>
    <pageSetUpPr autoPageBreaks="0" fitToPage="1"/>
  </sheetPr>
  <dimension ref="A1:V197"/>
  <sheetViews>
    <sheetView showGridLines="0" zoomScaleNormal="100" zoomScaleSheetLayoutView="98" workbookViewId="0">
      <selection activeCell="B4" sqref="B4"/>
    </sheetView>
  </sheetViews>
  <sheetFormatPr defaultRowHeight="15" x14ac:dyDescent="0.25"/>
  <cols>
    <col min="1" max="1" width="1.28515625" customWidth="1"/>
    <col min="2" max="2" width="5.85546875" customWidth="1"/>
    <col min="3" max="3" width="17.140625" customWidth="1"/>
    <col min="4" max="4" width="9.28515625" customWidth="1"/>
    <col min="5" max="5" width="11" customWidth="1"/>
    <col min="6" max="6" width="8" customWidth="1"/>
    <col min="7" max="7" width="12.140625" customWidth="1"/>
    <col min="8" max="8" width="10.5703125" customWidth="1"/>
    <col min="9" max="9" width="7.7109375" customWidth="1"/>
    <col min="10" max="10" width="6" customWidth="1"/>
    <col min="11" max="11" width="4.7109375" customWidth="1"/>
    <col min="12" max="12" width="9.28515625" customWidth="1"/>
    <col min="13" max="14" width="4.7109375" customWidth="1"/>
    <col min="15" max="15" width="12.140625" customWidth="1"/>
    <col min="16" max="17" width="23.7109375" customWidth="1"/>
    <col min="18" max="18" width="8.7109375" customWidth="1"/>
    <col min="19" max="19" width="23.7109375" customWidth="1"/>
    <col min="20" max="22" width="11.7109375" customWidth="1"/>
    <col min="23" max="24" width="10.7109375" customWidth="1"/>
  </cols>
  <sheetData>
    <row r="1" spans="1:22" ht="18.75" customHeight="1" x14ac:dyDescent="0.25">
      <c r="B1" s="13" t="s">
        <v>28</v>
      </c>
      <c r="C1" s="14">
        <f>'Data Validation'!$C$4</f>
        <v>0</v>
      </c>
      <c r="D1" s="15" t="str">
        <f>IF(OR($C$1="",$C$1=0),"Enter Year in Data Validation tab",'Data Validation'!$C$2&amp;" May ")</f>
        <v>Enter Year in Data Validation tab</v>
      </c>
      <c r="E1" s="16"/>
      <c r="F1" s="16"/>
      <c r="G1" s="16"/>
      <c r="H1" s="16"/>
      <c r="I1" s="16"/>
      <c r="J1" s="16"/>
      <c r="K1" s="16"/>
      <c r="L1" s="16"/>
      <c r="M1" s="16"/>
      <c r="N1" s="4"/>
      <c r="O1" s="16"/>
      <c r="P1" s="16"/>
      <c r="Q1" s="16"/>
      <c r="R1" s="17" t="s">
        <v>59</v>
      </c>
      <c r="S1" s="14" t="str">
        <f>IF(COUNTIFS(May[Resident Name],"&lt;&gt;")=0,"No Data",COUNTIFS(May[Resident Name],"&lt;&gt;"))</f>
        <v>No Data</v>
      </c>
      <c r="T1" s="17" t="s">
        <v>62</v>
      </c>
      <c r="U1" s="14" t="str">
        <f>'Fall Rate and Census'!$N$36</f>
        <v>No Data</v>
      </c>
    </row>
    <row r="2" spans="1:22" ht="8.1" customHeight="1" x14ac:dyDescent="0.25">
      <c r="B2" s="18"/>
      <c r="C2" s="16"/>
      <c r="D2" s="16"/>
      <c r="E2" s="16"/>
      <c r="F2" s="16"/>
      <c r="G2" s="16"/>
      <c r="H2" s="16"/>
      <c r="I2" s="16"/>
      <c r="J2" s="16"/>
      <c r="K2" s="16"/>
      <c r="L2" s="16"/>
      <c r="M2" s="16"/>
      <c r="N2" s="16"/>
      <c r="O2" s="16"/>
      <c r="P2" s="16"/>
      <c r="Q2" s="16"/>
      <c r="R2" s="16"/>
    </row>
    <row r="3" spans="1:22" ht="22.35" customHeight="1" x14ac:dyDescent="0.25">
      <c r="B3" s="19" t="s">
        <v>104</v>
      </c>
      <c r="C3" s="19" t="s">
        <v>105</v>
      </c>
      <c r="D3" s="20" t="s">
        <v>0</v>
      </c>
      <c r="E3" s="20" t="s">
        <v>89</v>
      </c>
      <c r="F3" s="20" t="s">
        <v>84</v>
      </c>
      <c r="G3" s="20" t="s">
        <v>100</v>
      </c>
      <c r="H3" s="20" t="s">
        <v>90</v>
      </c>
      <c r="I3" s="20" t="s">
        <v>1</v>
      </c>
      <c r="J3" s="20" t="s">
        <v>2</v>
      </c>
      <c r="K3" s="20" t="s">
        <v>3</v>
      </c>
      <c r="L3" s="20" t="s">
        <v>33</v>
      </c>
      <c r="M3" s="20" t="s">
        <v>34</v>
      </c>
      <c r="N3" s="20" t="s">
        <v>26</v>
      </c>
      <c r="O3" s="20" t="s">
        <v>30</v>
      </c>
      <c r="P3" s="19" t="s">
        <v>158</v>
      </c>
      <c r="Q3" s="19" t="s">
        <v>80</v>
      </c>
      <c r="R3" s="20" t="s">
        <v>81</v>
      </c>
      <c r="S3" s="20" t="s">
        <v>92</v>
      </c>
      <c r="T3" s="12" t="s">
        <v>95</v>
      </c>
      <c r="U3" s="12" t="s">
        <v>94</v>
      </c>
      <c r="V3" s="12" t="s">
        <v>96</v>
      </c>
    </row>
    <row r="4" spans="1:22" ht="20.85" customHeight="1" x14ac:dyDescent="0.25">
      <c r="A4" s="21"/>
      <c r="B4" s="266"/>
      <c r="C4" s="5"/>
      <c r="D4" s="263"/>
      <c r="E4" s="263"/>
      <c r="F4" s="266"/>
      <c r="G4" s="267"/>
      <c r="H4" s="2"/>
      <c r="I4" s="2"/>
      <c r="J4" s="2"/>
      <c r="K4" s="24" t="str">
        <f>IF(May[[#This Row],[Date of Incident]]="","",TEXT(May[[#This Row],[Date of Incident]],"ddd"))</f>
        <v/>
      </c>
      <c r="L4" s="1"/>
      <c r="M4" s="24" t="str">
        <f>IFERROR(VLOOKUP(May[[#This Row],[Hour]],Shifts[],2,FALSE),"")</f>
        <v/>
      </c>
      <c r="N4" s="2"/>
      <c r="O4" s="24" t="str">
        <f>IFERROR(VLOOKUP(May[[#This Row],[BIMS Score]],BIMS[],2,FALSE),"")</f>
        <v/>
      </c>
      <c r="P4" s="3"/>
      <c r="Q4" s="3"/>
      <c r="R4" s="2"/>
      <c r="S4" s="168"/>
      <c r="T4" s="3"/>
      <c r="U4" s="3"/>
      <c r="V4" s="3"/>
    </row>
    <row r="5" spans="1:22" ht="20.85" customHeight="1" x14ac:dyDescent="0.25">
      <c r="A5" s="21"/>
      <c r="B5" s="266"/>
      <c r="C5" s="5"/>
      <c r="D5" s="263"/>
      <c r="E5" s="263"/>
      <c r="F5" s="266"/>
      <c r="G5" s="267"/>
      <c r="H5" s="2"/>
      <c r="I5" s="2"/>
      <c r="J5" s="2"/>
      <c r="K5" s="24" t="str">
        <f>IF(May[[#This Row],[Date of Incident]]="","",TEXT(May[[#This Row],[Date of Incident]],"ddd"))</f>
        <v/>
      </c>
      <c r="L5" s="1"/>
      <c r="M5" s="24" t="str">
        <f>IFERROR(VLOOKUP(May[[#This Row],[Hour]],Shifts[],2,FALSE),"")</f>
        <v/>
      </c>
      <c r="N5" s="2"/>
      <c r="O5" s="24" t="str">
        <f>IFERROR(VLOOKUP(May[[#This Row],[BIMS Score]],BIMS[],2,FALSE),"")</f>
        <v/>
      </c>
      <c r="P5" s="3"/>
      <c r="Q5" s="3"/>
      <c r="R5" s="2"/>
      <c r="S5" s="168"/>
      <c r="T5" s="3"/>
      <c r="U5" s="3"/>
      <c r="V5" s="3"/>
    </row>
    <row r="6" spans="1:22" ht="20.85" customHeight="1" x14ac:dyDescent="0.25">
      <c r="A6" s="21"/>
      <c r="B6" s="266"/>
      <c r="C6" s="5"/>
      <c r="D6" s="263"/>
      <c r="E6" s="263"/>
      <c r="F6" s="266"/>
      <c r="G6" s="267"/>
      <c r="H6" s="2"/>
      <c r="I6" s="2"/>
      <c r="J6" s="2"/>
      <c r="K6" s="24" t="str">
        <f>IF(May[[#This Row],[Date of Incident]]="","",TEXT(May[[#This Row],[Date of Incident]],"ddd"))</f>
        <v/>
      </c>
      <c r="L6" s="1"/>
      <c r="M6" s="24" t="str">
        <f>IFERROR(VLOOKUP(May[[#This Row],[Hour]],Shifts[],2,FALSE),"")</f>
        <v/>
      </c>
      <c r="N6" s="2"/>
      <c r="O6" s="24" t="str">
        <f>IFERROR(VLOOKUP(May[[#This Row],[BIMS Score]],BIMS[],2,FALSE),"")</f>
        <v/>
      </c>
      <c r="P6" s="3"/>
      <c r="Q6" s="3"/>
      <c r="R6" s="2"/>
      <c r="S6" s="168"/>
      <c r="T6" s="3"/>
      <c r="U6" s="3"/>
      <c r="V6" s="3"/>
    </row>
    <row r="7" spans="1:22" ht="20.85" customHeight="1" x14ac:dyDescent="0.25">
      <c r="A7" s="21"/>
      <c r="B7" s="266"/>
      <c r="C7" s="5"/>
      <c r="D7" s="263"/>
      <c r="E7" s="263"/>
      <c r="F7" s="266"/>
      <c r="G7" s="267"/>
      <c r="H7" s="2"/>
      <c r="I7" s="2"/>
      <c r="J7" s="2"/>
      <c r="K7" s="24" t="str">
        <f>IF(May[[#This Row],[Date of Incident]]="","",TEXT(May[[#This Row],[Date of Incident]],"ddd"))</f>
        <v/>
      </c>
      <c r="L7" s="1"/>
      <c r="M7" s="24" t="str">
        <f>IFERROR(VLOOKUP(May[[#This Row],[Hour]],Shifts[],2,FALSE),"")</f>
        <v/>
      </c>
      <c r="N7" s="2"/>
      <c r="O7" s="24" t="str">
        <f>IFERROR(VLOOKUP(May[[#This Row],[BIMS Score]],BIMS[],2,FALSE),"")</f>
        <v/>
      </c>
      <c r="P7" s="3"/>
      <c r="Q7" s="3"/>
      <c r="R7" s="2"/>
      <c r="S7" s="168"/>
      <c r="T7" s="3"/>
      <c r="U7" s="3"/>
      <c r="V7" s="3"/>
    </row>
    <row r="8" spans="1:22" ht="20.85" customHeight="1" x14ac:dyDescent="0.25">
      <c r="A8" s="21"/>
      <c r="B8" s="266"/>
      <c r="C8" s="5"/>
      <c r="D8" s="263"/>
      <c r="E8" s="263"/>
      <c r="F8" s="266"/>
      <c r="G8" s="267"/>
      <c r="H8" s="2"/>
      <c r="I8" s="2"/>
      <c r="J8" s="2"/>
      <c r="K8" s="24" t="str">
        <f>IF(May[[#This Row],[Date of Incident]]="","",TEXT(May[[#This Row],[Date of Incident]],"ddd"))</f>
        <v/>
      </c>
      <c r="L8" s="1"/>
      <c r="M8" s="24" t="str">
        <f>IFERROR(VLOOKUP(May[[#This Row],[Hour]],Shifts[],2,FALSE),"")</f>
        <v/>
      </c>
      <c r="N8" s="2"/>
      <c r="O8" s="24" t="str">
        <f>IFERROR(VLOOKUP(May[[#This Row],[BIMS Score]],BIMS[],2,FALSE),"")</f>
        <v/>
      </c>
      <c r="P8" s="3"/>
      <c r="Q8" s="3"/>
      <c r="R8" s="2"/>
      <c r="S8" s="168"/>
      <c r="T8" s="3"/>
      <c r="U8" s="3"/>
      <c r="V8" s="3"/>
    </row>
    <row r="9" spans="1:22" ht="20.85" customHeight="1" x14ac:dyDescent="0.25">
      <c r="A9" s="21"/>
      <c r="B9" s="266"/>
      <c r="C9" s="5"/>
      <c r="D9" s="263"/>
      <c r="E9" s="263"/>
      <c r="F9" s="266"/>
      <c r="G9" s="267"/>
      <c r="H9" s="2"/>
      <c r="I9" s="2"/>
      <c r="J9" s="2"/>
      <c r="K9" s="24" t="str">
        <f>IF(May[[#This Row],[Date of Incident]]="","",TEXT(May[[#This Row],[Date of Incident]],"ddd"))</f>
        <v/>
      </c>
      <c r="L9" s="1"/>
      <c r="M9" s="24" t="str">
        <f>IFERROR(VLOOKUP(May[[#This Row],[Hour]],Shifts[],2,FALSE),"")</f>
        <v/>
      </c>
      <c r="N9" s="2"/>
      <c r="O9" s="24" t="str">
        <f>IFERROR(VLOOKUP(May[[#This Row],[BIMS Score]],BIMS[],2,FALSE),"")</f>
        <v/>
      </c>
      <c r="P9" s="3"/>
      <c r="Q9" s="3"/>
      <c r="R9" s="2"/>
      <c r="S9" s="168"/>
      <c r="T9" s="3"/>
      <c r="U9" s="3"/>
      <c r="V9" s="3"/>
    </row>
    <row r="10" spans="1:22" ht="20.85" customHeight="1" x14ac:dyDescent="0.25">
      <c r="A10" s="21"/>
      <c r="B10" s="266"/>
      <c r="C10" s="5"/>
      <c r="D10" s="263"/>
      <c r="E10" s="263"/>
      <c r="F10" s="266"/>
      <c r="G10" s="267"/>
      <c r="H10" s="2"/>
      <c r="I10" s="2"/>
      <c r="J10" s="2"/>
      <c r="K10" s="24" t="str">
        <f>IF(May[[#This Row],[Date of Incident]]="","",TEXT(May[[#This Row],[Date of Incident]],"ddd"))</f>
        <v/>
      </c>
      <c r="L10" s="1"/>
      <c r="M10" s="24" t="str">
        <f>IFERROR(VLOOKUP(May[[#This Row],[Hour]],Shifts[],2,FALSE),"")</f>
        <v/>
      </c>
      <c r="N10" s="2"/>
      <c r="O10" s="24" t="str">
        <f>IFERROR(VLOOKUP(May[[#This Row],[BIMS Score]],BIMS[],2,FALSE),"")</f>
        <v/>
      </c>
      <c r="P10" s="3"/>
      <c r="Q10" s="3"/>
      <c r="R10" s="2"/>
      <c r="S10" s="168"/>
      <c r="T10" s="3"/>
      <c r="U10" s="3"/>
      <c r="V10" s="3"/>
    </row>
    <row r="11" spans="1:22" ht="20.85" customHeight="1" x14ac:dyDescent="0.25">
      <c r="A11" s="21"/>
      <c r="B11" s="266"/>
      <c r="C11" s="5"/>
      <c r="D11" s="263"/>
      <c r="E11" s="263"/>
      <c r="F11" s="266"/>
      <c r="G11" s="267"/>
      <c r="H11" s="2"/>
      <c r="I11" s="2"/>
      <c r="J11" s="2"/>
      <c r="K11" s="24" t="str">
        <f>IF(May[[#This Row],[Date of Incident]]="","",TEXT(May[[#This Row],[Date of Incident]],"ddd"))</f>
        <v/>
      </c>
      <c r="L11" s="1"/>
      <c r="M11" s="24" t="str">
        <f>IFERROR(VLOOKUP(May[[#This Row],[Hour]],Shifts[],2,FALSE),"")</f>
        <v/>
      </c>
      <c r="N11" s="2"/>
      <c r="O11" s="24" t="str">
        <f>IFERROR(VLOOKUP(May[[#This Row],[BIMS Score]],BIMS[],2,FALSE),"")</f>
        <v/>
      </c>
      <c r="P11" s="3"/>
      <c r="Q11" s="3"/>
      <c r="R11" s="2"/>
      <c r="S11" s="168"/>
      <c r="T11" s="3"/>
      <c r="U11" s="3"/>
      <c r="V11" s="3"/>
    </row>
    <row r="12" spans="1:22" ht="20.85" customHeight="1" x14ac:dyDescent="0.25">
      <c r="A12" s="21"/>
      <c r="B12" s="267"/>
      <c r="C12" s="5"/>
      <c r="D12" s="264"/>
      <c r="E12" s="263"/>
      <c r="F12" s="267"/>
      <c r="G12" s="267"/>
      <c r="H12" s="2"/>
      <c r="I12" s="2"/>
      <c r="J12" s="2"/>
      <c r="K12" s="24" t="str">
        <f>IF(May[[#This Row],[Date of Incident]]="","",TEXT(May[[#This Row],[Date of Incident]],"ddd"))</f>
        <v/>
      </c>
      <c r="L12" s="1"/>
      <c r="M12" s="24" t="str">
        <f>IFERROR(VLOOKUP(May[[#This Row],[Hour]],Shifts[],2,FALSE),"")</f>
        <v/>
      </c>
      <c r="N12" s="2"/>
      <c r="O12" s="24" t="str">
        <f>IFERROR(VLOOKUP(May[[#This Row],[BIMS Score]],BIMS[],2,FALSE),"")</f>
        <v/>
      </c>
      <c r="P12" s="3"/>
      <c r="Q12" s="3"/>
      <c r="R12" s="2"/>
      <c r="S12" s="168"/>
      <c r="T12" s="3"/>
      <c r="U12" s="3"/>
      <c r="V12" s="3"/>
    </row>
    <row r="13" spans="1:22" ht="20.85" customHeight="1" x14ac:dyDescent="0.25">
      <c r="A13" s="21"/>
      <c r="B13" s="267"/>
      <c r="C13" s="5"/>
      <c r="D13" s="264"/>
      <c r="E13" s="263"/>
      <c r="F13" s="267"/>
      <c r="G13" s="267"/>
      <c r="H13" s="2"/>
      <c r="I13" s="2"/>
      <c r="J13" s="2"/>
      <c r="K13" s="24" t="str">
        <f>IF(May[[#This Row],[Date of Incident]]="","",TEXT(May[[#This Row],[Date of Incident]],"ddd"))</f>
        <v/>
      </c>
      <c r="L13" s="1"/>
      <c r="M13" s="24" t="str">
        <f>IFERROR(VLOOKUP(May[[#This Row],[Hour]],Shifts[],2,FALSE),"")</f>
        <v/>
      </c>
      <c r="N13" s="2"/>
      <c r="O13" s="24" t="str">
        <f>IFERROR(VLOOKUP(May[[#This Row],[BIMS Score]],BIMS[],2,FALSE),"")</f>
        <v/>
      </c>
      <c r="P13" s="3"/>
      <c r="Q13" s="3"/>
      <c r="R13" s="2"/>
      <c r="S13" s="168"/>
      <c r="T13" s="3"/>
      <c r="U13" s="3"/>
      <c r="V13" s="3"/>
    </row>
    <row r="14" spans="1:22" ht="20.85" customHeight="1" x14ac:dyDescent="0.25">
      <c r="A14" s="21"/>
      <c r="B14" s="267"/>
      <c r="C14" s="5"/>
      <c r="D14" s="264"/>
      <c r="E14" s="263"/>
      <c r="F14" s="267"/>
      <c r="G14" s="267"/>
      <c r="H14" s="2"/>
      <c r="I14" s="2"/>
      <c r="J14" s="2"/>
      <c r="K14" s="24" t="str">
        <f>IF(May[[#This Row],[Date of Incident]]="","",TEXT(May[[#This Row],[Date of Incident]],"ddd"))</f>
        <v/>
      </c>
      <c r="L14" s="1"/>
      <c r="M14" s="24" t="str">
        <f>IFERROR(VLOOKUP(May[[#This Row],[Hour]],Shifts[],2,FALSE),"")</f>
        <v/>
      </c>
      <c r="N14" s="2"/>
      <c r="O14" s="24" t="str">
        <f>IFERROR(VLOOKUP(May[[#This Row],[BIMS Score]],BIMS[],2,FALSE),"")</f>
        <v/>
      </c>
      <c r="P14" s="3"/>
      <c r="Q14" s="3"/>
      <c r="R14" s="2"/>
      <c r="S14" s="168"/>
      <c r="T14" s="3"/>
      <c r="U14" s="3"/>
      <c r="V14" s="3"/>
    </row>
    <row r="15" spans="1:22" ht="20.85" customHeight="1" x14ac:dyDescent="0.25">
      <c r="A15" s="21"/>
      <c r="B15" s="267"/>
      <c r="C15" s="5"/>
      <c r="D15" s="264"/>
      <c r="E15" s="263"/>
      <c r="F15" s="267"/>
      <c r="G15" s="267"/>
      <c r="H15" s="2"/>
      <c r="I15" s="2"/>
      <c r="J15" s="2"/>
      <c r="K15" s="24" t="str">
        <f>IF(May[[#This Row],[Date of Incident]]="","",TEXT(May[[#This Row],[Date of Incident]],"ddd"))</f>
        <v/>
      </c>
      <c r="L15" s="1"/>
      <c r="M15" s="24" t="str">
        <f>IFERROR(VLOOKUP(May[[#This Row],[Hour]],Shifts[],2,FALSE),"")</f>
        <v/>
      </c>
      <c r="N15" s="2"/>
      <c r="O15" s="24" t="str">
        <f>IFERROR(VLOOKUP(May[[#This Row],[BIMS Score]],BIMS[],2,FALSE),"")</f>
        <v/>
      </c>
      <c r="P15" s="3"/>
      <c r="Q15" s="3"/>
      <c r="R15" s="2"/>
      <c r="S15" s="168"/>
      <c r="T15" s="3"/>
      <c r="U15" s="3"/>
      <c r="V15" s="3"/>
    </row>
    <row r="16" spans="1:22" ht="20.85" customHeight="1" x14ac:dyDescent="0.25">
      <c r="A16" s="21"/>
      <c r="B16" s="267"/>
      <c r="C16" s="3"/>
      <c r="D16" s="264"/>
      <c r="E16" s="264"/>
      <c r="F16" s="267"/>
      <c r="G16" s="267"/>
      <c r="H16" s="2"/>
      <c r="I16" s="2"/>
      <c r="J16" s="2"/>
      <c r="K16" s="24" t="str">
        <f>IF(May[[#This Row],[Date of Incident]]="","",TEXT(May[[#This Row],[Date of Incident]],"ddd"))</f>
        <v/>
      </c>
      <c r="L16" s="1"/>
      <c r="M16" s="24" t="str">
        <f>IFERROR(VLOOKUP(May[[#This Row],[Hour]],Shifts[],2,FALSE),"")</f>
        <v/>
      </c>
      <c r="N16" s="2"/>
      <c r="O16" s="24" t="str">
        <f>IFERROR(VLOOKUP(May[[#This Row],[BIMS Score]],BIMS[],2,FALSE),"")</f>
        <v/>
      </c>
      <c r="P16" s="3"/>
      <c r="Q16" s="3"/>
      <c r="R16" s="2"/>
      <c r="S16" s="168"/>
      <c r="T16" s="3"/>
      <c r="U16" s="3"/>
      <c r="V16" s="3"/>
    </row>
    <row r="17" spans="1:22" ht="20.85" customHeight="1" x14ac:dyDescent="0.25">
      <c r="A17" s="21"/>
      <c r="B17" s="267"/>
      <c r="C17" s="3"/>
      <c r="D17" s="264"/>
      <c r="E17" s="264"/>
      <c r="F17" s="267"/>
      <c r="G17" s="267"/>
      <c r="H17" s="2"/>
      <c r="I17" s="2"/>
      <c r="J17" s="2"/>
      <c r="K17" s="24" t="str">
        <f>IF(May[[#This Row],[Date of Incident]]="","",TEXT(May[[#This Row],[Date of Incident]],"ddd"))</f>
        <v/>
      </c>
      <c r="L17" s="1"/>
      <c r="M17" s="24" t="str">
        <f>IFERROR(VLOOKUP(May[[#This Row],[Hour]],Shifts[],2,FALSE),"")</f>
        <v/>
      </c>
      <c r="N17" s="2"/>
      <c r="O17" s="24" t="str">
        <f>IFERROR(VLOOKUP(May[[#This Row],[BIMS Score]],BIMS[],2,FALSE),"")</f>
        <v/>
      </c>
      <c r="P17" s="3"/>
      <c r="Q17" s="3"/>
      <c r="R17" s="2"/>
      <c r="S17" s="168"/>
      <c r="T17" s="3"/>
      <c r="U17" s="3"/>
      <c r="V17" s="3"/>
    </row>
    <row r="18" spans="1:22" ht="20.85" customHeight="1" x14ac:dyDescent="0.25">
      <c r="A18" s="21"/>
      <c r="B18" s="267"/>
      <c r="C18" s="3"/>
      <c r="D18" s="264"/>
      <c r="E18" s="264"/>
      <c r="F18" s="267"/>
      <c r="G18" s="267"/>
      <c r="H18" s="2"/>
      <c r="I18" s="2"/>
      <c r="J18" s="2"/>
      <c r="K18" s="24" t="str">
        <f>IF(May[[#This Row],[Date of Incident]]="","",TEXT(May[[#This Row],[Date of Incident]],"ddd"))</f>
        <v/>
      </c>
      <c r="L18" s="1"/>
      <c r="M18" s="24" t="str">
        <f>IFERROR(VLOOKUP(May[[#This Row],[Hour]],Shifts[],2,FALSE),"")</f>
        <v/>
      </c>
      <c r="N18" s="2"/>
      <c r="O18" s="24" t="str">
        <f>IFERROR(VLOOKUP(May[[#This Row],[BIMS Score]],BIMS[],2,FALSE),"")</f>
        <v/>
      </c>
      <c r="P18" s="3"/>
      <c r="Q18" s="3"/>
      <c r="R18" s="2"/>
      <c r="S18" s="168"/>
      <c r="T18" s="3"/>
      <c r="U18" s="3"/>
      <c r="V18" s="3"/>
    </row>
    <row r="19" spans="1:22" ht="20.85" customHeight="1" x14ac:dyDescent="0.25">
      <c r="A19" s="21"/>
      <c r="B19" s="267"/>
      <c r="C19" s="3"/>
      <c r="D19" s="264"/>
      <c r="E19" s="264"/>
      <c r="F19" s="267"/>
      <c r="G19" s="267"/>
      <c r="H19" s="2"/>
      <c r="I19" s="2"/>
      <c r="J19" s="2"/>
      <c r="K19" s="24" t="str">
        <f>IF(May[[#This Row],[Date of Incident]]="","",TEXT(May[[#This Row],[Date of Incident]],"ddd"))</f>
        <v/>
      </c>
      <c r="L19" s="1"/>
      <c r="M19" s="24" t="str">
        <f>IFERROR(VLOOKUP(May[[#This Row],[Hour]],Shifts[],2,FALSE),"")</f>
        <v/>
      </c>
      <c r="N19" s="2"/>
      <c r="O19" s="24" t="str">
        <f>IFERROR(VLOOKUP(May[[#This Row],[BIMS Score]],BIMS[],2,FALSE),"")</f>
        <v/>
      </c>
      <c r="P19" s="3"/>
      <c r="Q19" s="3"/>
      <c r="R19" s="2"/>
      <c r="S19" s="168"/>
      <c r="T19" s="3"/>
      <c r="U19" s="3"/>
      <c r="V19" s="3"/>
    </row>
    <row r="20" spans="1:22" ht="20.85" customHeight="1" x14ac:dyDescent="0.25">
      <c r="A20" s="21"/>
      <c r="B20" s="267"/>
      <c r="C20" s="3"/>
      <c r="D20" s="264"/>
      <c r="E20" s="264"/>
      <c r="F20" s="267"/>
      <c r="G20" s="267"/>
      <c r="H20" s="2"/>
      <c r="I20" s="2"/>
      <c r="J20" s="2"/>
      <c r="K20" s="24" t="str">
        <f>IF(May[[#This Row],[Date of Incident]]="","",TEXT(May[[#This Row],[Date of Incident]],"ddd"))</f>
        <v/>
      </c>
      <c r="L20" s="1"/>
      <c r="M20" s="24" t="str">
        <f>IFERROR(VLOOKUP(May[[#This Row],[Hour]],Shifts[],2,FALSE),"")</f>
        <v/>
      </c>
      <c r="N20" s="2"/>
      <c r="O20" s="24" t="str">
        <f>IFERROR(VLOOKUP(May[[#This Row],[BIMS Score]],BIMS[],2,FALSE),"")</f>
        <v/>
      </c>
      <c r="P20" s="3"/>
      <c r="Q20" s="3"/>
      <c r="R20" s="2"/>
      <c r="S20" s="168"/>
      <c r="T20" s="3"/>
      <c r="U20" s="3"/>
      <c r="V20" s="3"/>
    </row>
    <row r="21" spans="1:22" ht="20.85" customHeight="1" x14ac:dyDescent="0.25">
      <c r="A21" s="21"/>
      <c r="B21" s="267"/>
      <c r="C21" s="3"/>
      <c r="D21" s="264"/>
      <c r="E21" s="264"/>
      <c r="F21" s="267"/>
      <c r="G21" s="267"/>
      <c r="H21" s="2"/>
      <c r="I21" s="2"/>
      <c r="J21" s="2"/>
      <c r="K21" s="24" t="str">
        <f>IF(May[[#This Row],[Date of Incident]]="","",TEXT(May[[#This Row],[Date of Incident]],"ddd"))</f>
        <v/>
      </c>
      <c r="L21" s="1"/>
      <c r="M21" s="24" t="str">
        <f>IFERROR(VLOOKUP(May[[#This Row],[Hour]],Shifts[],2,FALSE),"")</f>
        <v/>
      </c>
      <c r="N21" s="2"/>
      <c r="O21" s="24" t="str">
        <f>IFERROR(VLOOKUP(May[[#This Row],[BIMS Score]],BIMS[],2,FALSE),"")</f>
        <v/>
      </c>
      <c r="P21" s="3"/>
      <c r="Q21" s="3"/>
      <c r="R21" s="2"/>
      <c r="S21" s="168"/>
      <c r="T21" s="3"/>
      <c r="U21" s="3"/>
      <c r="V21" s="3"/>
    </row>
    <row r="22" spans="1:22" ht="20.85" customHeight="1" x14ac:dyDescent="0.25">
      <c r="A22" s="21"/>
      <c r="B22" s="267"/>
      <c r="C22" s="3"/>
      <c r="D22" s="264"/>
      <c r="E22" s="264"/>
      <c r="F22" s="267"/>
      <c r="G22" s="267"/>
      <c r="H22" s="2"/>
      <c r="I22" s="2"/>
      <c r="J22" s="2"/>
      <c r="K22" s="24" t="str">
        <f>IF(May[[#This Row],[Date of Incident]]="","",TEXT(May[[#This Row],[Date of Incident]],"ddd"))</f>
        <v/>
      </c>
      <c r="L22" s="1"/>
      <c r="M22" s="24" t="str">
        <f>IFERROR(VLOOKUP(May[[#This Row],[Hour]],Shifts[],2,FALSE),"")</f>
        <v/>
      </c>
      <c r="N22" s="1"/>
      <c r="O22" s="24" t="str">
        <f>IFERROR(VLOOKUP(May[[#This Row],[BIMS Score]],BIMS[],2,FALSE),"")</f>
        <v/>
      </c>
      <c r="P22" s="3"/>
      <c r="Q22" s="3"/>
      <c r="R22" s="2"/>
      <c r="S22" s="168"/>
      <c r="T22" s="3"/>
      <c r="U22" s="3"/>
      <c r="V22" s="3"/>
    </row>
    <row r="23" spans="1:22" ht="20.85" customHeight="1" x14ac:dyDescent="0.25">
      <c r="A23" s="21"/>
      <c r="B23" s="267"/>
      <c r="C23" s="3"/>
      <c r="D23" s="264"/>
      <c r="E23" s="264"/>
      <c r="F23" s="267"/>
      <c r="G23" s="267"/>
      <c r="H23" s="2"/>
      <c r="I23" s="2"/>
      <c r="J23" s="2"/>
      <c r="K23" s="24" t="str">
        <f>IF(May[[#This Row],[Date of Incident]]="","",TEXT(May[[#This Row],[Date of Incident]],"ddd"))</f>
        <v/>
      </c>
      <c r="L23" s="1"/>
      <c r="M23" s="24" t="str">
        <f>IFERROR(VLOOKUP(May[[#This Row],[Hour]],Shifts[],2,FALSE),"")</f>
        <v/>
      </c>
      <c r="N23" s="1"/>
      <c r="O23" s="24" t="str">
        <f>IFERROR(VLOOKUP(May[[#This Row],[BIMS Score]],BIMS[],2,FALSE),"")</f>
        <v/>
      </c>
      <c r="P23" s="3"/>
      <c r="Q23" s="3"/>
      <c r="R23" s="2"/>
      <c r="S23" s="168"/>
      <c r="T23" s="3"/>
      <c r="U23" s="3"/>
      <c r="V23" s="3"/>
    </row>
    <row r="24" spans="1:22" s="10" customFormat="1" ht="20.85" customHeight="1" x14ac:dyDescent="0.25">
      <c r="A24" s="26"/>
      <c r="B24" s="266"/>
      <c r="C24" s="5"/>
      <c r="D24" s="263"/>
      <c r="E24" s="263"/>
      <c r="F24" s="267"/>
      <c r="G24" s="267"/>
      <c r="H24" s="1"/>
      <c r="I24" s="1"/>
      <c r="J24" s="1"/>
      <c r="K24" s="24" t="str">
        <f>IF(May[[#This Row],[Date of Incident]]="","",TEXT(May[[#This Row],[Date of Incident]],"ddd"))</f>
        <v/>
      </c>
      <c r="L24" s="1"/>
      <c r="M24" s="24" t="str">
        <f>IFERROR(VLOOKUP(May[[#This Row],[Hour]],Shifts[],2,FALSE),"")</f>
        <v/>
      </c>
      <c r="N24" s="1"/>
      <c r="O24" s="24" t="str">
        <f>IFERROR(VLOOKUP(May[[#This Row],[BIMS Score]],BIMS[],2,FALSE),"")</f>
        <v/>
      </c>
      <c r="P24" s="3"/>
      <c r="Q24" s="3"/>
      <c r="R24" s="2"/>
      <c r="S24" s="168"/>
      <c r="T24" s="5"/>
      <c r="U24" s="5"/>
      <c r="V24" s="3"/>
    </row>
    <row r="25" spans="1:22" ht="20.85" customHeight="1" x14ac:dyDescent="0.25">
      <c r="A25" s="21"/>
      <c r="B25" s="266"/>
      <c r="C25" s="5"/>
      <c r="D25" s="263"/>
      <c r="E25" s="263"/>
      <c r="F25" s="267"/>
      <c r="G25" s="267"/>
      <c r="H25" s="1"/>
      <c r="I25" s="1"/>
      <c r="J25" s="1"/>
      <c r="K25" s="24" t="str">
        <f>IF(May[[#This Row],[Date of Incident]]="","",TEXT(May[[#This Row],[Date of Incident]],"ddd"))</f>
        <v/>
      </c>
      <c r="L25" s="1"/>
      <c r="M25" s="24" t="str">
        <f>IFERROR(VLOOKUP(May[[#This Row],[Hour]],Shifts[],2,FALSE),"")</f>
        <v/>
      </c>
      <c r="N25" s="1"/>
      <c r="O25" s="24" t="str">
        <f>IFERROR(VLOOKUP(May[[#This Row],[BIMS Score]],BIMS[],2,FALSE),"")</f>
        <v/>
      </c>
      <c r="P25" s="3"/>
      <c r="Q25" s="3"/>
      <c r="R25" s="2"/>
      <c r="S25" s="168"/>
      <c r="T25" s="5"/>
      <c r="U25" s="5"/>
      <c r="V25" s="3"/>
    </row>
    <row r="26" spans="1:22" ht="20.85" customHeight="1" x14ac:dyDescent="0.25">
      <c r="A26" s="21"/>
      <c r="B26" s="266"/>
      <c r="C26" s="5"/>
      <c r="D26" s="263"/>
      <c r="E26" s="263"/>
      <c r="F26" s="267"/>
      <c r="G26" s="267"/>
      <c r="H26" s="1"/>
      <c r="I26" s="1"/>
      <c r="J26" s="1"/>
      <c r="K26" s="24" t="str">
        <f>IF(May[[#This Row],[Date of Incident]]="","",TEXT(May[[#This Row],[Date of Incident]],"ddd"))</f>
        <v/>
      </c>
      <c r="L26" s="1"/>
      <c r="M26" s="24" t="str">
        <f>IFERROR(VLOOKUP(May[[#This Row],[Hour]],Shifts[],2,FALSE),"")</f>
        <v/>
      </c>
      <c r="N26" s="1"/>
      <c r="O26" s="24" t="str">
        <f>IFERROR(VLOOKUP(May[[#This Row],[BIMS Score]],BIMS[],2,FALSE),"")</f>
        <v/>
      </c>
      <c r="P26" s="3"/>
      <c r="Q26" s="3"/>
      <c r="R26" s="2"/>
      <c r="S26" s="168"/>
      <c r="T26" s="5"/>
      <c r="U26" s="5"/>
      <c r="V26" s="3"/>
    </row>
    <row r="27" spans="1:22" ht="20.85" customHeight="1" x14ac:dyDescent="0.25">
      <c r="A27" s="21"/>
      <c r="B27" s="266"/>
      <c r="C27" s="5"/>
      <c r="D27" s="263"/>
      <c r="E27" s="263"/>
      <c r="F27" s="267"/>
      <c r="G27" s="267"/>
      <c r="H27" s="1"/>
      <c r="I27" s="1"/>
      <c r="J27" s="1"/>
      <c r="K27" s="24" t="str">
        <f>IF(May[[#This Row],[Date of Incident]]="","",TEXT(May[[#This Row],[Date of Incident]],"ddd"))</f>
        <v/>
      </c>
      <c r="L27" s="1"/>
      <c r="M27" s="24" t="str">
        <f>IFERROR(VLOOKUP(May[[#This Row],[Hour]],Shifts[],2,FALSE),"")</f>
        <v/>
      </c>
      <c r="N27" s="1"/>
      <c r="O27" s="24" t="str">
        <f>IFERROR(VLOOKUP(May[[#This Row],[BIMS Score]],BIMS[],2,FALSE),"")</f>
        <v/>
      </c>
      <c r="P27" s="3"/>
      <c r="Q27" s="3"/>
      <c r="R27" s="2"/>
      <c r="S27" s="168"/>
      <c r="T27" s="5"/>
      <c r="U27" s="5"/>
      <c r="V27" s="3"/>
    </row>
    <row r="28" spans="1:22" ht="20.85" customHeight="1" x14ac:dyDescent="0.25">
      <c r="A28" s="21"/>
      <c r="B28" s="266"/>
      <c r="C28" s="5"/>
      <c r="D28" s="263"/>
      <c r="E28" s="263"/>
      <c r="F28" s="267"/>
      <c r="G28" s="267"/>
      <c r="H28" s="1"/>
      <c r="I28" s="1"/>
      <c r="J28" s="1"/>
      <c r="K28" s="24" t="str">
        <f>IF(May[[#This Row],[Date of Incident]]="","",TEXT(May[[#This Row],[Date of Incident]],"ddd"))</f>
        <v/>
      </c>
      <c r="L28" s="1"/>
      <c r="M28" s="24" t="str">
        <f>IFERROR(VLOOKUP(May[[#This Row],[Hour]],Shifts[],2,FALSE),"")</f>
        <v/>
      </c>
      <c r="N28" s="1"/>
      <c r="O28" s="24" t="str">
        <f>IFERROR(VLOOKUP(May[[#This Row],[BIMS Score]],BIMS[],2,FALSE),"")</f>
        <v/>
      </c>
      <c r="P28" s="3"/>
      <c r="Q28" s="3"/>
      <c r="R28" s="2"/>
      <c r="S28" s="168"/>
      <c r="T28" s="5"/>
      <c r="U28" s="5"/>
      <c r="V28" s="3"/>
    </row>
    <row r="29" spans="1:22" ht="20.85" customHeight="1" x14ac:dyDescent="0.25">
      <c r="B29" s="266"/>
      <c r="C29" s="5"/>
      <c r="D29" s="263"/>
      <c r="E29" s="263"/>
      <c r="F29" s="267"/>
      <c r="G29" s="267"/>
      <c r="H29" s="1"/>
      <c r="I29" s="1"/>
      <c r="J29" s="1"/>
      <c r="K29" s="27" t="str">
        <f>IF(May[[#This Row],[Date of Incident]]="","",TEXT(May[[#This Row],[Date of Incident]],"ddd"))</f>
        <v/>
      </c>
      <c r="L29" s="1"/>
      <c r="M29" s="27" t="str">
        <f>IFERROR(VLOOKUP(May[[#This Row],[Hour]],Shifts[],2,FALSE),"")</f>
        <v/>
      </c>
      <c r="N29" s="2"/>
      <c r="O29" s="24" t="str">
        <f>IFERROR(VLOOKUP(May[[#This Row],[BIMS Score]],BIMS[],2,FALSE),"")</f>
        <v/>
      </c>
      <c r="P29" s="3"/>
      <c r="Q29" s="3"/>
      <c r="R29" s="2"/>
      <c r="S29" s="168"/>
      <c r="T29" s="5"/>
      <c r="U29" s="5"/>
      <c r="V29" s="5"/>
    </row>
    <row r="30" spans="1:22" ht="20.85" customHeight="1" x14ac:dyDescent="0.25">
      <c r="B30" s="266"/>
      <c r="C30" s="5"/>
      <c r="D30" s="263"/>
      <c r="E30" s="263"/>
      <c r="F30" s="267"/>
      <c r="G30" s="267"/>
      <c r="H30" s="1"/>
      <c r="I30" s="1"/>
      <c r="J30" s="1"/>
      <c r="K30" s="27" t="str">
        <f>IF(May[[#This Row],[Date of Incident]]="","",TEXT(May[[#This Row],[Date of Incident]],"ddd"))</f>
        <v/>
      </c>
      <c r="L30" s="1"/>
      <c r="M30" s="27" t="str">
        <f>IFERROR(VLOOKUP(May[[#This Row],[Hour]],Shifts[],2,FALSE),"")</f>
        <v/>
      </c>
      <c r="N30" s="2"/>
      <c r="O30" s="24" t="str">
        <f>IFERROR(VLOOKUP(May[[#This Row],[BIMS Score]],BIMS[],2,FALSE),"")</f>
        <v/>
      </c>
      <c r="P30" s="3"/>
      <c r="Q30" s="3"/>
      <c r="R30" s="2"/>
      <c r="S30" s="168"/>
      <c r="T30" s="5"/>
      <c r="U30" s="5"/>
      <c r="V30" s="5"/>
    </row>
    <row r="31" spans="1:22" ht="20.85" customHeight="1" x14ac:dyDescent="0.25">
      <c r="B31" s="266"/>
      <c r="C31" s="5"/>
      <c r="D31" s="263"/>
      <c r="E31" s="263"/>
      <c r="F31" s="267"/>
      <c r="G31" s="267"/>
      <c r="H31" s="1"/>
      <c r="I31" s="1"/>
      <c r="J31" s="1"/>
      <c r="K31" s="27" t="str">
        <f>IF(May[[#This Row],[Date of Incident]]="","",TEXT(May[[#This Row],[Date of Incident]],"ddd"))</f>
        <v/>
      </c>
      <c r="L31" s="1"/>
      <c r="M31" s="27" t="str">
        <f>IFERROR(VLOOKUP(May[[#This Row],[Hour]],Shifts[],2,FALSE),"")</f>
        <v/>
      </c>
      <c r="N31" s="2"/>
      <c r="O31" s="24" t="str">
        <f>IFERROR(VLOOKUP(May[[#This Row],[BIMS Score]],BIMS[],2,FALSE),"")</f>
        <v/>
      </c>
      <c r="P31" s="3"/>
      <c r="Q31" s="3"/>
      <c r="R31" s="2"/>
      <c r="S31" s="168"/>
      <c r="T31" s="5"/>
      <c r="U31" s="5"/>
      <c r="V31" s="5"/>
    </row>
    <row r="32" spans="1:22" ht="20.85" customHeight="1" x14ac:dyDescent="0.25">
      <c r="B32" s="266"/>
      <c r="C32" s="5"/>
      <c r="D32" s="263"/>
      <c r="E32" s="263"/>
      <c r="F32" s="267"/>
      <c r="G32" s="267"/>
      <c r="H32" s="1"/>
      <c r="I32" s="1"/>
      <c r="J32" s="1"/>
      <c r="K32" s="27" t="str">
        <f>IF(May[[#This Row],[Date of Incident]]="","",TEXT(May[[#This Row],[Date of Incident]],"ddd"))</f>
        <v/>
      </c>
      <c r="L32" s="1"/>
      <c r="M32" s="27" t="str">
        <f>IFERROR(VLOOKUP(May[[#This Row],[Hour]],Shifts[],2,FALSE),"")</f>
        <v/>
      </c>
      <c r="N32" s="2"/>
      <c r="O32" s="24" t="str">
        <f>IFERROR(VLOOKUP(May[[#This Row],[BIMS Score]],BIMS[],2,FALSE),"")</f>
        <v/>
      </c>
      <c r="P32" s="3"/>
      <c r="Q32" s="3"/>
      <c r="R32" s="2"/>
      <c r="S32" s="168"/>
      <c r="T32" s="5"/>
      <c r="U32" s="5"/>
      <c r="V32" s="5"/>
    </row>
    <row r="33" spans="2:22" ht="20.85" customHeight="1" x14ac:dyDescent="0.25">
      <c r="B33" s="266"/>
      <c r="C33" s="5"/>
      <c r="D33" s="263"/>
      <c r="E33" s="263"/>
      <c r="F33" s="267"/>
      <c r="G33" s="267"/>
      <c r="H33" s="1"/>
      <c r="I33" s="1"/>
      <c r="J33" s="1"/>
      <c r="K33" s="27" t="str">
        <f>IF(May[[#This Row],[Date of Incident]]="","",TEXT(May[[#This Row],[Date of Incident]],"ddd"))</f>
        <v/>
      </c>
      <c r="L33" s="1"/>
      <c r="M33" s="27" t="str">
        <f>IFERROR(VLOOKUP(May[[#This Row],[Hour]],Shifts[],2,FALSE),"")</f>
        <v/>
      </c>
      <c r="N33" s="2"/>
      <c r="O33" s="24" t="str">
        <f>IFERROR(VLOOKUP(May[[#This Row],[BIMS Score]],BIMS[],2,FALSE),"")</f>
        <v/>
      </c>
      <c r="P33" s="3"/>
      <c r="Q33" s="3"/>
      <c r="R33" s="2"/>
      <c r="S33" s="168"/>
      <c r="T33" s="5"/>
      <c r="U33" s="5"/>
      <c r="V33" s="5"/>
    </row>
    <row r="34" spans="2:22" ht="20.85" customHeight="1" x14ac:dyDescent="0.25">
      <c r="B34" s="266"/>
      <c r="C34" s="5"/>
      <c r="D34" s="263"/>
      <c r="E34" s="263"/>
      <c r="F34" s="267"/>
      <c r="G34" s="267"/>
      <c r="H34" s="1"/>
      <c r="I34" s="1"/>
      <c r="J34" s="1"/>
      <c r="K34" s="27" t="str">
        <f>IF(May[[#This Row],[Date of Incident]]="","",TEXT(May[[#This Row],[Date of Incident]],"ddd"))</f>
        <v/>
      </c>
      <c r="L34" s="1"/>
      <c r="M34" s="27" t="str">
        <f>IFERROR(VLOOKUP(May[[#This Row],[Hour]],Shifts[],2,FALSE),"")</f>
        <v/>
      </c>
      <c r="N34" s="2"/>
      <c r="O34" s="24" t="str">
        <f>IFERROR(VLOOKUP(May[[#This Row],[BIMS Score]],BIMS[],2,FALSE),"")</f>
        <v/>
      </c>
      <c r="P34" s="3"/>
      <c r="Q34" s="3"/>
      <c r="R34" s="2"/>
      <c r="S34" s="168"/>
      <c r="T34" s="5"/>
      <c r="U34" s="5"/>
      <c r="V34" s="5"/>
    </row>
    <row r="35" spans="2:22" ht="20.85" customHeight="1" x14ac:dyDescent="0.25">
      <c r="B35" s="266"/>
      <c r="C35" s="5"/>
      <c r="D35" s="263"/>
      <c r="E35" s="263"/>
      <c r="F35" s="267"/>
      <c r="G35" s="267"/>
      <c r="H35" s="1"/>
      <c r="I35" s="1"/>
      <c r="J35" s="1"/>
      <c r="K35" s="27" t="str">
        <f>IF(May[[#This Row],[Date of Incident]]="","",TEXT(May[[#This Row],[Date of Incident]],"ddd"))</f>
        <v/>
      </c>
      <c r="L35" s="1"/>
      <c r="M35" s="27" t="str">
        <f>IFERROR(VLOOKUP(May[[#This Row],[Hour]],Shifts[],2,FALSE),"")</f>
        <v/>
      </c>
      <c r="N35" s="2"/>
      <c r="O35" s="24" t="str">
        <f>IFERROR(VLOOKUP(May[[#This Row],[BIMS Score]],BIMS[],2,FALSE),"")</f>
        <v/>
      </c>
      <c r="P35" s="3"/>
      <c r="Q35" s="3"/>
      <c r="R35" s="2"/>
      <c r="S35" s="168"/>
      <c r="T35" s="5"/>
      <c r="U35" s="5"/>
      <c r="V35" s="5"/>
    </row>
    <row r="36" spans="2:22" ht="20.85" customHeight="1" x14ac:dyDescent="0.25">
      <c r="B36" s="266"/>
      <c r="C36" s="5"/>
      <c r="D36" s="263"/>
      <c r="E36" s="263"/>
      <c r="F36" s="267"/>
      <c r="G36" s="267"/>
      <c r="H36" s="1"/>
      <c r="I36" s="1"/>
      <c r="J36" s="1"/>
      <c r="K36" s="27" t="str">
        <f>IF(May[[#This Row],[Date of Incident]]="","",TEXT(May[[#This Row],[Date of Incident]],"ddd"))</f>
        <v/>
      </c>
      <c r="L36" s="1"/>
      <c r="M36" s="27" t="str">
        <f>IFERROR(VLOOKUP(May[[#This Row],[Hour]],Shifts[],2,FALSE),"")</f>
        <v/>
      </c>
      <c r="N36" s="2"/>
      <c r="O36" s="24" t="str">
        <f>IFERROR(VLOOKUP(May[[#This Row],[BIMS Score]],BIMS[],2,FALSE),"")</f>
        <v/>
      </c>
      <c r="P36" s="3"/>
      <c r="Q36" s="3"/>
      <c r="R36" s="2"/>
      <c r="S36" s="168"/>
      <c r="T36" s="5"/>
      <c r="U36" s="5"/>
      <c r="V36" s="5"/>
    </row>
    <row r="37" spans="2:22" ht="20.85" customHeight="1" x14ac:dyDescent="0.25">
      <c r="B37" s="266"/>
      <c r="C37" s="5"/>
      <c r="D37" s="263"/>
      <c r="E37" s="263"/>
      <c r="F37" s="267"/>
      <c r="G37" s="267"/>
      <c r="H37" s="1"/>
      <c r="I37" s="1"/>
      <c r="J37" s="1"/>
      <c r="K37" s="27" t="str">
        <f>IF(May[[#This Row],[Date of Incident]]="","",TEXT(May[[#This Row],[Date of Incident]],"ddd"))</f>
        <v/>
      </c>
      <c r="L37" s="1"/>
      <c r="M37" s="27" t="str">
        <f>IFERROR(VLOOKUP(May[[#This Row],[Hour]],Shifts[],2,FALSE),"")</f>
        <v/>
      </c>
      <c r="N37" s="2"/>
      <c r="O37" s="24" t="str">
        <f>IFERROR(VLOOKUP(May[[#This Row],[BIMS Score]],BIMS[],2,FALSE),"")</f>
        <v/>
      </c>
      <c r="P37" s="3"/>
      <c r="Q37" s="3"/>
      <c r="R37" s="2"/>
      <c r="S37" s="168"/>
      <c r="T37" s="5"/>
      <c r="U37" s="5"/>
      <c r="V37" s="5"/>
    </row>
    <row r="38" spans="2:22" ht="20.85" customHeight="1" x14ac:dyDescent="0.25">
      <c r="B38" s="266"/>
      <c r="C38" s="5"/>
      <c r="D38" s="263"/>
      <c r="E38" s="263"/>
      <c r="F38" s="267"/>
      <c r="G38" s="267"/>
      <c r="H38" s="1"/>
      <c r="I38" s="1"/>
      <c r="J38" s="1"/>
      <c r="K38" s="27" t="str">
        <f>IF(May[[#This Row],[Date of Incident]]="","",TEXT(May[[#This Row],[Date of Incident]],"ddd"))</f>
        <v/>
      </c>
      <c r="L38" s="1"/>
      <c r="M38" s="27" t="str">
        <f>IFERROR(VLOOKUP(May[[#This Row],[Hour]],Shifts[],2,FALSE),"")</f>
        <v/>
      </c>
      <c r="N38" s="2"/>
      <c r="O38" s="24" t="str">
        <f>IFERROR(VLOOKUP(May[[#This Row],[BIMS Score]],BIMS[],2,FALSE),"")</f>
        <v/>
      </c>
      <c r="P38" s="3"/>
      <c r="Q38" s="3"/>
      <c r="R38" s="2"/>
      <c r="S38" s="168"/>
      <c r="T38" s="5"/>
      <c r="U38" s="5"/>
      <c r="V38" s="5"/>
    </row>
    <row r="39" spans="2:22" ht="20.85" customHeight="1" x14ac:dyDescent="0.25">
      <c r="B39" s="266"/>
      <c r="C39" s="5"/>
      <c r="D39" s="263"/>
      <c r="E39" s="263"/>
      <c r="F39" s="267"/>
      <c r="G39" s="267"/>
      <c r="H39" s="1"/>
      <c r="I39" s="1"/>
      <c r="J39" s="1"/>
      <c r="K39" s="27" t="str">
        <f>IF(May[[#This Row],[Date of Incident]]="","",TEXT(May[[#This Row],[Date of Incident]],"ddd"))</f>
        <v/>
      </c>
      <c r="L39" s="1"/>
      <c r="M39" s="27" t="str">
        <f>IFERROR(VLOOKUP(May[[#This Row],[Hour]],Shifts[],2,FALSE),"")</f>
        <v/>
      </c>
      <c r="N39" s="2"/>
      <c r="O39" s="24" t="str">
        <f>IFERROR(VLOOKUP(May[[#This Row],[BIMS Score]],BIMS[],2,FALSE),"")</f>
        <v/>
      </c>
      <c r="P39" s="3"/>
      <c r="Q39" s="3"/>
      <c r="R39" s="2"/>
      <c r="S39" s="168"/>
      <c r="T39" s="5"/>
      <c r="U39" s="5"/>
      <c r="V39" s="5"/>
    </row>
    <row r="40" spans="2:22" ht="20.85" customHeight="1" x14ac:dyDescent="0.25">
      <c r="B40" s="266"/>
      <c r="C40" s="5"/>
      <c r="D40" s="263"/>
      <c r="E40" s="263"/>
      <c r="F40" s="267"/>
      <c r="G40" s="267"/>
      <c r="H40" s="1"/>
      <c r="I40" s="1"/>
      <c r="J40" s="1"/>
      <c r="K40" s="27" t="str">
        <f>IF(May[[#This Row],[Date of Incident]]="","",TEXT(May[[#This Row],[Date of Incident]],"ddd"))</f>
        <v/>
      </c>
      <c r="L40" s="1"/>
      <c r="M40" s="27" t="str">
        <f>IFERROR(VLOOKUP(May[[#This Row],[Hour]],Shifts[],2,FALSE),"")</f>
        <v/>
      </c>
      <c r="N40" s="2"/>
      <c r="O40" s="24" t="str">
        <f>IFERROR(VLOOKUP(May[[#This Row],[BIMS Score]],BIMS[],2,FALSE),"")</f>
        <v/>
      </c>
      <c r="P40" s="3"/>
      <c r="Q40" s="3"/>
      <c r="R40" s="2"/>
      <c r="S40" s="168"/>
      <c r="T40" s="5"/>
      <c r="U40" s="5"/>
      <c r="V40" s="5"/>
    </row>
    <row r="41" spans="2:22" x14ac:dyDescent="0.25">
      <c r="B41" s="26"/>
      <c r="C41" s="21"/>
      <c r="D41" s="22"/>
      <c r="E41" s="23"/>
      <c r="F41" s="26"/>
      <c r="G41" s="26"/>
      <c r="H41" s="26"/>
      <c r="I41" s="26"/>
      <c r="J41" s="26"/>
      <c r="K41" s="26"/>
      <c r="L41" s="26"/>
      <c r="M41" s="26"/>
      <c r="N41" s="20"/>
      <c r="O41" s="25"/>
      <c r="P41" s="21"/>
      <c r="Q41" s="21"/>
      <c r="R41" s="25"/>
    </row>
    <row r="42" spans="2:22" x14ac:dyDescent="0.25">
      <c r="B42" s="26"/>
      <c r="C42" s="21"/>
      <c r="D42" s="22"/>
      <c r="E42" s="23"/>
      <c r="F42" s="26"/>
      <c r="G42" s="26"/>
      <c r="H42" s="26"/>
      <c r="I42" s="26"/>
      <c r="J42" s="26"/>
      <c r="K42" s="26"/>
      <c r="L42" s="26"/>
      <c r="M42" s="26"/>
      <c r="N42" s="20"/>
      <c r="O42" s="25"/>
      <c r="P42" s="21"/>
      <c r="Q42" s="21"/>
      <c r="R42" s="25"/>
    </row>
    <row r="43" spans="2:22" x14ac:dyDescent="0.25">
      <c r="B43" s="26"/>
      <c r="C43" s="21"/>
      <c r="D43" s="22"/>
      <c r="E43" s="23"/>
      <c r="F43" s="26"/>
      <c r="G43" s="26"/>
      <c r="H43" s="26"/>
      <c r="I43" s="26"/>
      <c r="J43" s="26"/>
      <c r="K43" s="26"/>
      <c r="L43" s="26"/>
      <c r="M43" s="26"/>
      <c r="N43" s="20"/>
      <c r="O43" s="25"/>
      <c r="P43" s="21"/>
      <c r="Q43" s="21"/>
      <c r="R43" s="25"/>
    </row>
    <row r="44" spans="2:22" x14ac:dyDescent="0.25">
      <c r="B44" s="26"/>
      <c r="C44" s="21"/>
      <c r="D44" s="22"/>
      <c r="E44" s="23"/>
      <c r="F44" s="26"/>
      <c r="G44" s="26"/>
      <c r="H44" s="26"/>
      <c r="I44" s="26"/>
      <c r="J44" s="26"/>
      <c r="K44" s="26"/>
      <c r="L44" s="26"/>
      <c r="M44" s="26"/>
      <c r="N44" s="20"/>
      <c r="O44" s="25"/>
      <c r="P44" s="21"/>
      <c r="Q44" s="21"/>
      <c r="R44" s="25"/>
    </row>
    <row r="45" spans="2:22" x14ac:dyDescent="0.25">
      <c r="B45" s="26"/>
      <c r="C45" s="21"/>
      <c r="D45" s="22"/>
      <c r="E45" s="23"/>
      <c r="F45" s="26"/>
      <c r="G45" s="26"/>
      <c r="H45" s="26"/>
      <c r="I45" s="26"/>
      <c r="J45" s="26"/>
      <c r="K45" s="26"/>
      <c r="L45" s="26"/>
      <c r="M45" s="26"/>
      <c r="N45" s="20"/>
      <c r="O45" s="25"/>
      <c r="P45" s="21"/>
      <c r="Q45" s="21"/>
      <c r="R45" s="25"/>
    </row>
    <row r="46" spans="2:22" x14ac:dyDescent="0.25">
      <c r="B46" s="26"/>
      <c r="C46" s="21"/>
      <c r="D46" s="22"/>
      <c r="E46" s="23"/>
      <c r="F46" s="26"/>
      <c r="G46" s="26"/>
      <c r="H46" s="26"/>
      <c r="I46" s="26"/>
      <c r="J46" s="26"/>
      <c r="K46" s="26"/>
      <c r="L46" s="26"/>
      <c r="M46" s="26"/>
      <c r="N46" s="20"/>
      <c r="O46" s="25"/>
      <c r="P46" s="21"/>
      <c r="Q46" s="21"/>
      <c r="R46" s="25"/>
    </row>
    <row r="47" spans="2:22" x14ac:dyDescent="0.25">
      <c r="B47" s="26"/>
      <c r="C47" s="21"/>
      <c r="D47" s="22"/>
      <c r="E47" s="23"/>
      <c r="F47" s="26"/>
      <c r="G47" s="26"/>
      <c r="H47" s="26"/>
      <c r="I47" s="26"/>
      <c r="J47" s="26"/>
      <c r="K47" s="26"/>
      <c r="L47" s="26"/>
      <c r="M47" s="26"/>
      <c r="N47" s="20"/>
      <c r="O47" s="25"/>
      <c r="P47" s="21"/>
      <c r="Q47" s="21"/>
      <c r="R47" s="25"/>
    </row>
    <row r="48" spans="2:22" x14ac:dyDescent="0.25">
      <c r="B48" s="26"/>
      <c r="C48" s="21"/>
      <c r="D48" s="22"/>
      <c r="E48" s="23"/>
      <c r="F48" s="26"/>
      <c r="G48" s="26"/>
      <c r="H48" s="26"/>
      <c r="I48" s="26"/>
      <c r="J48" s="26"/>
      <c r="K48" s="26"/>
      <c r="L48" s="26"/>
      <c r="M48" s="26"/>
      <c r="N48" s="20"/>
      <c r="O48" s="25"/>
      <c r="P48" s="21"/>
      <c r="Q48" s="21"/>
      <c r="R48" s="25"/>
    </row>
    <row r="49" spans="1:18" x14ac:dyDescent="0.25">
      <c r="B49" s="26"/>
      <c r="C49" s="21"/>
      <c r="D49" s="22"/>
      <c r="E49" s="23"/>
      <c r="F49" s="26"/>
      <c r="G49" s="26"/>
      <c r="H49" s="26"/>
      <c r="I49" s="26"/>
      <c r="J49" s="26"/>
      <c r="K49" s="26"/>
      <c r="L49" s="26"/>
      <c r="M49" s="26"/>
      <c r="N49" s="20"/>
      <c r="O49" s="25"/>
      <c r="P49" s="21"/>
      <c r="Q49" s="21"/>
      <c r="R49" s="25"/>
    </row>
    <row r="50" spans="1:18" ht="15.75" thickBot="1" x14ac:dyDescent="0.3">
      <c r="B50" s="26"/>
      <c r="C50" s="21"/>
      <c r="D50" s="22"/>
      <c r="E50" s="23"/>
      <c r="F50" s="26"/>
      <c r="G50" s="26"/>
      <c r="H50" s="26"/>
      <c r="I50" s="26"/>
      <c r="Q50" s="21"/>
    </row>
    <row r="51" spans="1:18" ht="22.35" customHeight="1" thickBot="1" x14ac:dyDescent="0.3">
      <c r="B51" s="280" t="s">
        <v>85</v>
      </c>
      <c r="C51" s="281"/>
      <c r="D51" s="282"/>
      <c r="F51" s="280" t="s">
        <v>100</v>
      </c>
      <c r="G51" s="281"/>
      <c r="H51" s="282"/>
    </row>
    <row r="52" spans="1:18" ht="15.6" customHeight="1" x14ac:dyDescent="0.25">
      <c r="B52" s="283" t="s">
        <v>83</v>
      </c>
      <c r="C52" s="284"/>
      <c r="D52" s="28" t="s">
        <v>35</v>
      </c>
      <c r="F52" s="283" t="s">
        <v>83</v>
      </c>
      <c r="G52" s="284"/>
      <c r="H52" s="28" t="s">
        <v>35</v>
      </c>
    </row>
    <row r="53" spans="1:18" x14ac:dyDescent="0.25">
      <c r="B53" s="29" t="s">
        <v>41</v>
      </c>
      <c r="C53" s="30"/>
      <c r="D53" s="31">
        <f>COUNTIFS(May[Witnessed
Fall?],$B53)</f>
        <v>0</v>
      </c>
      <c r="F53" s="29" t="s">
        <v>79</v>
      </c>
      <c r="G53" s="30"/>
      <c r="H53" s="31">
        <f>COUNTIFS(May[Fall Circumstances],$F53)</f>
        <v>0</v>
      </c>
    </row>
    <row r="54" spans="1:18" ht="15.75" thickBot="1" x14ac:dyDescent="0.3">
      <c r="B54" s="32" t="s">
        <v>42</v>
      </c>
      <c r="C54" s="33"/>
      <c r="D54" s="34">
        <f>COUNTIFS(May[Witnessed
Fall?],$B54)</f>
        <v>0</v>
      </c>
      <c r="F54" s="29" t="s">
        <v>101</v>
      </c>
      <c r="G54" s="30"/>
      <c r="H54" s="31">
        <f>COUNTIFS(May[Fall Circumstances],$F54)</f>
        <v>0</v>
      </c>
    </row>
    <row r="55" spans="1:18" ht="15.6" customHeight="1" thickBot="1" x14ac:dyDescent="0.3">
      <c r="B55" s="285" t="s">
        <v>16</v>
      </c>
      <c r="C55" s="286"/>
      <c r="D55" s="35">
        <f>SUM(D53:D54)</f>
        <v>0</v>
      </c>
      <c r="F55" s="32" t="s">
        <v>102</v>
      </c>
      <c r="G55" s="33"/>
      <c r="H55" s="36">
        <f>COUNTIFS(May[Fall Circumstances],$F55)</f>
        <v>0</v>
      </c>
    </row>
    <row r="56" spans="1:18" ht="15.6" customHeight="1" thickBot="1" x14ac:dyDescent="0.3">
      <c r="A56" s="26"/>
      <c r="B56" s="21"/>
      <c r="C56" s="22"/>
      <c r="D56" s="26"/>
      <c r="F56" s="285" t="s">
        <v>16</v>
      </c>
      <c r="G56" s="286"/>
      <c r="H56" s="37">
        <f>SUM(H53:H55)</f>
        <v>0</v>
      </c>
    </row>
    <row r="57" spans="1:18" ht="15.75" thickBot="1" x14ac:dyDescent="0.3">
      <c r="A57" s="26"/>
      <c r="B57" s="21"/>
      <c r="C57" s="22"/>
      <c r="D57" s="26"/>
      <c r="F57" s="26"/>
      <c r="G57" s="21"/>
      <c r="H57" s="22"/>
      <c r="L57" s="21"/>
      <c r="O57" s="22"/>
    </row>
    <row r="58" spans="1:18" ht="15.75" thickBot="1" x14ac:dyDescent="0.3">
      <c r="A58" s="26"/>
      <c r="B58" s="21"/>
      <c r="C58" s="22"/>
      <c r="D58" s="26"/>
      <c r="F58" s="280" t="s">
        <v>103</v>
      </c>
      <c r="G58" s="281"/>
      <c r="H58" s="282"/>
      <c r="L58" s="21"/>
      <c r="O58" s="22"/>
    </row>
    <row r="59" spans="1:18" x14ac:dyDescent="0.25">
      <c r="A59" s="26"/>
      <c r="B59" s="21"/>
      <c r="C59" s="22"/>
      <c r="D59" s="26"/>
      <c r="F59" s="283" t="s">
        <v>26</v>
      </c>
      <c r="G59" s="284"/>
      <c r="H59" s="28" t="s">
        <v>35</v>
      </c>
      <c r="L59" s="21"/>
      <c r="O59" s="22"/>
    </row>
    <row r="60" spans="1:18" ht="15.6" customHeight="1" x14ac:dyDescent="0.25">
      <c r="F60" s="29" t="s">
        <v>142</v>
      </c>
      <c r="G60" s="30"/>
      <c r="H60" s="31">
        <f>COUNTIFS(May[Cognitive Impairment],$F60)</f>
        <v>0</v>
      </c>
    </row>
    <row r="61" spans="1:18" x14ac:dyDescent="0.25">
      <c r="F61" s="29" t="s">
        <v>143</v>
      </c>
      <c r="G61" s="30"/>
      <c r="H61" s="31">
        <f>COUNTIFS(May[Cognitive Impairment],$F61)</f>
        <v>0</v>
      </c>
    </row>
    <row r="62" spans="1:18" ht="15.75" thickBot="1" x14ac:dyDescent="0.3">
      <c r="F62" s="32" t="s">
        <v>144</v>
      </c>
      <c r="G62" s="33"/>
      <c r="H62" s="31">
        <f>COUNTIFS(May[Cognitive Impairment],$F62)</f>
        <v>0</v>
      </c>
    </row>
    <row r="63" spans="1:18" ht="15.75" thickBot="1" x14ac:dyDescent="0.3">
      <c r="F63" s="285" t="s">
        <v>16</v>
      </c>
      <c r="G63" s="286"/>
      <c r="H63" s="37">
        <f>SUM(H60:H62)</f>
        <v>0</v>
      </c>
    </row>
    <row r="64" spans="1:18" ht="15.75" thickBot="1" x14ac:dyDescent="0.3"/>
    <row r="65" spans="1:8" ht="21.4" customHeight="1" thickBot="1" x14ac:dyDescent="0.3">
      <c r="B65" s="280" t="s">
        <v>78</v>
      </c>
      <c r="C65" s="281"/>
      <c r="D65" s="281"/>
      <c r="E65" s="281"/>
      <c r="F65" s="281"/>
      <c r="G65" s="282"/>
    </row>
    <row r="66" spans="1:8" ht="15.6" customHeight="1" x14ac:dyDescent="0.25">
      <c r="A66" s="38"/>
      <c r="B66" s="288" t="s">
        <v>86</v>
      </c>
      <c r="C66" s="289"/>
      <c r="D66" s="289"/>
      <c r="E66" s="289"/>
      <c r="F66" s="290"/>
      <c r="G66" s="28" t="s">
        <v>35</v>
      </c>
    </row>
    <row r="67" spans="1:8" x14ac:dyDescent="0.25">
      <c r="A67" s="38"/>
      <c r="B67" s="39" t="str" cm="1">
        <f t="array" ref="B67:B90">IF(_xlfn._xlws.SORT(PriortoFall[What was the resident doing prior to fall?],1,1,TRUE)=0,"",(_xlfn._xlws.SORT(PriortoFall[What was the resident doing prior to fall?],1,1,TRUE)))</f>
        <v>Ambulating with assistive device (walker, cane, wheelchair)</v>
      </c>
      <c r="C67" s="40"/>
      <c r="D67" s="40"/>
      <c r="E67" s="40"/>
      <c r="F67" s="41"/>
      <c r="G67" s="42">
        <f>IF($B67="",NA(),COUNTIFS(May[What was resident doing prior to fall?],$B67))</f>
        <v>0</v>
      </c>
      <c r="H67" s="43"/>
    </row>
    <row r="68" spans="1:8" x14ac:dyDescent="0.25">
      <c r="A68" s="38"/>
      <c r="B68" s="44" t="str">
        <v>Ambulating with staff assistance</v>
      </c>
      <c r="C68" s="45"/>
      <c r="D68" s="45"/>
      <c r="E68" s="45"/>
      <c r="F68" s="46"/>
      <c r="G68" s="42">
        <f>IF($B68="",NA(),COUNTIFS(May[What was resident doing prior to fall?],$B68))</f>
        <v>0</v>
      </c>
    </row>
    <row r="69" spans="1:8" x14ac:dyDescent="0.25">
      <c r="A69" s="38"/>
      <c r="B69" s="39" t="str">
        <v>Ambulating without assistance or assistive device</v>
      </c>
      <c r="C69" s="40"/>
      <c r="D69" s="40"/>
      <c r="E69" s="40"/>
      <c r="F69" s="41"/>
      <c r="G69" s="42">
        <f>IF($B69="",NA(),COUNTIFS(May[What was resident doing prior to fall?],$B69))</f>
        <v>0</v>
      </c>
    </row>
    <row r="70" spans="1:8" x14ac:dyDescent="0.25">
      <c r="A70" s="38"/>
      <c r="B70" s="44" t="str">
        <v>Changing position (e.g., in bed, chair)</v>
      </c>
      <c r="C70" s="45"/>
      <c r="D70" s="45"/>
      <c r="E70" s="45"/>
      <c r="F70" s="46"/>
      <c r="G70" s="42">
        <f>IF($B70="",NA(),COUNTIFS(May[What was resident doing prior to fall?],$B70))</f>
        <v>0</v>
      </c>
    </row>
    <row r="71" spans="1:8" x14ac:dyDescent="0.25">
      <c r="A71" s="38"/>
      <c r="B71" s="44" t="str">
        <v>Dressing or undressing</v>
      </c>
      <c r="C71" s="45"/>
      <c r="D71" s="45"/>
      <c r="E71" s="45"/>
      <c r="F71" s="46"/>
      <c r="G71" s="42">
        <f>IF($B71="",NA(),COUNTIFS(May[What was resident doing prior to fall?],$B71))</f>
        <v>0</v>
      </c>
    </row>
    <row r="72" spans="1:8" x14ac:dyDescent="0.25">
      <c r="A72" s="38"/>
      <c r="B72" s="44" t="str">
        <v>Other activity</v>
      </c>
      <c r="C72" s="45"/>
      <c r="D72" s="45"/>
      <c r="E72" s="45"/>
      <c r="F72" s="46"/>
      <c r="G72" s="42">
        <f>IF($B72="",NA(),COUNTIFS(May[What was resident doing prior to fall?],$B72))</f>
        <v>0</v>
      </c>
    </row>
    <row r="73" spans="1:8" x14ac:dyDescent="0.25">
      <c r="A73" s="38"/>
      <c r="B73" s="44" t="str">
        <v>Reaching for an item</v>
      </c>
      <c r="C73" s="45"/>
      <c r="D73" s="45"/>
      <c r="E73" s="45"/>
      <c r="F73" s="46"/>
      <c r="G73" s="42">
        <f>IF($B73="",NA(),COUNTIFS(May[What was resident doing prior to fall?],$B73))</f>
        <v>0</v>
      </c>
    </row>
    <row r="74" spans="1:8" x14ac:dyDescent="0.25">
      <c r="A74" s="38"/>
      <c r="B74" s="44" t="str">
        <v>Showering or bathing</v>
      </c>
      <c r="C74" s="45"/>
      <c r="D74" s="45"/>
      <c r="E74" s="45"/>
      <c r="F74" s="46"/>
      <c r="G74" s="42">
        <f>IF($B74="",NA(),COUNTIFS(May[What was resident doing prior to fall?],$B74))</f>
        <v>0</v>
      </c>
    </row>
    <row r="75" spans="1:8" x14ac:dyDescent="0.25">
      <c r="A75" s="38"/>
      <c r="B75" s="44" t="str">
        <v>Toileting</v>
      </c>
      <c r="C75" s="45"/>
      <c r="D75" s="45"/>
      <c r="E75" s="45"/>
      <c r="F75" s="46"/>
      <c r="G75" s="42">
        <f>IF($B75="",NA(),COUNTIFS(May[What was resident doing prior to fall?],$B75))</f>
        <v>0</v>
      </c>
    </row>
    <row r="76" spans="1:8" x14ac:dyDescent="0.25">
      <c r="A76" s="38"/>
      <c r="B76" s="44" t="str">
        <v>Transferring to or from bed, chair, wheelchair, etc.</v>
      </c>
      <c r="C76" s="45"/>
      <c r="D76" s="45"/>
      <c r="E76" s="45"/>
      <c r="F76" s="46"/>
      <c r="G76" s="42">
        <f>IF($B76="",NA(),COUNTIFS(May[What was resident doing prior to fall?],$B76))</f>
        <v>0</v>
      </c>
    </row>
    <row r="77" spans="1:8" x14ac:dyDescent="0.25">
      <c r="A77" s="38"/>
      <c r="B77" s="39" t="str">
        <v>Unknown</v>
      </c>
      <c r="C77" s="40"/>
      <c r="D77" s="40"/>
      <c r="E77" s="40"/>
      <c r="F77" s="41"/>
      <c r="G77" s="42">
        <f>IF($B77="",NA(),COUNTIFS(May[What was resident doing prior to fall?],$B77))</f>
        <v>0</v>
      </c>
    </row>
    <row r="78" spans="1:8" x14ac:dyDescent="0.25">
      <c r="A78" s="38"/>
      <c r="B78" s="44" t="str">
        <v/>
      </c>
      <c r="C78" s="45"/>
      <c r="D78" s="45"/>
      <c r="E78" s="45"/>
      <c r="F78" s="46"/>
      <c r="G78" s="42" t="e">
        <f>IF($B78="",NA(),COUNTIFS(May[What was resident doing prior to fall?],$B78))</f>
        <v>#N/A</v>
      </c>
    </row>
    <row r="79" spans="1:8" x14ac:dyDescent="0.25">
      <c r="A79" s="38"/>
      <c r="B79" s="39" t="str">
        <v/>
      </c>
      <c r="C79" s="40"/>
      <c r="D79" s="40"/>
      <c r="E79" s="40"/>
      <c r="F79" s="41"/>
      <c r="G79" s="42" t="e">
        <f>IF($B79="",NA(),COUNTIFS(May[What was resident doing prior to fall?],$B79))</f>
        <v>#N/A</v>
      </c>
    </row>
    <row r="80" spans="1:8" x14ac:dyDescent="0.25">
      <c r="A80" s="38"/>
      <c r="B80" s="44" t="str">
        <v/>
      </c>
      <c r="C80" s="45"/>
      <c r="D80" s="45"/>
      <c r="E80" s="45"/>
      <c r="F80" s="46"/>
      <c r="G80" s="42" t="e">
        <f>IF($B80="",NA(),COUNTIFS(May[What was resident doing prior to fall?],$B80))</f>
        <v>#N/A</v>
      </c>
    </row>
    <row r="81" spans="1:7" x14ac:dyDescent="0.25">
      <c r="A81" s="38"/>
      <c r="B81" s="39" t="str">
        <v/>
      </c>
      <c r="C81" s="40"/>
      <c r="D81" s="40"/>
      <c r="E81" s="40"/>
      <c r="F81" s="41"/>
      <c r="G81" s="42" t="e">
        <f>IF($B81="",NA(),COUNTIFS(May[What was resident doing prior to fall?],$B81))</f>
        <v>#N/A</v>
      </c>
    </row>
    <row r="82" spans="1:7" x14ac:dyDescent="0.25">
      <c r="A82" s="38"/>
      <c r="B82" s="44" t="str">
        <v/>
      </c>
      <c r="C82" s="45"/>
      <c r="D82" s="45"/>
      <c r="E82" s="45"/>
      <c r="F82" s="46"/>
      <c r="G82" s="42" t="e">
        <f>IF($B82="",NA(),COUNTIFS(May[What was resident doing prior to fall?],$B82))</f>
        <v>#N/A</v>
      </c>
    </row>
    <row r="83" spans="1:7" x14ac:dyDescent="0.25">
      <c r="A83" s="38"/>
      <c r="B83" s="39" t="str">
        <v/>
      </c>
      <c r="C83" s="40"/>
      <c r="D83" s="40"/>
      <c r="E83" s="40"/>
      <c r="F83" s="41"/>
      <c r="G83" s="42" t="e">
        <f>IF($B83="",NA(),COUNTIFS(May[What was resident doing prior to fall?],$B83))</f>
        <v>#N/A</v>
      </c>
    </row>
    <row r="84" spans="1:7" x14ac:dyDescent="0.25">
      <c r="A84" s="38"/>
      <c r="B84" s="44" t="str">
        <v/>
      </c>
      <c r="C84" s="45"/>
      <c r="D84" s="45"/>
      <c r="E84" s="45"/>
      <c r="F84" s="46"/>
      <c r="G84" s="42" t="e">
        <f>IF($B84="",NA(),COUNTIFS(May[What was resident doing prior to fall?],$B84))</f>
        <v>#N/A</v>
      </c>
    </row>
    <row r="85" spans="1:7" x14ac:dyDescent="0.25">
      <c r="A85" s="38"/>
      <c r="B85" s="44" t="str">
        <v/>
      </c>
      <c r="C85" s="45"/>
      <c r="D85" s="45"/>
      <c r="E85" s="45"/>
      <c r="F85" s="46"/>
      <c r="G85" s="42" t="e">
        <f>IF($B85="",NA(),COUNTIFS(May[What was resident doing prior to fall?],$B85))</f>
        <v>#N/A</v>
      </c>
    </row>
    <row r="86" spans="1:7" x14ac:dyDescent="0.25">
      <c r="A86" s="38"/>
      <c r="B86" s="39" t="str">
        <v/>
      </c>
      <c r="C86" s="40"/>
      <c r="D86" s="40"/>
      <c r="E86" s="40"/>
      <c r="F86" s="41"/>
      <c r="G86" s="42" t="e">
        <f>IF($B86="",NA(),COUNTIFS(May[What was resident doing prior to fall?],$B86))</f>
        <v>#N/A</v>
      </c>
    </row>
    <row r="87" spans="1:7" x14ac:dyDescent="0.25">
      <c r="A87" s="38"/>
      <c r="B87" s="44" t="str">
        <v/>
      </c>
      <c r="C87" s="45"/>
      <c r="D87" s="45"/>
      <c r="E87" s="45"/>
      <c r="F87" s="46"/>
      <c r="G87" s="42" t="e">
        <f>IF($B87="",NA(),COUNTIFS(May[What was resident doing prior to fall?],$B87))</f>
        <v>#N/A</v>
      </c>
    </row>
    <row r="88" spans="1:7" x14ac:dyDescent="0.25">
      <c r="A88" s="38"/>
      <c r="B88" s="39" t="str">
        <v/>
      </c>
      <c r="C88" s="40"/>
      <c r="D88" s="40"/>
      <c r="E88" s="40"/>
      <c r="F88" s="41"/>
      <c r="G88" s="42" t="e">
        <f>IF($B88="",NA(),COUNTIFS(May[What was resident doing prior to fall?],$B88))</f>
        <v>#N/A</v>
      </c>
    </row>
    <row r="89" spans="1:7" x14ac:dyDescent="0.25">
      <c r="A89" s="38"/>
      <c r="B89" s="44" t="str">
        <v/>
      </c>
      <c r="C89" s="45"/>
      <c r="D89" s="45"/>
      <c r="E89" s="45"/>
      <c r="F89" s="46"/>
      <c r="G89" s="42" t="e">
        <f>IF($B89="",NA(),COUNTIFS(May[What was resident doing prior to fall?],$B89))</f>
        <v>#N/A</v>
      </c>
    </row>
    <row r="90" spans="1:7" ht="15.75" thickBot="1" x14ac:dyDescent="0.3">
      <c r="A90" s="38"/>
      <c r="B90" s="47" t="str">
        <v/>
      </c>
      <c r="C90" s="47"/>
      <c r="D90" s="47"/>
      <c r="E90" s="47"/>
      <c r="F90" s="48"/>
      <c r="G90" s="42" t="e">
        <f>IF($B90="",NA(),COUNTIFS(May[What was resident doing prior to fall?],$B90))</f>
        <v>#N/A</v>
      </c>
    </row>
    <row r="91" spans="1:7" ht="15.6" customHeight="1" thickBot="1" x14ac:dyDescent="0.3">
      <c r="B91" s="285" t="s">
        <v>35</v>
      </c>
      <c r="C91" s="286"/>
      <c r="D91" s="286"/>
      <c r="E91" s="286"/>
      <c r="F91" s="287"/>
      <c r="G91" s="37">
        <f>_xlfn.AGGREGATE(9,6,G67:G90)</f>
        <v>0</v>
      </c>
    </row>
    <row r="92" spans="1:7" ht="15.75" thickBot="1" x14ac:dyDescent="0.3"/>
    <row r="93" spans="1:7" ht="22.35" customHeight="1" thickBot="1" x14ac:dyDescent="0.3">
      <c r="B93" s="293" t="s">
        <v>173</v>
      </c>
      <c r="C93" s="294"/>
      <c r="D93" s="295"/>
    </row>
    <row r="94" spans="1:7" x14ac:dyDescent="0.25">
      <c r="A94" s="38"/>
      <c r="B94" s="298" t="s">
        <v>1</v>
      </c>
      <c r="C94" s="299"/>
      <c r="D94" s="49" t="s">
        <v>35</v>
      </c>
    </row>
    <row r="95" spans="1:7" x14ac:dyDescent="0.25">
      <c r="A95" s="38"/>
      <c r="B95" s="50" t="str" cm="1">
        <f t="array" ref="B95:B105">IF(_xlfn._xlws.SORT(Location[Location],1,1,TRUE)=0,"",(_xlfn._xlws.SORT(Location[Location],1,1,TRUE)))</f>
        <v>Activity Room</v>
      </c>
      <c r="C95" s="51"/>
      <c r="D95" s="52">
        <f>IF($B95="",NA(),COUNTIFS(May[Location],$B95))</f>
        <v>0</v>
      </c>
    </row>
    <row r="96" spans="1:7" x14ac:dyDescent="0.25">
      <c r="A96" s="38"/>
      <c r="B96" s="50" t="str">
        <v>Bedroom</v>
      </c>
      <c r="C96" s="51"/>
      <c r="D96" s="52">
        <f>IF($B96="",NA(),COUNTIFS(May[Location],$B96))</f>
        <v>0</v>
      </c>
    </row>
    <row r="97" spans="1:4" x14ac:dyDescent="0.25">
      <c r="A97" s="38"/>
      <c r="B97" s="50" t="str">
        <v>Bathroom</v>
      </c>
      <c r="C97" s="51"/>
      <c r="D97" s="52">
        <f>IF($B97="",NA(),COUNTIFS(May[Location],$B97))</f>
        <v>0</v>
      </c>
    </row>
    <row r="98" spans="1:4" x14ac:dyDescent="0.25">
      <c r="A98" s="38"/>
      <c r="B98" s="50" t="str">
        <v>Hallway</v>
      </c>
      <c r="C98" s="51"/>
      <c r="D98" s="52">
        <f>IF($B98="",NA(),COUNTIFS(May[Location],$B98))</f>
        <v>0</v>
      </c>
    </row>
    <row r="99" spans="1:4" x14ac:dyDescent="0.25">
      <c r="A99" s="38"/>
      <c r="B99" s="50" t="str">
        <v>Offsite</v>
      </c>
      <c r="C99" s="51"/>
      <c r="D99" s="52">
        <f>IF($B99="",NA(),COUNTIFS(May[Location],$B99))</f>
        <v>0</v>
      </c>
    </row>
    <row r="100" spans="1:4" x14ac:dyDescent="0.25">
      <c r="A100" s="38"/>
      <c r="B100" s="53" t="str">
        <v>Shower Room</v>
      </c>
      <c r="C100" s="54"/>
      <c r="D100" s="52">
        <f>IF($B100="",NA(),COUNTIFS(May[Location],$B100))</f>
        <v>0</v>
      </c>
    </row>
    <row r="101" spans="1:4" x14ac:dyDescent="0.25">
      <c r="A101" s="38"/>
      <c r="B101" s="55" t="str">
        <v>Dining Room</v>
      </c>
      <c r="C101" s="56"/>
      <c r="D101" s="52">
        <f>IF($B101="",NA(),COUNTIFS(May[Location],$B101))</f>
        <v>0</v>
      </c>
    </row>
    <row r="102" spans="1:4" x14ac:dyDescent="0.25">
      <c r="A102" s="38"/>
      <c r="B102" s="57" t="str">
        <v/>
      </c>
      <c r="C102" s="58"/>
      <c r="D102" s="52" t="e">
        <f>IF($B102="",NA(),COUNTIFS(May[Location],$B102))</f>
        <v>#N/A</v>
      </c>
    </row>
    <row r="103" spans="1:4" x14ac:dyDescent="0.25">
      <c r="A103" s="38"/>
      <c r="B103" s="59" t="str">
        <v/>
      </c>
      <c r="C103" s="51"/>
      <c r="D103" s="52" t="e">
        <f>IF($B103="",NA(),COUNTIFS(May[Location],$B103))</f>
        <v>#N/A</v>
      </c>
    </row>
    <row r="104" spans="1:4" x14ac:dyDescent="0.25">
      <c r="A104" s="38"/>
      <c r="B104" s="53" t="str">
        <v/>
      </c>
      <c r="C104" s="60"/>
      <c r="D104" s="52" t="e">
        <f>IF($B104="",NA(),COUNTIFS(May[Location],$B104))</f>
        <v>#N/A</v>
      </c>
    </row>
    <row r="105" spans="1:4" ht="15.75" thickBot="1" x14ac:dyDescent="0.3">
      <c r="A105" s="38"/>
      <c r="B105" s="59" t="str">
        <v/>
      </c>
      <c r="C105" s="61"/>
      <c r="D105" s="52" t="e">
        <f>IF($B105="",NA(),COUNTIFS(May[Location],$B105))</f>
        <v>#N/A</v>
      </c>
    </row>
    <row r="106" spans="1:4" ht="15.75" thickBot="1" x14ac:dyDescent="0.3">
      <c r="B106" s="296" t="s">
        <v>16</v>
      </c>
      <c r="C106" s="297"/>
      <c r="D106" s="37">
        <f>_xlfn.AGGREGATE(9,6,D95:D105)</f>
        <v>0</v>
      </c>
    </row>
    <row r="107" spans="1:4" ht="15.75" thickBot="1" x14ac:dyDescent="0.3"/>
    <row r="108" spans="1:4" ht="21.4" customHeight="1" thickBot="1" x14ac:dyDescent="0.3">
      <c r="B108" s="280" t="str">
        <f>"Falls by Nursing Station "</f>
        <v xml:space="preserve">Falls by Nursing Station </v>
      </c>
      <c r="C108" s="281"/>
      <c r="D108" s="282"/>
    </row>
    <row r="109" spans="1:4" ht="15.75" x14ac:dyDescent="0.25">
      <c r="B109" s="291" t="s">
        <v>2</v>
      </c>
      <c r="C109" s="291"/>
      <c r="D109" s="28" t="s">
        <v>35</v>
      </c>
    </row>
    <row r="110" spans="1:4" x14ac:dyDescent="0.25">
      <c r="B110" s="62" cm="1">
        <f t="array" ref="B110:B120">IF(_xlfn._xlws.SORT(NS[Nurses Stations],1,1,TRUE)=0,"",(_xlfn._xlws.SORT(NS[Nurses Stations],1,1,TRUE)))</f>
        <v>1</v>
      </c>
      <c r="C110" s="63"/>
      <c r="D110" s="31">
        <f>IF($B110="",NA(),COUNTIFS(May[Station],$B110))</f>
        <v>0</v>
      </c>
    </row>
    <row r="111" spans="1:4" x14ac:dyDescent="0.25">
      <c r="B111" s="62">
        <v>2</v>
      </c>
      <c r="C111" s="63"/>
      <c r="D111" s="31">
        <f>IF($B111="",NA(),COUNTIFS(May[Station],$B111))</f>
        <v>0</v>
      </c>
    </row>
    <row r="112" spans="1:4" x14ac:dyDescent="0.25">
      <c r="B112" s="62">
        <v>3</v>
      </c>
      <c r="C112" s="63"/>
      <c r="D112" s="31">
        <f>IF($B112="",NA(),COUNTIFS(May[Station],$B112))</f>
        <v>0</v>
      </c>
    </row>
    <row r="113" spans="2:4" x14ac:dyDescent="0.25">
      <c r="B113" s="62">
        <v>4</v>
      </c>
      <c r="C113" s="63"/>
      <c r="D113" s="31">
        <f>IF($B113="",NA(),COUNTIFS(May[Station],$B113))</f>
        <v>0</v>
      </c>
    </row>
    <row r="114" spans="2:4" x14ac:dyDescent="0.25">
      <c r="B114" s="62">
        <v>5</v>
      </c>
      <c r="C114" s="63"/>
      <c r="D114" s="31">
        <f>IF($B114="",NA(),COUNTIFS(May[Station],$B114))</f>
        <v>0</v>
      </c>
    </row>
    <row r="115" spans="2:4" x14ac:dyDescent="0.25">
      <c r="B115" s="62" t="str">
        <v/>
      </c>
      <c r="C115" s="63"/>
      <c r="D115" s="31" t="e">
        <f>IF($B115="",NA(),COUNTIFS(May[Station],$B115))</f>
        <v>#N/A</v>
      </c>
    </row>
    <row r="116" spans="2:4" x14ac:dyDescent="0.25">
      <c r="B116" s="62" t="str">
        <v/>
      </c>
      <c r="C116" s="63"/>
      <c r="D116" s="31" t="e">
        <f>IF($B116="",NA(),COUNTIFS(May[Station],$B116))</f>
        <v>#N/A</v>
      </c>
    </row>
    <row r="117" spans="2:4" x14ac:dyDescent="0.25">
      <c r="B117" s="62" t="str">
        <v/>
      </c>
      <c r="C117" s="63"/>
      <c r="D117" s="31" t="e">
        <f>IF($B117="",NA(),COUNTIFS(May[Station],$B117))</f>
        <v>#N/A</v>
      </c>
    </row>
    <row r="118" spans="2:4" x14ac:dyDescent="0.25">
      <c r="B118" s="62" t="str">
        <v/>
      </c>
      <c r="C118" s="63"/>
      <c r="D118" s="31" t="e">
        <f>IF($B118="",NA(),COUNTIFS(May[Station],$B118))</f>
        <v>#N/A</v>
      </c>
    </row>
    <row r="119" spans="2:4" x14ac:dyDescent="0.25">
      <c r="B119" s="62" t="str">
        <v/>
      </c>
      <c r="C119" s="63"/>
      <c r="D119" s="31" t="e">
        <f>IF($B119="",NA(),COUNTIFS(May[Station],$B119))</f>
        <v>#N/A</v>
      </c>
    </row>
    <row r="120" spans="2:4" ht="15.75" thickBot="1" x14ac:dyDescent="0.3">
      <c r="B120" s="64" t="str">
        <v/>
      </c>
      <c r="C120" s="63"/>
      <c r="D120" s="31" t="e">
        <f>IF($B120="",NA(),COUNTIFS(May[Station],$B120))</f>
        <v>#N/A</v>
      </c>
    </row>
    <row r="121" spans="2:4" ht="15.6" customHeight="1" thickBot="1" x14ac:dyDescent="0.3">
      <c r="B121" s="285" t="s">
        <v>16</v>
      </c>
      <c r="C121" s="286"/>
      <c r="D121" s="37">
        <f>_xlfn.AGGREGATE(9,6,D110:D120)</f>
        <v>0</v>
      </c>
    </row>
    <row r="122" spans="2:4" ht="15.6" customHeight="1" thickBot="1" x14ac:dyDescent="0.3">
      <c r="B122" s="65"/>
      <c r="C122" s="66"/>
      <c r="D122" s="67"/>
    </row>
    <row r="123" spans="2:4" ht="21.95" customHeight="1" thickBot="1" x14ac:dyDescent="0.3">
      <c r="B123" s="280" t="str">
        <f>"Falls by Day of the Week "</f>
        <v xml:space="preserve">Falls by Day of the Week </v>
      </c>
      <c r="C123" s="281"/>
      <c r="D123" s="282"/>
    </row>
    <row r="124" spans="2:4" ht="15.75" x14ac:dyDescent="0.25">
      <c r="B124" s="291" t="s">
        <v>3</v>
      </c>
      <c r="C124" s="291"/>
      <c r="D124" s="28" t="s">
        <v>35</v>
      </c>
    </row>
    <row r="125" spans="2:4" x14ac:dyDescent="0.25">
      <c r="B125" s="292" t="s">
        <v>46</v>
      </c>
      <c r="C125" s="292"/>
      <c r="D125" s="31">
        <f>COUNTIFS(May[Day],$B125)</f>
        <v>0</v>
      </c>
    </row>
    <row r="126" spans="2:4" x14ac:dyDescent="0.25">
      <c r="B126" s="292" t="s">
        <v>47</v>
      </c>
      <c r="C126" s="292"/>
      <c r="D126" s="31">
        <f>COUNTIFS(May[Day],$B126)</f>
        <v>0</v>
      </c>
    </row>
    <row r="127" spans="2:4" x14ac:dyDescent="0.25">
      <c r="B127" s="292" t="s">
        <v>52</v>
      </c>
      <c r="C127" s="292"/>
      <c r="D127" s="31">
        <f>COUNTIFS(May[Day],$B127)</f>
        <v>0</v>
      </c>
    </row>
    <row r="128" spans="2:4" x14ac:dyDescent="0.25">
      <c r="B128" s="292" t="s">
        <v>48</v>
      </c>
      <c r="C128" s="292"/>
      <c r="D128" s="31">
        <f>COUNTIFS(May[Day],$B128)</f>
        <v>0</v>
      </c>
    </row>
    <row r="129" spans="2:4" x14ac:dyDescent="0.25">
      <c r="B129" s="292" t="s">
        <v>51</v>
      </c>
      <c r="C129" s="292"/>
      <c r="D129" s="31">
        <f>COUNTIFS(May[Day],$B129)</f>
        <v>0</v>
      </c>
    </row>
    <row r="130" spans="2:4" x14ac:dyDescent="0.25">
      <c r="B130" s="292" t="s">
        <v>49</v>
      </c>
      <c r="C130" s="292"/>
      <c r="D130" s="31">
        <f>COUNTIFS(May[Day],$B130)</f>
        <v>0</v>
      </c>
    </row>
    <row r="131" spans="2:4" ht="15.75" thickBot="1" x14ac:dyDescent="0.3">
      <c r="B131" s="292" t="s">
        <v>50</v>
      </c>
      <c r="C131" s="292"/>
      <c r="D131" s="34">
        <f>COUNTIFS(May[Day],$B131)</f>
        <v>0</v>
      </c>
    </row>
    <row r="132" spans="2:4" ht="15.6" customHeight="1" thickBot="1" x14ac:dyDescent="0.3">
      <c r="B132" s="285" t="s">
        <v>16</v>
      </c>
      <c r="C132" s="286"/>
      <c r="D132" s="35">
        <f>SUM(D125:D131)</f>
        <v>0</v>
      </c>
    </row>
    <row r="133" spans="2:4" ht="15.75" thickBot="1" x14ac:dyDescent="0.3"/>
    <row r="134" spans="2:4" ht="21.4" customHeight="1" thickBot="1" x14ac:dyDescent="0.3">
      <c r="B134" s="280" t="str">
        <f>"Falls by Shift"</f>
        <v>Falls by Shift</v>
      </c>
      <c r="C134" s="281"/>
      <c r="D134" s="282"/>
    </row>
    <row r="135" spans="2:4" ht="15.75" x14ac:dyDescent="0.25">
      <c r="B135" s="291" t="s">
        <v>34</v>
      </c>
      <c r="C135" s="291"/>
      <c r="D135" s="28" t="s">
        <v>35</v>
      </c>
    </row>
    <row r="136" spans="2:4" x14ac:dyDescent="0.25">
      <c r="B136" s="29" t="str" cm="1">
        <f t="array" ref="B136:B140">IF(_xlfn._xlws.SORT('Data Validation'!P3:P7,1,1,TRUE)=0,"",(_xlfn._xlws.SORT('Data Validation'!P3:P7,1,1,TRUE)))</f>
        <v>11-7</v>
      </c>
      <c r="C136" s="58"/>
      <c r="D136" s="31">
        <f>IF($B136="",NA(),COUNTIFS(May[Shift],$B136))</f>
        <v>0</v>
      </c>
    </row>
    <row r="137" spans="2:4" x14ac:dyDescent="0.25">
      <c r="B137" s="29" t="str">
        <v>11–7</v>
      </c>
      <c r="C137" s="58"/>
      <c r="D137" s="31">
        <f>IF($B137="",NA(),COUNTIFS(May[Shift],$B137))</f>
        <v>0</v>
      </c>
    </row>
    <row r="138" spans="2:4" x14ac:dyDescent="0.25">
      <c r="B138" s="29" t="str">
        <v>7–3</v>
      </c>
      <c r="C138" s="58"/>
      <c r="D138" s="31">
        <f>IF($B138="",NA(),COUNTIFS(May[Shift],$B138))</f>
        <v>0</v>
      </c>
    </row>
    <row r="139" spans="2:4" x14ac:dyDescent="0.25">
      <c r="B139" s="29" t="str">
        <v>3–11</v>
      </c>
      <c r="C139" s="58"/>
      <c r="D139" s="31">
        <f>IF($B139="",NA(),COUNTIFS(May[Shift],$B139))</f>
        <v>0</v>
      </c>
    </row>
    <row r="140" spans="2:4" ht="15.75" thickBot="1" x14ac:dyDescent="0.3">
      <c r="B140" s="29" t="str">
        <v/>
      </c>
      <c r="C140" s="68"/>
      <c r="D140" s="34" t="e">
        <f>IF($B140="",NA(),COUNTIFS(May[Shift],$B140))</f>
        <v>#N/A</v>
      </c>
    </row>
    <row r="141" spans="2:4" ht="15.75" thickBot="1" x14ac:dyDescent="0.3">
      <c r="B141" s="285" t="s">
        <v>16</v>
      </c>
      <c r="C141" s="286"/>
      <c r="D141" s="35">
        <f>_xlfn.AGGREGATE(9,6,D136:D140)</f>
        <v>0</v>
      </c>
    </row>
    <row r="142" spans="2:4" ht="15.75" thickBot="1" x14ac:dyDescent="0.3"/>
    <row r="143" spans="2:4" ht="21.4" customHeight="1" thickBot="1" x14ac:dyDescent="0.3">
      <c r="B143" s="280" t="str">
        <f>"Falls by Hour "</f>
        <v xml:space="preserve">Falls by Hour </v>
      </c>
      <c r="C143" s="281"/>
      <c r="D143" s="282"/>
    </row>
    <row r="144" spans="2:4" ht="15.75" x14ac:dyDescent="0.25">
      <c r="B144" s="291" t="s">
        <v>33</v>
      </c>
      <c r="C144" s="291"/>
      <c r="D144" s="28" t="s">
        <v>35</v>
      </c>
    </row>
    <row r="145" spans="2:4" x14ac:dyDescent="0.25">
      <c r="B145" s="292" t="s">
        <v>115</v>
      </c>
      <c r="C145" s="292"/>
      <c r="D145" s="31">
        <f>COUNTIFS(May[Hour],$B145)</f>
        <v>0</v>
      </c>
    </row>
    <row r="146" spans="2:4" x14ac:dyDescent="0.25">
      <c r="B146" s="292" t="s">
        <v>116</v>
      </c>
      <c r="C146" s="292"/>
      <c r="D146" s="31">
        <f>COUNTIFS(May[Hour],$B146)</f>
        <v>0</v>
      </c>
    </row>
    <row r="147" spans="2:4" x14ac:dyDescent="0.25">
      <c r="B147" s="292" t="s">
        <v>117</v>
      </c>
      <c r="C147" s="292"/>
      <c r="D147" s="31">
        <f>COUNTIFS(May[Hour],$B147)</f>
        <v>0</v>
      </c>
    </row>
    <row r="148" spans="2:4" x14ac:dyDescent="0.25">
      <c r="B148" s="292" t="s">
        <v>118</v>
      </c>
      <c r="C148" s="292"/>
      <c r="D148" s="31">
        <f>COUNTIFS(May[Hour],$B148)</f>
        <v>0</v>
      </c>
    </row>
    <row r="149" spans="2:4" x14ac:dyDescent="0.25">
      <c r="B149" s="292" t="s">
        <v>119</v>
      </c>
      <c r="C149" s="292"/>
      <c r="D149" s="31">
        <f>COUNTIFS(May[Hour],$B149)</f>
        <v>0</v>
      </c>
    </row>
    <row r="150" spans="2:4" x14ac:dyDescent="0.25">
      <c r="B150" s="292" t="s">
        <v>120</v>
      </c>
      <c r="C150" s="292"/>
      <c r="D150" s="31">
        <f>COUNTIFS(May[Hour],$B150)</f>
        <v>0</v>
      </c>
    </row>
    <row r="151" spans="2:4" x14ac:dyDescent="0.25">
      <c r="B151" s="292" t="s">
        <v>121</v>
      </c>
      <c r="C151" s="292"/>
      <c r="D151" s="31">
        <f>COUNTIFS(May[Hour],$B151)</f>
        <v>0</v>
      </c>
    </row>
    <row r="152" spans="2:4" x14ac:dyDescent="0.25">
      <c r="B152" s="292" t="s">
        <v>122</v>
      </c>
      <c r="C152" s="292"/>
      <c r="D152" s="31">
        <f>COUNTIFS(May[Hour],$B152)</f>
        <v>0</v>
      </c>
    </row>
    <row r="153" spans="2:4" x14ac:dyDescent="0.25">
      <c r="B153" s="292" t="s">
        <v>123</v>
      </c>
      <c r="C153" s="292"/>
      <c r="D153" s="31">
        <f>COUNTIFS(May[Hour],$B153)</f>
        <v>0</v>
      </c>
    </row>
    <row r="154" spans="2:4" x14ac:dyDescent="0.25">
      <c r="B154" s="292" t="s">
        <v>124</v>
      </c>
      <c r="C154" s="292"/>
      <c r="D154" s="31">
        <f>COUNTIFS(May[Hour],$B154)</f>
        <v>0</v>
      </c>
    </row>
    <row r="155" spans="2:4" x14ac:dyDescent="0.25">
      <c r="B155" s="292" t="s">
        <v>125</v>
      </c>
      <c r="C155" s="292"/>
      <c r="D155" s="31">
        <f>COUNTIFS(May[Hour],$B155)</f>
        <v>0</v>
      </c>
    </row>
    <row r="156" spans="2:4" x14ac:dyDescent="0.25">
      <c r="B156" s="292" t="s">
        <v>126</v>
      </c>
      <c r="C156" s="292"/>
      <c r="D156" s="31">
        <f>COUNTIFS(May[Hour],$B156)</f>
        <v>0</v>
      </c>
    </row>
    <row r="157" spans="2:4" x14ac:dyDescent="0.25">
      <c r="B157" s="292" t="s">
        <v>127</v>
      </c>
      <c r="C157" s="292"/>
      <c r="D157" s="31">
        <f>COUNTIFS(May[Hour],$B157)</f>
        <v>0</v>
      </c>
    </row>
    <row r="158" spans="2:4" x14ac:dyDescent="0.25">
      <c r="B158" s="292" t="s">
        <v>128</v>
      </c>
      <c r="C158" s="292"/>
      <c r="D158" s="31">
        <f>COUNTIFS(May[Hour],$B158)</f>
        <v>0</v>
      </c>
    </row>
    <row r="159" spans="2:4" x14ac:dyDescent="0.25">
      <c r="B159" s="292" t="s">
        <v>129</v>
      </c>
      <c r="C159" s="292"/>
      <c r="D159" s="31">
        <f>COUNTIFS(May[Hour],$B159)</f>
        <v>0</v>
      </c>
    </row>
    <row r="160" spans="2:4" x14ac:dyDescent="0.25">
      <c r="B160" s="292" t="s">
        <v>130</v>
      </c>
      <c r="C160" s="292"/>
      <c r="D160" s="31">
        <f>COUNTIFS(May[Hour],$B160)</f>
        <v>0</v>
      </c>
    </row>
    <row r="161" spans="1:8" x14ac:dyDescent="0.25">
      <c r="B161" s="292" t="s">
        <v>131</v>
      </c>
      <c r="C161" s="292"/>
      <c r="D161" s="31">
        <f>COUNTIFS(May[Hour],$B161)</f>
        <v>0</v>
      </c>
    </row>
    <row r="162" spans="1:8" x14ac:dyDescent="0.25">
      <c r="B162" s="292" t="s">
        <v>132</v>
      </c>
      <c r="C162" s="292"/>
      <c r="D162" s="31">
        <f>COUNTIFS(May[Hour],$B162)</f>
        <v>0</v>
      </c>
    </row>
    <row r="163" spans="1:8" x14ac:dyDescent="0.25">
      <c r="B163" s="292" t="s">
        <v>133</v>
      </c>
      <c r="C163" s="292"/>
      <c r="D163" s="31">
        <f>COUNTIFS(May[Hour],$B163)</f>
        <v>0</v>
      </c>
    </row>
    <row r="164" spans="1:8" x14ac:dyDescent="0.25">
      <c r="B164" s="292" t="s">
        <v>134</v>
      </c>
      <c r="C164" s="292"/>
      <c r="D164" s="31">
        <f>COUNTIFS(May[Hour],$B164)</f>
        <v>0</v>
      </c>
    </row>
    <row r="165" spans="1:8" x14ac:dyDescent="0.25">
      <c r="B165" s="292" t="s">
        <v>135</v>
      </c>
      <c r="C165" s="292"/>
      <c r="D165" s="31">
        <f>COUNTIFS(May[Hour],$B165)</f>
        <v>0</v>
      </c>
    </row>
    <row r="166" spans="1:8" x14ac:dyDescent="0.25">
      <c r="B166" s="292" t="s">
        <v>136</v>
      </c>
      <c r="C166" s="292"/>
      <c r="D166" s="31">
        <f>COUNTIFS(May[Hour],$B166)</f>
        <v>0</v>
      </c>
    </row>
    <row r="167" spans="1:8" x14ac:dyDescent="0.25">
      <c r="B167" s="292" t="s">
        <v>137</v>
      </c>
      <c r="C167" s="292"/>
      <c r="D167" s="31">
        <f>COUNTIFS(May[Hour],$B167)</f>
        <v>0</v>
      </c>
    </row>
    <row r="168" spans="1:8" ht="15.75" thickBot="1" x14ac:dyDescent="0.3">
      <c r="B168" s="292" t="s">
        <v>138</v>
      </c>
      <c r="C168" s="292"/>
      <c r="D168" s="34">
        <f>COUNTIFS(May[Hour],$B168)</f>
        <v>0</v>
      </c>
    </row>
    <row r="169" spans="1:8" ht="15.75" thickBot="1" x14ac:dyDescent="0.3">
      <c r="B169" s="285" t="s">
        <v>35</v>
      </c>
      <c r="C169" s="286"/>
      <c r="D169" s="35">
        <f>SUM(D145:D168)</f>
        <v>0</v>
      </c>
    </row>
    <row r="170" spans="1:8" ht="15.75" thickBot="1" x14ac:dyDescent="0.3"/>
    <row r="171" spans="1:8" ht="21.4" customHeight="1" thickBot="1" x14ac:dyDescent="0.3">
      <c r="B171" s="280" t="str">
        <f>"Falls by Contributing Factors"</f>
        <v>Falls by Contributing Factors</v>
      </c>
      <c r="C171" s="281"/>
      <c r="D171" s="281"/>
      <c r="E171" s="281"/>
      <c r="F171" s="281"/>
      <c r="G171" s="282"/>
    </row>
    <row r="172" spans="1:8" ht="15.6" customHeight="1" x14ac:dyDescent="0.25">
      <c r="A172" s="38"/>
      <c r="B172" s="288" t="s">
        <v>92</v>
      </c>
      <c r="C172" s="289"/>
      <c r="D172" s="289"/>
      <c r="E172" s="289"/>
      <c r="F172" s="290"/>
      <c r="G172" s="28" t="s">
        <v>35</v>
      </c>
    </row>
    <row r="173" spans="1:8" x14ac:dyDescent="0.25">
      <c r="A173" s="38"/>
      <c r="B173" s="44" t="str" cm="1">
        <f t="array" ref="B173:B196">IF(_xlfn._xlws.SORT(CF[Contributing Factors],1,1,TRUE)=0,"",(_xlfn._xlws.SORT(CF[Contributing Factors],1,1,TRUE)))</f>
        <v>Assisted/caregiver transfer</v>
      </c>
      <c r="C173" s="45"/>
      <c r="D173" s="45"/>
      <c r="E173" s="45"/>
      <c r="F173" s="46"/>
      <c r="G173" s="42">
        <f>IF($B173="",NA(),COUNTIFS(May[Contributing Factors],$B173))</f>
        <v>0</v>
      </c>
      <c r="H173" s="43"/>
    </row>
    <row r="174" spans="1:8" x14ac:dyDescent="0.25">
      <c r="A174" s="38"/>
      <c r="B174" s="39" t="str">
        <v>Bowel and bladder (B&amp;B) needs</v>
      </c>
      <c r="C174" s="40"/>
      <c r="D174" s="40"/>
      <c r="E174" s="40"/>
      <c r="F174" s="41"/>
      <c r="G174" s="42">
        <f>IF($B174="",NA(),COUNTIFS(May[Contributing Factors],$B174))</f>
        <v>0</v>
      </c>
    </row>
    <row r="175" spans="1:8" x14ac:dyDescent="0.25">
      <c r="A175" s="38"/>
      <c r="B175" s="44" t="str">
        <v>Behavioral or situational</v>
      </c>
      <c r="C175" s="45"/>
      <c r="D175" s="45"/>
      <c r="E175" s="45"/>
      <c r="F175" s="46"/>
      <c r="G175" s="42">
        <f>IF($B175="",NA(),COUNTIFS(May[Contributing Factors],$B175))</f>
        <v>0</v>
      </c>
    </row>
    <row r="176" spans="1:8" x14ac:dyDescent="0.25">
      <c r="A176" s="38"/>
      <c r="B176" s="39" t="str">
        <v>Change of condition</v>
      </c>
      <c r="C176" s="40"/>
      <c r="D176" s="40"/>
      <c r="E176" s="40"/>
      <c r="F176" s="41"/>
      <c r="G176" s="42">
        <f>IF($B176="",NA(),COUNTIFS(May[Contributing Factors],$B176))</f>
        <v>0</v>
      </c>
    </row>
    <row r="177" spans="1:7" x14ac:dyDescent="0.25">
      <c r="A177" s="38"/>
      <c r="B177" s="44" t="str">
        <v>Environmental factors</v>
      </c>
      <c r="C177" s="45"/>
      <c r="D177" s="45"/>
      <c r="E177" s="45"/>
      <c r="F177" s="46"/>
      <c r="G177" s="42">
        <f>IF($B177="",NA(),COUNTIFS(May[Contributing Factors],$B177))</f>
        <v>0</v>
      </c>
    </row>
    <row r="178" spans="1:7" x14ac:dyDescent="0.25">
      <c r="A178" s="38"/>
      <c r="B178" s="39" t="str">
        <v>Equipment malfunction</v>
      </c>
      <c r="C178" s="40"/>
      <c r="D178" s="40"/>
      <c r="E178" s="40"/>
      <c r="F178" s="41"/>
      <c r="G178" s="42">
        <f>IF($B178="",NA(),COUNTIFS(May[Contributing Factors],$B178))</f>
        <v>0</v>
      </c>
    </row>
    <row r="179" spans="1:7" x14ac:dyDescent="0.25">
      <c r="A179" s="38"/>
      <c r="B179" s="44" t="str">
        <v>Equipment or assistive device</v>
      </c>
      <c r="C179" s="45"/>
      <c r="D179" s="45"/>
      <c r="E179" s="45"/>
      <c r="F179" s="46"/>
      <c r="G179" s="42">
        <f>IF($B179="",NA(),COUNTIFS(May[Contributing Factors],$B179))</f>
        <v>0</v>
      </c>
    </row>
    <row r="180" spans="1:7" x14ac:dyDescent="0.25">
      <c r="A180" s="38"/>
      <c r="B180" s="39" t="str">
        <v>Medication related</v>
      </c>
      <c r="C180" s="40"/>
      <c r="D180" s="40"/>
      <c r="E180" s="40"/>
      <c r="F180" s="41"/>
      <c r="G180" s="42">
        <f>IF($B180="",NA(),COUNTIFS(May[Contributing Factors],$B180))</f>
        <v>0</v>
      </c>
    </row>
    <row r="181" spans="1:7" x14ac:dyDescent="0.25">
      <c r="A181" s="38"/>
      <c r="B181" s="44" t="str">
        <v>Process(s) not followed</v>
      </c>
      <c r="C181" s="45"/>
      <c r="D181" s="45"/>
      <c r="E181" s="45"/>
      <c r="F181" s="46"/>
      <c r="G181" s="42">
        <f>IF($B181="",NA(),COUNTIFS(May[Contributing Factors],$B181))</f>
        <v>0</v>
      </c>
    </row>
    <row r="182" spans="1:7" x14ac:dyDescent="0.25">
      <c r="A182" s="38"/>
      <c r="B182" s="39" t="str">
        <v>Resident health conditions</v>
      </c>
      <c r="C182" s="40"/>
      <c r="D182" s="40"/>
      <c r="E182" s="40"/>
      <c r="F182" s="41"/>
      <c r="G182" s="42">
        <f>IF($B182="",NA(),COUNTIFS(May[Contributing Factors],$B182))</f>
        <v>0</v>
      </c>
    </row>
    <row r="183" spans="1:7" x14ac:dyDescent="0.25">
      <c r="A183" s="38"/>
      <c r="B183" s="44" t="str">
        <v>Staff</v>
      </c>
      <c r="C183" s="45"/>
      <c r="D183" s="45"/>
      <c r="E183" s="45"/>
      <c r="F183" s="46"/>
      <c r="G183" s="42">
        <f>IF($B183="",NA(),COUNTIFS(May[Contributing Factors],$B183))</f>
        <v>0</v>
      </c>
    </row>
    <row r="184" spans="1:7" x14ac:dyDescent="0.25">
      <c r="A184" s="38"/>
      <c r="B184" s="39" t="str">
        <v/>
      </c>
      <c r="C184" s="40"/>
      <c r="D184" s="40"/>
      <c r="E184" s="40"/>
      <c r="F184" s="41"/>
      <c r="G184" s="42" t="e">
        <f>IF($B184="",NA(),COUNTIFS(May[Contributing Factors],$B184))</f>
        <v>#N/A</v>
      </c>
    </row>
    <row r="185" spans="1:7" x14ac:dyDescent="0.25">
      <c r="A185" s="38"/>
      <c r="B185" s="44" t="str">
        <v/>
      </c>
      <c r="C185" s="45"/>
      <c r="D185" s="45"/>
      <c r="E185" s="45"/>
      <c r="F185" s="46"/>
      <c r="G185" s="42" t="e">
        <f>IF($B185="",NA(),COUNTIFS(May[Contributing Factors],$B185))</f>
        <v>#N/A</v>
      </c>
    </row>
    <row r="186" spans="1:7" x14ac:dyDescent="0.25">
      <c r="A186" s="38"/>
      <c r="B186" s="39" t="str">
        <v/>
      </c>
      <c r="C186" s="40"/>
      <c r="D186" s="40"/>
      <c r="E186" s="40"/>
      <c r="F186" s="41"/>
      <c r="G186" s="42" t="e">
        <f>IF($B186="",NA(),COUNTIFS(May[Contributing Factors],$B186))</f>
        <v>#N/A</v>
      </c>
    </row>
    <row r="187" spans="1:7" x14ac:dyDescent="0.25">
      <c r="A187" s="38"/>
      <c r="B187" s="44" t="str">
        <v/>
      </c>
      <c r="C187" s="45"/>
      <c r="D187" s="45"/>
      <c r="E187" s="45"/>
      <c r="F187" s="46"/>
      <c r="G187" s="42" t="e">
        <f>IF($B187="",NA(),COUNTIFS(May[Contributing Factors],$B187))</f>
        <v>#N/A</v>
      </c>
    </row>
    <row r="188" spans="1:7" x14ac:dyDescent="0.25">
      <c r="A188" s="38"/>
      <c r="B188" s="39" t="str">
        <v/>
      </c>
      <c r="C188" s="40"/>
      <c r="D188" s="40"/>
      <c r="E188" s="40"/>
      <c r="F188" s="41"/>
      <c r="G188" s="42" t="e">
        <f>IF($B188="",NA(),COUNTIFS(May[Contributing Factors],$B188))</f>
        <v>#N/A</v>
      </c>
    </row>
    <row r="189" spans="1:7" x14ac:dyDescent="0.25">
      <c r="A189" s="38"/>
      <c r="B189" s="44" t="str">
        <v/>
      </c>
      <c r="C189" s="45"/>
      <c r="D189" s="45"/>
      <c r="E189" s="45"/>
      <c r="F189" s="46"/>
      <c r="G189" s="42" t="e">
        <f>IF($B189="",NA(),COUNTIFS(May[Contributing Factors],$B189))</f>
        <v>#N/A</v>
      </c>
    </row>
    <row r="190" spans="1:7" x14ac:dyDescent="0.25">
      <c r="A190" s="38"/>
      <c r="B190" s="39" t="str">
        <v/>
      </c>
      <c r="C190" s="40"/>
      <c r="D190" s="40"/>
      <c r="E190" s="40"/>
      <c r="F190" s="41"/>
      <c r="G190" s="42" t="e">
        <f>IF($B190="",NA(),COUNTIFS(May[Contributing Factors],$B190))</f>
        <v>#N/A</v>
      </c>
    </row>
    <row r="191" spans="1:7" x14ac:dyDescent="0.25">
      <c r="A191" s="38"/>
      <c r="B191" s="44" t="str">
        <v/>
      </c>
      <c r="C191" s="45"/>
      <c r="D191" s="45"/>
      <c r="E191" s="45"/>
      <c r="F191" s="46"/>
      <c r="G191" s="42" t="e">
        <f>IF($B191="",NA(),COUNTIFS(May[Contributing Factors],$B191))</f>
        <v>#N/A</v>
      </c>
    </row>
    <row r="192" spans="1:7" x14ac:dyDescent="0.25">
      <c r="A192" s="38"/>
      <c r="B192" s="39" t="str">
        <v/>
      </c>
      <c r="C192" s="40"/>
      <c r="D192" s="40"/>
      <c r="E192" s="40"/>
      <c r="F192" s="41"/>
      <c r="G192" s="42" t="e">
        <f>IF($B192="",NA(),COUNTIFS(May[Contributing Factors],$B192))</f>
        <v>#N/A</v>
      </c>
    </row>
    <row r="193" spans="1:7" x14ac:dyDescent="0.25">
      <c r="A193" s="38"/>
      <c r="B193" s="44" t="str">
        <v/>
      </c>
      <c r="C193" s="45"/>
      <c r="D193" s="45"/>
      <c r="E193" s="45"/>
      <c r="F193" s="46"/>
      <c r="G193" s="42" t="e">
        <f>IF($B193="",NA(),COUNTIFS(May[Contributing Factors],$B193))</f>
        <v>#N/A</v>
      </c>
    </row>
    <row r="194" spans="1:7" x14ac:dyDescent="0.25">
      <c r="A194" s="38"/>
      <c r="B194" s="39" t="str">
        <v/>
      </c>
      <c r="C194" s="40"/>
      <c r="D194" s="40"/>
      <c r="E194" s="40"/>
      <c r="F194" s="41"/>
      <c r="G194" s="42" t="e">
        <f>IF($B194="",NA(),COUNTIFS(May[Contributing Factors],$B194))</f>
        <v>#N/A</v>
      </c>
    </row>
    <row r="195" spans="1:7" x14ac:dyDescent="0.25">
      <c r="A195" s="38"/>
      <c r="B195" s="44" t="str">
        <v/>
      </c>
      <c r="C195" s="45"/>
      <c r="D195" s="45"/>
      <c r="E195" s="45"/>
      <c r="F195" s="46"/>
      <c r="G195" s="42" t="e">
        <f>IF($B195="",NA(),COUNTIFS(May[Contributing Factors],$B195))</f>
        <v>#N/A</v>
      </c>
    </row>
    <row r="196" spans="1:7" ht="15.75" thickBot="1" x14ac:dyDescent="0.3">
      <c r="A196" s="38"/>
      <c r="B196" s="39" t="str">
        <v/>
      </c>
      <c r="C196" s="40"/>
      <c r="D196" s="40"/>
      <c r="E196" s="40"/>
      <c r="F196" s="41"/>
      <c r="G196" s="42" t="e">
        <f>IF($B196="",NA(),COUNTIFS(May[Contributing Factors],$B196))</f>
        <v>#N/A</v>
      </c>
    </row>
    <row r="197" spans="1:7" ht="15.6" customHeight="1" thickBot="1" x14ac:dyDescent="0.3">
      <c r="B197" s="285" t="s">
        <v>35</v>
      </c>
      <c r="C197" s="286"/>
      <c r="D197" s="286"/>
      <c r="E197" s="286"/>
      <c r="F197" s="287"/>
      <c r="G197" s="37">
        <f>_xlfn.AGGREGATE(9,6,G173:G196)</f>
        <v>0</v>
      </c>
    </row>
  </sheetData>
  <sheetProtection algorithmName="SHA-512" hashValue="kERls8aZnwTzl4Kx/uHo4RvHWWNVhZBQoHp7g9mGWaDuadmKx5gV14DErf6/XJniKtEBp/vNW3R9Vrug/rJvTg==" saltValue="Jh6HeLncgrTjjY26jIwmgw==" spinCount="100000" sheet="1" formatCells="0" formatColumns="0" formatRows="0" sort="0" autoFilter="0"/>
  <mergeCells count="61">
    <mergeCell ref="F56:G56"/>
    <mergeCell ref="B51:D51"/>
    <mergeCell ref="F51:H51"/>
    <mergeCell ref="B52:C52"/>
    <mergeCell ref="F52:G52"/>
    <mergeCell ref="B55:C55"/>
    <mergeCell ref="B121:C121"/>
    <mergeCell ref="F58:H58"/>
    <mergeCell ref="F59:G59"/>
    <mergeCell ref="F63:G63"/>
    <mergeCell ref="B65:G65"/>
    <mergeCell ref="B66:F66"/>
    <mergeCell ref="B91:F91"/>
    <mergeCell ref="B93:D93"/>
    <mergeCell ref="B94:C94"/>
    <mergeCell ref="B106:C106"/>
    <mergeCell ref="B108:D108"/>
    <mergeCell ref="B109:C109"/>
    <mergeCell ref="B135:C135"/>
    <mergeCell ref="B123:D123"/>
    <mergeCell ref="B124:C124"/>
    <mergeCell ref="B125:C125"/>
    <mergeCell ref="B126:C126"/>
    <mergeCell ref="B127:C127"/>
    <mergeCell ref="B128:C128"/>
    <mergeCell ref="B129:C129"/>
    <mergeCell ref="B130:C130"/>
    <mergeCell ref="B131:C131"/>
    <mergeCell ref="B132:C132"/>
    <mergeCell ref="B134:D134"/>
    <mergeCell ref="B153:C153"/>
    <mergeCell ref="B141:C141"/>
    <mergeCell ref="B143:D143"/>
    <mergeCell ref="B144:C144"/>
    <mergeCell ref="B145:C145"/>
    <mergeCell ref="B146:C146"/>
    <mergeCell ref="B147:C147"/>
    <mergeCell ref="B148:C148"/>
    <mergeCell ref="B149:C149"/>
    <mergeCell ref="B150:C150"/>
    <mergeCell ref="B151:C151"/>
    <mergeCell ref="B152:C152"/>
    <mergeCell ref="B165:C165"/>
    <mergeCell ref="B154:C154"/>
    <mergeCell ref="B155:C155"/>
    <mergeCell ref="B156:C156"/>
    <mergeCell ref="B157:C157"/>
    <mergeCell ref="B158:C158"/>
    <mergeCell ref="B159:C159"/>
    <mergeCell ref="B160:C160"/>
    <mergeCell ref="B161:C161"/>
    <mergeCell ref="B162:C162"/>
    <mergeCell ref="B163:C163"/>
    <mergeCell ref="B164:C164"/>
    <mergeCell ref="B197:F197"/>
    <mergeCell ref="B166:C166"/>
    <mergeCell ref="B167:C167"/>
    <mergeCell ref="B168:C168"/>
    <mergeCell ref="B169:C169"/>
    <mergeCell ref="B171:G171"/>
    <mergeCell ref="B172:F172"/>
  </mergeCells>
  <conditionalFormatting sqref="C1">
    <cfRule type="expression" dxfId="238" priority="18">
      <formula>OR($C$1="",$C$1=0)</formula>
    </cfRule>
  </conditionalFormatting>
  <conditionalFormatting sqref="D1">
    <cfRule type="cellIs" dxfId="237" priority="19" operator="equal">
      <formula>"Enter year in Data Validation tab"</formula>
    </cfRule>
  </conditionalFormatting>
  <conditionalFormatting sqref="D4:D40">
    <cfRule type="expression" dxfId="236" priority="22">
      <formula>AND($C4&lt;&gt;"",$D4="")</formula>
    </cfRule>
  </conditionalFormatting>
  <conditionalFormatting sqref="D95:D105">
    <cfRule type="expression" dxfId="235" priority="9">
      <formula>ISERROR($D95)</formula>
    </cfRule>
  </conditionalFormatting>
  <conditionalFormatting sqref="D110:D120">
    <cfRule type="expression" dxfId="234" priority="10">
      <formula>ISERROR($D110)</formula>
    </cfRule>
  </conditionalFormatting>
  <conditionalFormatting sqref="D136:D140">
    <cfRule type="expression" dxfId="233" priority="1">
      <formula>ISERROR(D136)</formula>
    </cfRule>
  </conditionalFormatting>
  <conditionalFormatting sqref="E4:E40">
    <cfRule type="expression" dxfId="232" priority="21">
      <formula>AND($C4&lt;&gt;"",$E4="")</formula>
    </cfRule>
  </conditionalFormatting>
  <conditionalFormatting sqref="F4:F40">
    <cfRule type="expression" dxfId="231" priority="14">
      <formula>AND($C4&lt;&gt;"",$F4="")</formula>
    </cfRule>
  </conditionalFormatting>
  <conditionalFormatting sqref="G4:G40">
    <cfRule type="expression" dxfId="230" priority="13">
      <formula>AND($C4&lt;&gt;"",$G4="")</formula>
    </cfRule>
  </conditionalFormatting>
  <conditionalFormatting sqref="G67:G90">
    <cfRule type="expression" dxfId="229" priority="8">
      <formula>ISERROR($G67)</formula>
    </cfRule>
  </conditionalFormatting>
  <conditionalFormatting sqref="G173:G196">
    <cfRule type="expression" dxfId="228" priority="7">
      <formula>ISERROR($G173)</formula>
    </cfRule>
  </conditionalFormatting>
  <conditionalFormatting sqref="H4:H40">
    <cfRule type="expression" dxfId="227" priority="12">
      <formula>AND($C4&lt;&gt;"",$H4="")</formula>
    </cfRule>
  </conditionalFormatting>
  <conditionalFormatting sqref="I4:I40">
    <cfRule type="expression" dxfId="226" priority="11">
      <formula>AND($C4&lt;&gt;"",$I4="")</formula>
    </cfRule>
  </conditionalFormatting>
  <conditionalFormatting sqref="J4:J40">
    <cfRule type="expression" dxfId="225" priority="23">
      <formula>AND($C4&lt;&gt;"",$J4="")</formula>
    </cfRule>
  </conditionalFormatting>
  <conditionalFormatting sqref="L4:L40">
    <cfRule type="expression" dxfId="224" priority="20">
      <formula>AND($C4&lt;&gt;"",$L4="")</formula>
    </cfRule>
  </conditionalFormatting>
  <conditionalFormatting sqref="N4:N40">
    <cfRule type="expression" dxfId="223" priority="25">
      <formula>AND($C4&lt;&gt;"",$N4="")</formula>
    </cfRule>
  </conditionalFormatting>
  <conditionalFormatting sqref="O4:O40">
    <cfRule type="expression" dxfId="222" priority="4">
      <formula>AND($C4&lt;&gt;"",$O4="")</formula>
    </cfRule>
    <cfRule type="cellIs" dxfId="221" priority="15" operator="equal">
      <formula>"Intact (13-15)"</formula>
    </cfRule>
    <cfRule type="cellIs" dxfId="220" priority="16" operator="equal">
      <formula>"Moderate (8-12)"</formula>
    </cfRule>
    <cfRule type="cellIs" dxfId="219" priority="17" operator="equal">
      <formula>"Severe (1-7)"</formula>
    </cfRule>
  </conditionalFormatting>
  <conditionalFormatting sqref="P4:P40">
    <cfRule type="expression" dxfId="218" priority="5">
      <formula>AND($C4&lt;&gt;"",$P4="")</formula>
    </cfRule>
  </conditionalFormatting>
  <conditionalFormatting sqref="Q4:Q40">
    <cfRule type="expression" dxfId="217" priority="3">
      <formula>AND($C4&lt;&gt;"",$Q4="")</formula>
    </cfRule>
  </conditionalFormatting>
  <conditionalFormatting sqref="R4:R40">
    <cfRule type="expression" dxfId="216" priority="26">
      <formula>AND($C4&lt;&gt;"",$R4="")</formula>
    </cfRule>
  </conditionalFormatting>
  <conditionalFormatting sqref="S4:S40">
    <cfRule type="expression" dxfId="215" priority="6">
      <formula>AND($C4&lt;&gt;"",$S4="")</formula>
    </cfRule>
  </conditionalFormatting>
  <conditionalFormatting sqref="T4:T40">
    <cfRule type="expression" dxfId="214" priority="27">
      <formula>AND($C4&lt;&gt;"",$T4="")</formula>
    </cfRule>
  </conditionalFormatting>
  <conditionalFormatting sqref="U4:U40">
    <cfRule type="expression" dxfId="213" priority="24">
      <formula>AND($C4&lt;&gt;"",$U4="")</formula>
    </cfRule>
  </conditionalFormatting>
  <conditionalFormatting sqref="V4:V40">
    <cfRule type="expression" dxfId="212" priority="2">
      <formula>AND($C4&lt;&gt;"",$V4="")</formula>
    </cfRule>
  </conditionalFormatting>
  <dataValidations count="9">
    <dataValidation type="list" allowBlank="1" showInputMessage="1" showErrorMessage="1" sqref="R4:R40" xr:uid="{841CBD64-AD55-4E0C-8783-848BCF576384}">
      <formula1>DV_RCAComp</formula1>
    </dataValidation>
    <dataValidation type="list" allowBlank="1" showInputMessage="1" showErrorMessage="1" sqref="G4:G40" xr:uid="{FEBF6E38-BA82-46EE-ADEA-07A07F2D2914}">
      <formula1>DV_FallCircumstances</formula1>
    </dataValidation>
    <dataValidation type="list" allowBlank="1" showInputMessage="1" showErrorMessage="1" sqref="P4:P40" xr:uid="{2C4D3695-A8F7-4DD0-A19E-5163B70A1EC6}">
      <formula1>DV_PriortoFall</formula1>
    </dataValidation>
    <dataValidation type="list" allowBlank="1" showInputMessage="1" showErrorMessage="1" sqref="F4:F40" xr:uid="{2C504C0A-418C-44AD-93A8-ECDDEC297EF9}">
      <formula1>DV_Witnessed</formula1>
    </dataValidation>
    <dataValidation type="list" allowBlank="1" showInputMessage="1" showErrorMessage="1" sqref="N4:N40" xr:uid="{2B7F37E2-9C2D-4C00-951A-417CDB008F36}">
      <formula1>DV_BIMSScore</formula1>
    </dataValidation>
    <dataValidation type="list" allowBlank="1" showInputMessage="1" showErrorMessage="1" sqref="L4:L40" xr:uid="{06715D0E-52C0-4DF2-9971-94E796C0B72D}">
      <formula1>DV_Shifts</formula1>
    </dataValidation>
    <dataValidation type="list" allowBlank="1" showInputMessage="1" showErrorMessage="1" sqref="J4:J40" xr:uid="{85519D53-FFA8-47E9-AD1A-889FB6655D2D}">
      <formula1>DV_Station</formula1>
    </dataValidation>
    <dataValidation type="list" allowBlank="1" showInputMessage="1" showErrorMessage="1" sqref="I4:I40" xr:uid="{99F497B1-8271-4F0C-8F52-CC12260C797A}">
      <formula1>DV_Location</formula1>
    </dataValidation>
    <dataValidation type="list" allowBlank="1" showInputMessage="1" showErrorMessage="1" sqref="H4:H40" xr:uid="{ABB3447D-F95A-4537-B028-54AA8635BBE4}">
      <formula1>DV_FallType</formula1>
    </dataValidation>
  </dataValidations>
  <printOptions horizontalCentered="1"/>
  <pageMargins left="0.15" right="0.15" top="0.5" bottom="0.25" header="0.3" footer="0.3"/>
  <pageSetup scale="59" fitToHeight="0" orientation="landscape" r:id="rId1"/>
  <rowBreaks count="3" manualBreakCount="3">
    <brk id="49" max="16383" man="1"/>
    <brk id="91" max="16383" man="1"/>
    <brk id="141" max="16383" man="1"/>
  </rowBreaks>
  <drawing r:id="rId2"/>
  <tableParts count="1">
    <tablePart r:id="rId3"/>
  </tableParts>
  <extLst>
    <ext xmlns:x14="http://schemas.microsoft.com/office/spreadsheetml/2009/9/main" uri="{CCE6A557-97BC-4b89-ADB6-D9C93CAAB3DF}">
      <x14:dataValidations xmlns:xm="http://schemas.microsoft.com/office/excel/2006/main" count="1">
        <x14:dataValidation type="list" allowBlank="1" showInputMessage="1" showErrorMessage="1" xr:uid="{88E2144D-5829-4E84-8D6A-18452B1F2CA0}">
          <x14:formula1>
            <xm:f>'Data Validation'!$K$3:$K$26</xm:f>
          </x14:formula1>
          <xm:sqref>S4:S40</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645CB5-44C0-4CAD-8AEC-0C5ACEE1788B}">
  <sheetPr>
    <pageSetUpPr autoPageBreaks="0" fitToPage="1"/>
  </sheetPr>
  <dimension ref="A1:V197"/>
  <sheetViews>
    <sheetView showGridLines="0" zoomScaleNormal="100" zoomScaleSheetLayoutView="98" workbookViewId="0">
      <selection activeCell="B4" sqref="B4"/>
    </sheetView>
  </sheetViews>
  <sheetFormatPr defaultRowHeight="15" x14ac:dyDescent="0.25"/>
  <cols>
    <col min="1" max="1" width="1.28515625" customWidth="1"/>
    <col min="2" max="2" width="5.85546875" customWidth="1"/>
    <col min="3" max="3" width="17.140625" customWidth="1"/>
    <col min="4" max="4" width="9.28515625" customWidth="1"/>
    <col min="5" max="5" width="11" customWidth="1"/>
    <col min="6" max="6" width="8" customWidth="1"/>
    <col min="7" max="7" width="12.140625" customWidth="1"/>
    <col min="8" max="8" width="10.5703125" customWidth="1"/>
    <col min="9" max="9" width="7.7109375" customWidth="1"/>
    <col min="10" max="10" width="6" customWidth="1"/>
    <col min="11" max="11" width="4.7109375" customWidth="1"/>
    <col min="12" max="12" width="9.28515625" customWidth="1"/>
    <col min="13" max="14" width="4.7109375" customWidth="1"/>
    <col min="15" max="15" width="12.140625" customWidth="1"/>
    <col min="16" max="17" width="23.7109375" customWidth="1"/>
    <col min="18" max="18" width="8.7109375" customWidth="1"/>
    <col min="19" max="19" width="23.7109375" customWidth="1"/>
    <col min="20" max="22" width="11.7109375" customWidth="1"/>
    <col min="23" max="24" width="10.7109375" customWidth="1"/>
  </cols>
  <sheetData>
    <row r="1" spans="1:22" ht="18.75" customHeight="1" x14ac:dyDescent="0.25">
      <c r="B1" s="13" t="s">
        <v>28</v>
      </c>
      <c r="C1" s="14">
        <f>'Data Validation'!$C$4</f>
        <v>0</v>
      </c>
      <c r="D1" s="15" t="str">
        <f>IF(OR($C$1="",$C$1=0),"Enter Year in Data Validation tab",'Data Validation'!$C$2&amp;" June ")</f>
        <v>Enter Year in Data Validation tab</v>
      </c>
      <c r="E1" s="16"/>
      <c r="F1" s="16"/>
      <c r="G1" s="16"/>
      <c r="H1" s="16"/>
      <c r="I1" s="16"/>
      <c r="J1" s="16"/>
      <c r="K1" s="16"/>
      <c r="L1" s="16"/>
      <c r="M1" s="16"/>
      <c r="N1" s="4"/>
      <c r="O1" s="16"/>
      <c r="P1" s="16"/>
      <c r="Q1" s="16"/>
      <c r="R1" s="17" t="s">
        <v>59</v>
      </c>
      <c r="S1" s="14" t="str">
        <f>IF(COUNTIFS(June[Resident Name],"&lt;&gt;")=0,"No Data",COUNTIFS(June[Resident Name],"&lt;&gt;"))</f>
        <v>No Data</v>
      </c>
      <c r="T1" s="17" t="s">
        <v>62</v>
      </c>
      <c r="U1" s="14" t="str">
        <f>'Fall Rate and Census'!$Q$35</f>
        <v>No Data</v>
      </c>
    </row>
    <row r="2" spans="1:22" ht="8.1" customHeight="1" x14ac:dyDescent="0.25">
      <c r="B2" s="18"/>
      <c r="C2" s="16"/>
      <c r="D2" s="16"/>
      <c r="E2" s="16"/>
      <c r="F2" s="16"/>
      <c r="G2" s="16"/>
      <c r="H2" s="16"/>
      <c r="I2" s="16"/>
      <c r="J2" s="16"/>
      <c r="K2" s="16"/>
      <c r="L2" s="16"/>
      <c r="M2" s="16"/>
      <c r="N2" s="16"/>
      <c r="O2" s="16"/>
      <c r="P2" s="16"/>
      <c r="Q2" s="16"/>
      <c r="R2" s="16"/>
    </row>
    <row r="3" spans="1:22" ht="22.35" customHeight="1" x14ac:dyDescent="0.25">
      <c r="B3" s="19" t="s">
        <v>104</v>
      </c>
      <c r="C3" s="19" t="s">
        <v>105</v>
      </c>
      <c r="D3" s="20" t="s">
        <v>0</v>
      </c>
      <c r="E3" s="20" t="s">
        <v>89</v>
      </c>
      <c r="F3" s="20" t="s">
        <v>84</v>
      </c>
      <c r="G3" s="20" t="s">
        <v>100</v>
      </c>
      <c r="H3" s="20" t="s">
        <v>90</v>
      </c>
      <c r="I3" s="20" t="s">
        <v>1</v>
      </c>
      <c r="J3" s="20" t="s">
        <v>2</v>
      </c>
      <c r="K3" s="20" t="s">
        <v>3</v>
      </c>
      <c r="L3" s="20" t="s">
        <v>33</v>
      </c>
      <c r="M3" s="20" t="s">
        <v>34</v>
      </c>
      <c r="N3" s="20" t="s">
        <v>26</v>
      </c>
      <c r="O3" s="20" t="s">
        <v>30</v>
      </c>
      <c r="P3" s="19" t="s">
        <v>158</v>
      </c>
      <c r="Q3" s="19" t="s">
        <v>80</v>
      </c>
      <c r="R3" s="20" t="s">
        <v>81</v>
      </c>
      <c r="S3" s="20" t="s">
        <v>92</v>
      </c>
      <c r="T3" s="12" t="s">
        <v>95</v>
      </c>
      <c r="U3" s="12" t="s">
        <v>94</v>
      </c>
      <c r="V3" s="12" t="s">
        <v>96</v>
      </c>
    </row>
    <row r="4" spans="1:22" ht="20.85" customHeight="1" x14ac:dyDescent="0.25">
      <c r="A4" s="21"/>
      <c r="B4" s="266"/>
      <c r="C4" s="5"/>
      <c r="D4" s="263"/>
      <c r="E4" s="263"/>
      <c r="F4" s="266"/>
      <c r="G4" s="267"/>
      <c r="H4" s="2"/>
      <c r="I4" s="2"/>
      <c r="J4" s="2"/>
      <c r="K4" s="24" t="str">
        <f>IF(June[[#This Row],[Date of Incident]]="","",TEXT(June[[#This Row],[Date of Incident]],"ddd"))</f>
        <v/>
      </c>
      <c r="L4" s="1"/>
      <c r="M4" s="24" t="str">
        <f>IFERROR(VLOOKUP(June[[#This Row],[Hour]],Shifts[],2,FALSE),"")</f>
        <v/>
      </c>
      <c r="N4" s="2"/>
      <c r="O4" s="24" t="str">
        <f>IFERROR(VLOOKUP(June[[#This Row],[BIMS Score]],BIMS[],2,FALSE),"")</f>
        <v/>
      </c>
      <c r="P4" s="3"/>
      <c r="Q4" s="3"/>
      <c r="R4" s="2"/>
      <c r="S4" s="168"/>
      <c r="T4" s="3"/>
      <c r="U4" s="3"/>
      <c r="V4" s="3"/>
    </row>
    <row r="5" spans="1:22" ht="20.85" customHeight="1" x14ac:dyDescent="0.25">
      <c r="A5" s="21"/>
      <c r="B5" s="266"/>
      <c r="C5" s="5"/>
      <c r="D5" s="263"/>
      <c r="E5" s="263"/>
      <c r="F5" s="266"/>
      <c r="G5" s="267"/>
      <c r="H5" s="2"/>
      <c r="I5" s="2"/>
      <c r="J5" s="2"/>
      <c r="K5" s="24" t="str">
        <f>IF(June[[#This Row],[Date of Incident]]="","",TEXT(June[[#This Row],[Date of Incident]],"ddd"))</f>
        <v/>
      </c>
      <c r="L5" s="1"/>
      <c r="M5" s="24" t="str">
        <f>IFERROR(VLOOKUP(June[[#This Row],[Hour]],Shifts[],2,FALSE),"")</f>
        <v/>
      </c>
      <c r="N5" s="2"/>
      <c r="O5" s="24" t="str">
        <f>IFERROR(VLOOKUP(June[[#This Row],[BIMS Score]],BIMS[],2,FALSE),"")</f>
        <v/>
      </c>
      <c r="P5" s="3"/>
      <c r="Q5" s="3"/>
      <c r="R5" s="2"/>
      <c r="S5" s="168"/>
      <c r="T5" s="3"/>
      <c r="U5" s="3"/>
      <c r="V5" s="3"/>
    </row>
    <row r="6" spans="1:22" ht="20.85" customHeight="1" x14ac:dyDescent="0.25">
      <c r="A6" s="21"/>
      <c r="B6" s="266"/>
      <c r="C6" s="5"/>
      <c r="D6" s="263"/>
      <c r="E6" s="263"/>
      <c r="F6" s="266"/>
      <c r="G6" s="267"/>
      <c r="H6" s="2"/>
      <c r="I6" s="2"/>
      <c r="J6" s="2"/>
      <c r="K6" s="24" t="str">
        <f>IF(June[[#This Row],[Date of Incident]]="","",TEXT(June[[#This Row],[Date of Incident]],"ddd"))</f>
        <v/>
      </c>
      <c r="L6" s="1"/>
      <c r="M6" s="24" t="str">
        <f>IFERROR(VLOOKUP(June[[#This Row],[Hour]],Shifts[],2,FALSE),"")</f>
        <v/>
      </c>
      <c r="N6" s="2"/>
      <c r="O6" s="24" t="str">
        <f>IFERROR(VLOOKUP(June[[#This Row],[BIMS Score]],BIMS[],2,FALSE),"")</f>
        <v/>
      </c>
      <c r="P6" s="3"/>
      <c r="Q6" s="3"/>
      <c r="R6" s="2"/>
      <c r="S6" s="168"/>
      <c r="T6" s="3"/>
      <c r="U6" s="3"/>
      <c r="V6" s="3"/>
    </row>
    <row r="7" spans="1:22" ht="20.85" customHeight="1" x14ac:dyDescent="0.25">
      <c r="A7" s="21"/>
      <c r="B7" s="266"/>
      <c r="C7" s="5"/>
      <c r="D7" s="263"/>
      <c r="E7" s="263"/>
      <c r="F7" s="266"/>
      <c r="G7" s="267"/>
      <c r="H7" s="2"/>
      <c r="I7" s="2"/>
      <c r="J7" s="2"/>
      <c r="K7" s="24" t="str">
        <f>IF(June[[#This Row],[Date of Incident]]="","",TEXT(June[[#This Row],[Date of Incident]],"ddd"))</f>
        <v/>
      </c>
      <c r="L7" s="1"/>
      <c r="M7" s="24" t="str">
        <f>IFERROR(VLOOKUP(June[[#This Row],[Hour]],Shifts[],2,FALSE),"")</f>
        <v/>
      </c>
      <c r="N7" s="2"/>
      <c r="O7" s="24" t="str">
        <f>IFERROR(VLOOKUP(June[[#This Row],[BIMS Score]],BIMS[],2,FALSE),"")</f>
        <v/>
      </c>
      <c r="P7" s="3"/>
      <c r="Q7" s="3"/>
      <c r="R7" s="2"/>
      <c r="S7" s="168"/>
      <c r="T7" s="3"/>
      <c r="U7" s="3"/>
      <c r="V7" s="3"/>
    </row>
    <row r="8" spans="1:22" ht="20.85" customHeight="1" x14ac:dyDescent="0.25">
      <c r="A8" s="21"/>
      <c r="B8" s="266"/>
      <c r="C8" s="5"/>
      <c r="D8" s="263"/>
      <c r="E8" s="263"/>
      <c r="F8" s="266"/>
      <c r="G8" s="267"/>
      <c r="H8" s="2"/>
      <c r="I8" s="2"/>
      <c r="J8" s="2"/>
      <c r="K8" s="24" t="str">
        <f>IF(June[[#This Row],[Date of Incident]]="","",TEXT(June[[#This Row],[Date of Incident]],"ddd"))</f>
        <v/>
      </c>
      <c r="L8" s="1"/>
      <c r="M8" s="24" t="str">
        <f>IFERROR(VLOOKUP(June[[#This Row],[Hour]],Shifts[],2,FALSE),"")</f>
        <v/>
      </c>
      <c r="N8" s="2"/>
      <c r="O8" s="24" t="str">
        <f>IFERROR(VLOOKUP(June[[#This Row],[BIMS Score]],BIMS[],2,FALSE),"")</f>
        <v/>
      </c>
      <c r="P8" s="3"/>
      <c r="Q8" s="3"/>
      <c r="R8" s="2"/>
      <c r="S8" s="168"/>
      <c r="T8" s="3"/>
      <c r="U8" s="3"/>
      <c r="V8" s="3"/>
    </row>
    <row r="9" spans="1:22" ht="20.85" customHeight="1" x14ac:dyDescent="0.25">
      <c r="A9" s="21"/>
      <c r="B9" s="266"/>
      <c r="C9" s="5"/>
      <c r="D9" s="263"/>
      <c r="E9" s="263"/>
      <c r="F9" s="266"/>
      <c r="G9" s="267"/>
      <c r="H9" s="2"/>
      <c r="I9" s="2"/>
      <c r="J9" s="2"/>
      <c r="K9" s="24" t="str">
        <f>IF(June[[#This Row],[Date of Incident]]="","",TEXT(June[[#This Row],[Date of Incident]],"ddd"))</f>
        <v/>
      </c>
      <c r="L9" s="1"/>
      <c r="M9" s="24" t="str">
        <f>IFERROR(VLOOKUP(June[[#This Row],[Hour]],Shifts[],2,FALSE),"")</f>
        <v/>
      </c>
      <c r="N9" s="2"/>
      <c r="O9" s="24" t="str">
        <f>IFERROR(VLOOKUP(June[[#This Row],[BIMS Score]],BIMS[],2,FALSE),"")</f>
        <v/>
      </c>
      <c r="P9" s="3"/>
      <c r="Q9" s="3"/>
      <c r="R9" s="2"/>
      <c r="S9" s="168"/>
      <c r="T9" s="3"/>
      <c r="U9" s="3"/>
      <c r="V9" s="3"/>
    </row>
    <row r="10" spans="1:22" ht="20.85" customHeight="1" x14ac:dyDescent="0.25">
      <c r="A10" s="21"/>
      <c r="B10" s="266"/>
      <c r="C10" s="5"/>
      <c r="D10" s="263"/>
      <c r="E10" s="263"/>
      <c r="F10" s="266"/>
      <c r="G10" s="267"/>
      <c r="H10" s="2"/>
      <c r="I10" s="2"/>
      <c r="J10" s="2"/>
      <c r="K10" s="24" t="str">
        <f>IF(June[[#This Row],[Date of Incident]]="","",TEXT(June[[#This Row],[Date of Incident]],"ddd"))</f>
        <v/>
      </c>
      <c r="L10" s="1"/>
      <c r="M10" s="24" t="str">
        <f>IFERROR(VLOOKUP(June[[#This Row],[Hour]],Shifts[],2,FALSE),"")</f>
        <v/>
      </c>
      <c r="N10" s="2"/>
      <c r="O10" s="24" t="str">
        <f>IFERROR(VLOOKUP(June[[#This Row],[BIMS Score]],BIMS[],2,FALSE),"")</f>
        <v/>
      </c>
      <c r="P10" s="3"/>
      <c r="Q10" s="3"/>
      <c r="R10" s="2"/>
      <c r="S10" s="168"/>
      <c r="T10" s="3"/>
      <c r="U10" s="3"/>
      <c r="V10" s="3"/>
    </row>
    <row r="11" spans="1:22" ht="20.85" customHeight="1" x14ac:dyDescent="0.25">
      <c r="A11" s="21"/>
      <c r="B11" s="266"/>
      <c r="C11" s="5"/>
      <c r="D11" s="263"/>
      <c r="E11" s="263"/>
      <c r="F11" s="266"/>
      <c r="G11" s="267"/>
      <c r="H11" s="2"/>
      <c r="I11" s="2"/>
      <c r="J11" s="2"/>
      <c r="K11" s="24" t="str">
        <f>IF(June[[#This Row],[Date of Incident]]="","",TEXT(June[[#This Row],[Date of Incident]],"ddd"))</f>
        <v/>
      </c>
      <c r="L11" s="1"/>
      <c r="M11" s="24" t="str">
        <f>IFERROR(VLOOKUP(June[[#This Row],[Hour]],Shifts[],2,FALSE),"")</f>
        <v/>
      </c>
      <c r="N11" s="2"/>
      <c r="O11" s="24" t="str">
        <f>IFERROR(VLOOKUP(June[[#This Row],[BIMS Score]],BIMS[],2,FALSE),"")</f>
        <v/>
      </c>
      <c r="P11" s="3"/>
      <c r="Q11" s="3"/>
      <c r="R11" s="2"/>
      <c r="S11" s="168"/>
      <c r="T11" s="3"/>
      <c r="U11" s="3"/>
      <c r="V11" s="3"/>
    </row>
    <row r="12" spans="1:22" ht="20.85" customHeight="1" x14ac:dyDescent="0.25">
      <c r="A12" s="21"/>
      <c r="B12" s="267"/>
      <c r="C12" s="5"/>
      <c r="D12" s="264"/>
      <c r="E12" s="263"/>
      <c r="F12" s="267"/>
      <c r="G12" s="267"/>
      <c r="H12" s="2"/>
      <c r="I12" s="2"/>
      <c r="J12" s="2"/>
      <c r="K12" s="24" t="str">
        <f>IF(June[[#This Row],[Date of Incident]]="","",TEXT(June[[#This Row],[Date of Incident]],"ddd"))</f>
        <v/>
      </c>
      <c r="L12" s="1"/>
      <c r="M12" s="24" t="str">
        <f>IFERROR(VLOOKUP(June[[#This Row],[Hour]],Shifts[],2,FALSE),"")</f>
        <v/>
      </c>
      <c r="N12" s="2"/>
      <c r="O12" s="24" t="str">
        <f>IFERROR(VLOOKUP(June[[#This Row],[BIMS Score]],BIMS[],2,FALSE),"")</f>
        <v/>
      </c>
      <c r="P12" s="3"/>
      <c r="Q12" s="3"/>
      <c r="R12" s="2"/>
      <c r="S12" s="168"/>
      <c r="T12" s="3"/>
      <c r="U12" s="3"/>
      <c r="V12" s="3"/>
    </row>
    <row r="13" spans="1:22" ht="20.85" customHeight="1" x14ac:dyDescent="0.25">
      <c r="A13" s="21"/>
      <c r="B13" s="267"/>
      <c r="C13" s="5"/>
      <c r="D13" s="264"/>
      <c r="E13" s="263"/>
      <c r="F13" s="267"/>
      <c r="G13" s="267"/>
      <c r="H13" s="2"/>
      <c r="I13" s="2"/>
      <c r="J13" s="2"/>
      <c r="K13" s="24" t="str">
        <f>IF(June[[#This Row],[Date of Incident]]="","",TEXT(June[[#This Row],[Date of Incident]],"ddd"))</f>
        <v/>
      </c>
      <c r="L13" s="1"/>
      <c r="M13" s="24" t="str">
        <f>IFERROR(VLOOKUP(June[[#This Row],[Hour]],Shifts[],2,FALSE),"")</f>
        <v/>
      </c>
      <c r="N13" s="2"/>
      <c r="O13" s="24" t="str">
        <f>IFERROR(VLOOKUP(June[[#This Row],[BIMS Score]],BIMS[],2,FALSE),"")</f>
        <v/>
      </c>
      <c r="P13" s="3"/>
      <c r="Q13" s="3"/>
      <c r="R13" s="2"/>
      <c r="S13" s="168"/>
      <c r="T13" s="3"/>
      <c r="U13" s="3"/>
      <c r="V13" s="3"/>
    </row>
    <row r="14" spans="1:22" ht="20.85" customHeight="1" x14ac:dyDescent="0.25">
      <c r="A14" s="21"/>
      <c r="B14" s="267"/>
      <c r="C14" s="5"/>
      <c r="D14" s="264"/>
      <c r="E14" s="263"/>
      <c r="F14" s="267"/>
      <c r="G14" s="267"/>
      <c r="H14" s="2"/>
      <c r="I14" s="2"/>
      <c r="J14" s="2"/>
      <c r="K14" s="24" t="str">
        <f>IF(June[[#This Row],[Date of Incident]]="","",TEXT(June[[#This Row],[Date of Incident]],"ddd"))</f>
        <v/>
      </c>
      <c r="L14" s="1"/>
      <c r="M14" s="24" t="str">
        <f>IFERROR(VLOOKUP(June[[#This Row],[Hour]],Shifts[],2,FALSE),"")</f>
        <v/>
      </c>
      <c r="N14" s="2"/>
      <c r="O14" s="24" t="str">
        <f>IFERROR(VLOOKUP(June[[#This Row],[BIMS Score]],BIMS[],2,FALSE),"")</f>
        <v/>
      </c>
      <c r="P14" s="3"/>
      <c r="Q14" s="3"/>
      <c r="R14" s="2"/>
      <c r="S14" s="168"/>
      <c r="T14" s="3"/>
      <c r="U14" s="3"/>
      <c r="V14" s="3"/>
    </row>
    <row r="15" spans="1:22" ht="20.85" customHeight="1" x14ac:dyDescent="0.25">
      <c r="A15" s="21"/>
      <c r="B15" s="267"/>
      <c r="C15" s="5"/>
      <c r="D15" s="264"/>
      <c r="E15" s="263"/>
      <c r="F15" s="267"/>
      <c r="G15" s="267"/>
      <c r="H15" s="2"/>
      <c r="I15" s="2"/>
      <c r="J15" s="2"/>
      <c r="K15" s="24" t="str">
        <f>IF(June[[#This Row],[Date of Incident]]="","",TEXT(June[[#This Row],[Date of Incident]],"ddd"))</f>
        <v/>
      </c>
      <c r="L15" s="1"/>
      <c r="M15" s="24" t="str">
        <f>IFERROR(VLOOKUP(June[[#This Row],[Hour]],Shifts[],2,FALSE),"")</f>
        <v/>
      </c>
      <c r="N15" s="2"/>
      <c r="O15" s="24" t="str">
        <f>IFERROR(VLOOKUP(June[[#This Row],[BIMS Score]],BIMS[],2,FALSE),"")</f>
        <v/>
      </c>
      <c r="P15" s="3"/>
      <c r="Q15" s="3"/>
      <c r="R15" s="2"/>
      <c r="S15" s="168"/>
      <c r="T15" s="3"/>
      <c r="U15" s="3"/>
      <c r="V15" s="3"/>
    </row>
    <row r="16" spans="1:22" ht="20.85" customHeight="1" x14ac:dyDescent="0.25">
      <c r="A16" s="21"/>
      <c r="B16" s="267"/>
      <c r="C16" s="3"/>
      <c r="D16" s="264"/>
      <c r="E16" s="264"/>
      <c r="F16" s="267"/>
      <c r="G16" s="267"/>
      <c r="H16" s="2"/>
      <c r="I16" s="2"/>
      <c r="J16" s="2"/>
      <c r="K16" s="24" t="str">
        <f>IF(June[[#This Row],[Date of Incident]]="","",TEXT(June[[#This Row],[Date of Incident]],"ddd"))</f>
        <v/>
      </c>
      <c r="L16" s="1"/>
      <c r="M16" s="24" t="str">
        <f>IFERROR(VLOOKUP(June[[#This Row],[Hour]],Shifts[],2,FALSE),"")</f>
        <v/>
      </c>
      <c r="N16" s="2"/>
      <c r="O16" s="24" t="str">
        <f>IFERROR(VLOOKUP(June[[#This Row],[BIMS Score]],BIMS[],2,FALSE),"")</f>
        <v/>
      </c>
      <c r="P16" s="3"/>
      <c r="Q16" s="3"/>
      <c r="R16" s="2"/>
      <c r="S16" s="168"/>
      <c r="T16" s="3"/>
      <c r="U16" s="3"/>
      <c r="V16" s="3"/>
    </row>
    <row r="17" spans="1:22" ht="20.85" customHeight="1" x14ac:dyDescent="0.25">
      <c r="A17" s="21"/>
      <c r="B17" s="267"/>
      <c r="C17" s="3"/>
      <c r="D17" s="264"/>
      <c r="E17" s="264"/>
      <c r="F17" s="267"/>
      <c r="G17" s="267"/>
      <c r="H17" s="2"/>
      <c r="I17" s="2"/>
      <c r="J17" s="2"/>
      <c r="K17" s="24" t="str">
        <f>IF(June[[#This Row],[Date of Incident]]="","",TEXT(June[[#This Row],[Date of Incident]],"ddd"))</f>
        <v/>
      </c>
      <c r="L17" s="1"/>
      <c r="M17" s="24" t="str">
        <f>IFERROR(VLOOKUP(June[[#This Row],[Hour]],Shifts[],2,FALSE),"")</f>
        <v/>
      </c>
      <c r="N17" s="2"/>
      <c r="O17" s="24" t="str">
        <f>IFERROR(VLOOKUP(June[[#This Row],[BIMS Score]],BIMS[],2,FALSE),"")</f>
        <v/>
      </c>
      <c r="P17" s="3"/>
      <c r="Q17" s="3"/>
      <c r="R17" s="2"/>
      <c r="S17" s="168"/>
      <c r="T17" s="3"/>
      <c r="U17" s="3"/>
      <c r="V17" s="3"/>
    </row>
    <row r="18" spans="1:22" ht="20.85" customHeight="1" x14ac:dyDescent="0.25">
      <c r="A18" s="21"/>
      <c r="B18" s="267"/>
      <c r="C18" s="3"/>
      <c r="D18" s="264"/>
      <c r="E18" s="264"/>
      <c r="F18" s="267"/>
      <c r="G18" s="267"/>
      <c r="H18" s="2"/>
      <c r="I18" s="2"/>
      <c r="J18" s="2"/>
      <c r="K18" s="24" t="str">
        <f>IF(June[[#This Row],[Date of Incident]]="","",TEXT(June[[#This Row],[Date of Incident]],"ddd"))</f>
        <v/>
      </c>
      <c r="L18" s="1"/>
      <c r="M18" s="24" t="str">
        <f>IFERROR(VLOOKUP(June[[#This Row],[Hour]],Shifts[],2,FALSE),"")</f>
        <v/>
      </c>
      <c r="N18" s="2"/>
      <c r="O18" s="24" t="str">
        <f>IFERROR(VLOOKUP(June[[#This Row],[BIMS Score]],BIMS[],2,FALSE),"")</f>
        <v/>
      </c>
      <c r="P18" s="3"/>
      <c r="Q18" s="3"/>
      <c r="R18" s="2"/>
      <c r="S18" s="168"/>
      <c r="T18" s="3"/>
      <c r="U18" s="3"/>
      <c r="V18" s="3"/>
    </row>
    <row r="19" spans="1:22" ht="20.85" customHeight="1" x14ac:dyDescent="0.25">
      <c r="A19" s="21"/>
      <c r="B19" s="267"/>
      <c r="C19" s="3"/>
      <c r="D19" s="264"/>
      <c r="E19" s="264"/>
      <c r="F19" s="267"/>
      <c r="G19" s="267"/>
      <c r="H19" s="2"/>
      <c r="I19" s="2"/>
      <c r="J19" s="2"/>
      <c r="K19" s="24" t="str">
        <f>IF(June[[#This Row],[Date of Incident]]="","",TEXT(June[[#This Row],[Date of Incident]],"ddd"))</f>
        <v/>
      </c>
      <c r="L19" s="1"/>
      <c r="M19" s="24" t="str">
        <f>IFERROR(VLOOKUP(June[[#This Row],[Hour]],Shifts[],2,FALSE),"")</f>
        <v/>
      </c>
      <c r="N19" s="2"/>
      <c r="O19" s="24" t="str">
        <f>IFERROR(VLOOKUP(June[[#This Row],[BIMS Score]],BIMS[],2,FALSE),"")</f>
        <v/>
      </c>
      <c r="P19" s="3"/>
      <c r="Q19" s="3"/>
      <c r="R19" s="2"/>
      <c r="S19" s="168"/>
      <c r="T19" s="3"/>
      <c r="U19" s="3"/>
      <c r="V19" s="3"/>
    </row>
    <row r="20" spans="1:22" ht="20.85" customHeight="1" x14ac:dyDescent="0.25">
      <c r="A20" s="21"/>
      <c r="B20" s="267"/>
      <c r="C20" s="3"/>
      <c r="D20" s="264"/>
      <c r="E20" s="264"/>
      <c r="F20" s="267"/>
      <c r="G20" s="267"/>
      <c r="H20" s="2"/>
      <c r="I20" s="2"/>
      <c r="J20" s="2"/>
      <c r="K20" s="24" t="str">
        <f>IF(June[[#This Row],[Date of Incident]]="","",TEXT(June[[#This Row],[Date of Incident]],"ddd"))</f>
        <v/>
      </c>
      <c r="L20" s="1"/>
      <c r="M20" s="24" t="str">
        <f>IFERROR(VLOOKUP(June[[#This Row],[Hour]],Shifts[],2,FALSE),"")</f>
        <v/>
      </c>
      <c r="N20" s="2"/>
      <c r="O20" s="24" t="str">
        <f>IFERROR(VLOOKUP(June[[#This Row],[BIMS Score]],BIMS[],2,FALSE),"")</f>
        <v/>
      </c>
      <c r="P20" s="3"/>
      <c r="Q20" s="3"/>
      <c r="R20" s="2"/>
      <c r="S20" s="168"/>
      <c r="T20" s="3"/>
      <c r="U20" s="3"/>
      <c r="V20" s="3"/>
    </row>
    <row r="21" spans="1:22" ht="20.85" customHeight="1" x14ac:dyDescent="0.25">
      <c r="A21" s="21"/>
      <c r="B21" s="267"/>
      <c r="C21" s="3"/>
      <c r="D21" s="264"/>
      <c r="E21" s="264"/>
      <c r="F21" s="267"/>
      <c r="G21" s="267"/>
      <c r="H21" s="2"/>
      <c r="I21" s="2"/>
      <c r="J21" s="2"/>
      <c r="K21" s="24" t="str">
        <f>IF(June[[#This Row],[Date of Incident]]="","",TEXT(June[[#This Row],[Date of Incident]],"ddd"))</f>
        <v/>
      </c>
      <c r="L21" s="1"/>
      <c r="M21" s="24" t="str">
        <f>IFERROR(VLOOKUP(June[[#This Row],[Hour]],Shifts[],2,FALSE),"")</f>
        <v/>
      </c>
      <c r="N21" s="2"/>
      <c r="O21" s="24" t="str">
        <f>IFERROR(VLOOKUP(June[[#This Row],[BIMS Score]],BIMS[],2,FALSE),"")</f>
        <v/>
      </c>
      <c r="P21" s="3"/>
      <c r="Q21" s="3"/>
      <c r="R21" s="2"/>
      <c r="S21" s="168"/>
      <c r="T21" s="3"/>
      <c r="U21" s="3"/>
      <c r="V21" s="3"/>
    </row>
    <row r="22" spans="1:22" ht="20.85" customHeight="1" x14ac:dyDescent="0.25">
      <c r="A22" s="21"/>
      <c r="B22" s="267"/>
      <c r="C22" s="3"/>
      <c r="D22" s="264"/>
      <c r="E22" s="264"/>
      <c r="F22" s="267"/>
      <c r="G22" s="267"/>
      <c r="H22" s="2"/>
      <c r="I22" s="2"/>
      <c r="J22" s="2"/>
      <c r="K22" s="24" t="str">
        <f>IF(June[[#This Row],[Date of Incident]]="","",TEXT(June[[#This Row],[Date of Incident]],"ddd"))</f>
        <v/>
      </c>
      <c r="L22" s="1"/>
      <c r="M22" s="24" t="str">
        <f>IFERROR(VLOOKUP(June[[#This Row],[Hour]],Shifts[],2,FALSE),"")</f>
        <v/>
      </c>
      <c r="N22" s="1"/>
      <c r="O22" s="24" t="str">
        <f>IFERROR(VLOOKUP(June[[#This Row],[BIMS Score]],BIMS[],2,FALSE),"")</f>
        <v/>
      </c>
      <c r="P22" s="3"/>
      <c r="Q22" s="3"/>
      <c r="R22" s="2"/>
      <c r="S22" s="168"/>
      <c r="T22" s="3"/>
      <c r="U22" s="3"/>
      <c r="V22" s="3"/>
    </row>
    <row r="23" spans="1:22" ht="20.85" customHeight="1" x14ac:dyDescent="0.25">
      <c r="A23" s="21"/>
      <c r="B23" s="267"/>
      <c r="C23" s="3"/>
      <c r="D23" s="264"/>
      <c r="E23" s="264"/>
      <c r="F23" s="267"/>
      <c r="G23" s="267"/>
      <c r="H23" s="2"/>
      <c r="I23" s="2"/>
      <c r="J23" s="2"/>
      <c r="K23" s="24" t="str">
        <f>IF(June[[#This Row],[Date of Incident]]="","",TEXT(June[[#This Row],[Date of Incident]],"ddd"))</f>
        <v/>
      </c>
      <c r="L23" s="1"/>
      <c r="M23" s="24" t="str">
        <f>IFERROR(VLOOKUP(June[[#This Row],[Hour]],Shifts[],2,FALSE),"")</f>
        <v/>
      </c>
      <c r="N23" s="1"/>
      <c r="O23" s="24" t="str">
        <f>IFERROR(VLOOKUP(June[[#This Row],[BIMS Score]],BIMS[],2,FALSE),"")</f>
        <v/>
      </c>
      <c r="P23" s="3"/>
      <c r="Q23" s="3"/>
      <c r="R23" s="2"/>
      <c r="S23" s="168"/>
      <c r="T23" s="3"/>
      <c r="U23" s="3"/>
      <c r="V23" s="3"/>
    </row>
    <row r="24" spans="1:22" s="10" customFormat="1" ht="20.85" customHeight="1" x14ac:dyDescent="0.25">
      <c r="A24" s="26"/>
      <c r="B24" s="266"/>
      <c r="C24" s="5"/>
      <c r="D24" s="263"/>
      <c r="E24" s="263"/>
      <c r="F24" s="267"/>
      <c r="G24" s="267"/>
      <c r="H24" s="1"/>
      <c r="I24" s="1"/>
      <c r="J24" s="1"/>
      <c r="K24" s="24" t="str">
        <f>IF(June[[#This Row],[Date of Incident]]="","",TEXT(June[[#This Row],[Date of Incident]],"ddd"))</f>
        <v/>
      </c>
      <c r="L24" s="1"/>
      <c r="M24" s="24" t="str">
        <f>IFERROR(VLOOKUP(June[[#This Row],[Hour]],Shifts[],2,FALSE),"")</f>
        <v/>
      </c>
      <c r="N24" s="1"/>
      <c r="O24" s="24" t="str">
        <f>IFERROR(VLOOKUP(June[[#This Row],[BIMS Score]],BIMS[],2,FALSE),"")</f>
        <v/>
      </c>
      <c r="P24" s="3"/>
      <c r="Q24" s="3"/>
      <c r="R24" s="2"/>
      <c r="S24" s="168"/>
      <c r="T24" s="5"/>
      <c r="U24" s="5"/>
      <c r="V24" s="3"/>
    </row>
    <row r="25" spans="1:22" ht="20.85" customHeight="1" x14ac:dyDescent="0.25">
      <c r="A25" s="21"/>
      <c r="B25" s="266"/>
      <c r="C25" s="5"/>
      <c r="D25" s="263"/>
      <c r="E25" s="263"/>
      <c r="F25" s="267"/>
      <c r="G25" s="267"/>
      <c r="H25" s="1"/>
      <c r="I25" s="1"/>
      <c r="J25" s="1"/>
      <c r="K25" s="24" t="str">
        <f>IF(June[[#This Row],[Date of Incident]]="","",TEXT(June[[#This Row],[Date of Incident]],"ddd"))</f>
        <v/>
      </c>
      <c r="L25" s="1"/>
      <c r="M25" s="24" t="str">
        <f>IFERROR(VLOOKUP(June[[#This Row],[Hour]],Shifts[],2,FALSE),"")</f>
        <v/>
      </c>
      <c r="N25" s="1"/>
      <c r="O25" s="24" t="str">
        <f>IFERROR(VLOOKUP(June[[#This Row],[BIMS Score]],BIMS[],2,FALSE),"")</f>
        <v/>
      </c>
      <c r="P25" s="3"/>
      <c r="Q25" s="3"/>
      <c r="R25" s="2"/>
      <c r="S25" s="168"/>
      <c r="T25" s="5"/>
      <c r="U25" s="5"/>
      <c r="V25" s="3"/>
    </row>
    <row r="26" spans="1:22" ht="20.85" customHeight="1" x14ac:dyDescent="0.25">
      <c r="A26" s="21"/>
      <c r="B26" s="266"/>
      <c r="C26" s="5"/>
      <c r="D26" s="263"/>
      <c r="E26" s="263"/>
      <c r="F26" s="267"/>
      <c r="G26" s="267"/>
      <c r="H26" s="1"/>
      <c r="I26" s="1"/>
      <c r="J26" s="1"/>
      <c r="K26" s="24" t="str">
        <f>IF(June[[#This Row],[Date of Incident]]="","",TEXT(June[[#This Row],[Date of Incident]],"ddd"))</f>
        <v/>
      </c>
      <c r="L26" s="1"/>
      <c r="M26" s="24" t="str">
        <f>IFERROR(VLOOKUP(June[[#This Row],[Hour]],Shifts[],2,FALSE),"")</f>
        <v/>
      </c>
      <c r="N26" s="1"/>
      <c r="O26" s="24" t="str">
        <f>IFERROR(VLOOKUP(June[[#This Row],[BIMS Score]],BIMS[],2,FALSE),"")</f>
        <v/>
      </c>
      <c r="P26" s="3"/>
      <c r="Q26" s="3"/>
      <c r="R26" s="2"/>
      <c r="S26" s="168"/>
      <c r="T26" s="5"/>
      <c r="U26" s="5"/>
      <c r="V26" s="3"/>
    </row>
    <row r="27" spans="1:22" ht="20.85" customHeight="1" x14ac:dyDescent="0.25">
      <c r="A27" s="21"/>
      <c r="B27" s="266"/>
      <c r="C27" s="5"/>
      <c r="D27" s="263"/>
      <c r="E27" s="263"/>
      <c r="F27" s="267"/>
      <c r="G27" s="267"/>
      <c r="H27" s="1"/>
      <c r="I27" s="1"/>
      <c r="J27" s="1"/>
      <c r="K27" s="24" t="str">
        <f>IF(June[[#This Row],[Date of Incident]]="","",TEXT(June[[#This Row],[Date of Incident]],"ddd"))</f>
        <v/>
      </c>
      <c r="L27" s="1"/>
      <c r="M27" s="24" t="str">
        <f>IFERROR(VLOOKUP(June[[#This Row],[Hour]],Shifts[],2,FALSE),"")</f>
        <v/>
      </c>
      <c r="N27" s="1"/>
      <c r="O27" s="24" t="str">
        <f>IFERROR(VLOOKUP(June[[#This Row],[BIMS Score]],BIMS[],2,FALSE),"")</f>
        <v/>
      </c>
      <c r="P27" s="3"/>
      <c r="Q27" s="3"/>
      <c r="R27" s="2"/>
      <c r="S27" s="168"/>
      <c r="T27" s="5"/>
      <c r="U27" s="5"/>
      <c r="V27" s="3"/>
    </row>
    <row r="28" spans="1:22" ht="20.85" customHeight="1" x14ac:dyDescent="0.25">
      <c r="A28" s="21"/>
      <c r="B28" s="266"/>
      <c r="C28" s="5"/>
      <c r="D28" s="263"/>
      <c r="E28" s="263"/>
      <c r="F28" s="267"/>
      <c r="G28" s="267"/>
      <c r="H28" s="1"/>
      <c r="I28" s="1"/>
      <c r="J28" s="1"/>
      <c r="K28" s="24" t="str">
        <f>IF(June[[#This Row],[Date of Incident]]="","",TEXT(June[[#This Row],[Date of Incident]],"ddd"))</f>
        <v/>
      </c>
      <c r="L28" s="1"/>
      <c r="M28" s="24" t="str">
        <f>IFERROR(VLOOKUP(June[[#This Row],[Hour]],Shifts[],2,FALSE),"")</f>
        <v/>
      </c>
      <c r="N28" s="1"/>
      <c r="O28" s="24" t="str">
        <f>IFERROR(VLOOKUP(June[[#This Row],[BIMS Score]],BIMS[],2,FALSE),"")</f>
        <v/>
      </c>
      <c r="P28" s="3"/>
      <c r="Q28" s="3"/>
      <c r="R28" s="2"/>
      <c r="S28" s="168"/>
      <c r="T28" s="5"/>
      <c r="U28" s="5"/>
      <c r="V28" s="3"/>
    </row>
    <row r="29" spans="1:22" ht="20.85" customHeight="1" x14ac:dyDescent="0.25">
      <c r="B29" s="266"/>
      <c r="C29" s="5"/>
      <c r="D29" s="263"/>
      <c r="E29" s="263"/>
      <c r="F29" s="267"/>
      <c r="G29" s="267"/>
      <c r="H29" s="1"/>
      <c r="I29" s="1"/>
      <c r="J29" s="1"/>
      <c r="K29" s="27" t="str">
        <f>IF(June[[#This Row],[Date of Incident]]="","",TEXT(June[[#This Row],[Date of Incident]],"ddd"))</f>
        <v/>
      </c>
      <c r="L29" s="1"/>
      <c r="M29" s="27" t="str">
        <f>IFERROR(VLOOKUP(June[[#This Row],[Hour]],Shifts[],2,FALSE),"")</f>
        <v/>
      </c>
      <c r="N29" s="2"/>
      <c r="O29" s="24" t="str">
        <f>IFERROR(VLOOKUP(June[[#This Row],[BIMS Score]],BIMS[],2,FALSE),"")</f>
        <v/>
      </c>
      <c r="P29" s="3"/>
      <c r="Q29" s="3"/>
      <c r="R29" s="2"/>
      <c r="S29" s="168"/>
      <c r="T29" s="5"/>
      <c r="U29" s="5"/>
      <c r="V29" s="5"/>
    </row>
    <row r="30" spans="1:22" ht="20.85" customHeight="1" x14ac:dyDescent="0.25">
      <c r="B30" s="266"/>
      <c r="C30" s="5"/>
      <c r="D30" s="263"/>
      <c r="E30" s="263"/>
      <c r="F30" s="267"/>
      <c r="G30" s="267"/>
      <c r="H30" s="1"/>
      <c r="I30" s="1"/>
      <c r="J30" s="1"/>
      <c r="K30" s="27" t="str">
        <f>IF(June[[#This Row],[Date of Incident]]="","",TEXT(June[[#This Row],[Date of Incident]],"ddd"))</f>
        <v/>
      </c>
      <c r="L30" s="1"/>
      <c r="M30" s="27" t="str">
        <f>IFERROR(VLOOKUP(June[[#This Row],[Hour]],Shifts[],2,FALSE),"")</f>
        <v/>
      </c>
      <c r="N30" s="2"/>
      <c r="O30" s="24" t="str">
        <f>IFERROR(VLOOKUP(June[[#This Row],[BIMS Score]],BIMS[],2,FALSE),"")</f>
        <v/>
      </c>
      <c r="P30" s="3"/>
      <c r="Q30" s="3"/>
      <c r="R30" s="2"/>
      <c r="S30" s="168"/>
      <c r="T30" s="5"/>
      <c r="U30" s="5"/>
      <c r="V30" s="5"/>
    </row>
    <row r="31" spans="1:22" ht="20.85" customHeight="1" x14ac:dyDescent="0.25">
      <c r="B31" s="266"/>
      <c r="C31" s="5"/>
      <c r="D31" s="263"/>
      <c r="E31" s="263"/>
      <c r="F31" s="267"/>
      <c r="G31" s="267"/>
      <c r="H31" s="1"/>
      <c r="I31" s="1"/>
      <c r="J31" s="1"/>
      <c r="K31" s="27" t="str">
        <f>IF(June[[#This Row],[Date of Incident]]="","",TEXT(June[[#This Row],[Date of Incident]],"ddd"))</f>
        <v/>
      </c>
      <c r="L31" s="1"/>
      <c r="M31" s="27" t="str">
        <f>IFERROR(VLOOKUP(June[[#This Row],[Hour]],Shifts[],2,FALSE),"")</f>
        <v/>
      </c>
      <c r="N31" s="2"/>
      <c r="O31" s="24" t="str">
        <f>IFERROR(VLOOKUP(June[[#This Row],[BIMS Score]],BIMS[],2,FALSE),"")</f>
        <v/>
      </c>
      <c r="P31" s="3"/>
      <c r="Q31" s="3"/>
      <c r="R31" s="2"/>
      <c r="S31" s="168"/>
      <c r="T31" s="5"/>
      <c r="U31" s="5"/>
      <c r="V31" s="5"/>
    </row>
    <row r="32" spans="1:22" ht="20.85" customHeight="1" x14ac:dyDescent="0.25">
      <c r="B32" s="266"/>
      <c r="C32" s="5"/>
      <c r="D32" s="263"/>
      <c r="E32" s="263"/>
      <c r="F32" s="267"/>
      <c r="G32" s="267"/>
      <c r="H32" s="1"/>
      <c r="I32" s="1"/>
      <c r="J32" s="1"/>
      <c r="K32" s="27" t="str">
        <f>IF(June[[#This Row],[Date of Incident]]="","",TEXT(June[[#This Row],[Date of Incident]],"ddd"))</f>
        <v/>
      </c>
      <c r="L32" s="1"/>
      <c r="M32" s="27" t="str">
        <f>IFERROR(VLOOKUP(June[[#This Row],[Hour]],Shifts[],2,FALSE),"")</f>
        <v/>
      </c>
      <c r="N32" s="2"/>
      <c r="O32" s="24" t="str">
        <f>IFERROR(VLOOKUP(June[[#This Row],[BIMS Score]],BIMS[],2,FALSE),"")</f>
        <v/>
      </c>
      <c r="P32" s="3"/>
      <c r="Q32" s="3"/>
      <c r="R32" s="2"/>
      <c r="S32" s="168"/>
      <c r="T32" s="5"/>
      <c r="U32" s="5"/>
      <c r="V32" s="5"/>
    </row>
    <row r="33" spans="2:22" ht="20.85" customHeight="1" x14ac:dyDescent="0.25">
      <c r="B33" s="266"/>
      <c r="C33" s="5"/>
      <c r="D33" s="263"/>
      <c r="E33" s="263"/>
      <c r="F33" s="267"/>
      <c r="G33" s="267"/>
      <c r="H33" s="1"/>
      <c r="I33" s="1"/>
      <c r="J33" s="1"/>
      <c r="K33" s="27" t="str">
        <f>IF(June[[#This Row],[Date of Incident]]="","",TEXT(June[[#This Row],[Date of Incident]],"ddd"))</f>
        <v/>
      </c>
      <c r="L33" s="1"/>
      <c r="M33" s="27" t="str">
        <f>IFERROR(VLOOKUP(June[[#This Row],[Hour]],Shifts[],2,FALSE),"")</f>
        <v/>
      </c>
      <c r="N33" s="2"/>
      <c r="O33" s="24" t="str">
        <f>IFERROR(VLOOKUP(June[[#This Row],[BIMS Score]],BIMS[],2,FALSE),"")</f>
        <v/>
      </c>
      <c r="P33" s="3"/>
      <c r="Q33" s="3"/>
      <c r="R33" s="2"/>
      <c r="S33" s="168"/>
      <c r="T33" s="5"/>
      <c r="U33" s="5"/>
      <c r="V33" s="5"/>
    </row>
    <row r="34" spans="2:22" ht="20.85" customHeight="1" x14ac:dyDescent="0.25">
      <c r="B34" s="266"/>
      <c r="C34" s="5"/>
      <c r="D34" s="263"/>
      <c r="E34" s="263"/>
      <c r="F34" s="267"/>
      <c r="G34" s="267"/>
      <c r="H34" s="1"/>
      <c r="I34" s="1"/>
      <c r="J34" s="1"/>
      <c r="K34" s="27" t="str">
        <f>IF(June[[#This Row],[Date of Incident]]="","",TEXT(June[[#This Row],[Date of Incident]],"ddd"))</f>
        <v/>
      </c>
      <c r="L34" s="1"/>
      <c r="M34" s="27" t="str">
        <f>IFERROR(VLOOKUP(June[[#This Row],[Hour]],Shifts[],2,FALSE),"")</f>
        <v/>
      </c>
      <c r="N34" s="2"/>
      <c r="O34" s="24" t="str">
        <f>IFERROR(VLOOKUP(June[[#This Row],[BIMS Score]],BIMS[],2,FALSE),"")</f>
        <v/>
      </c>
      <c r="P34" s="3"/>
      <c r="Q34" s="3"/>
      <c r="R34" s="2"/>
      <c r="S34" s="168"/>
      <c r="T34" s="5"/>
      <c r="U34" s="5"/>
      <c r="V34" s="5"/>
    </row>
    <row r="35" spans="2:22" ht="20.85" customHeight="1" x14ac:dyDescent="0.25">
      <c r="B35" s="266"/>
      <c r="C35" s="5"/>
      <c r="D35" s="263"/>
      <c r="E35" s="263"/>
      <c r="F35" s="267"/>
      <c r="G35" s="267"/>
      <c r="H35" s="1"/>
      <c r="I35" s="1"/>
      <c r="J35" s="1"/>
      <c r="K35" s="27" t="str">
        <f>IF(June[[#This Row],[Date of Incident]]="","",TEXT(June[[#This Row],[Date of Incident]],"ddd"))</f>
        <v/>
      </c>
      <c r="L35" s="1"/>
      <c r="M35" s="27" t="str">
        <f>IFERROR(VLOOKUP(June[[#This Row],[Hour]],Shifts[],2,FALSE),"")</f>
        <v/>
      </c>
      <c r="N35" s="2"/>
      <c r="O35" s="24" t="str">
        <f>IFERROR(VLOOKUP(June[[#This Row],[BIMS Score]],BIMS[],2,FALSE),"")</f>
        <v/>
      </c>
      <c r="P35" s="3"/>
      <c r="Q35" s="3"/>
      <c r="R35" s="2"/>
      <c r="S35" s="168"/>
      <c r="T35" s="5"/>
      <c r="U35" s="5"/>
      <c r="V35" s="5"/>
    </row>
    <row r="36" spans="2:22" ht="20.85" customHeight="1" x14ac:dyDescent="0.25">
      <c r="B36" s="266"/>
      <c r="C36" s="5"/>
      <c r="D36" s="263"/>
      <c r="E36" s="263"/>
      <c r="F36" s="267"/>
      <c r="G36" s="267"/>
      <c r="H36" s="1"/>
      <c r="I36" s="1"/>
      <c r="J36" s="1"/>
      <c r="K36" s="27" t="str">
        <f>IF(June[[#This Row],[Date of Incident]]="","",TEXT(June[[#This Row],[Date of Incident]],"ddd"))</f>
        <v/>
      </c>
      <c r="L36" s="1"/>
      <c r="M36" s="27" t="str">
        <f>IFERROR(VLOOKUP(June[[#This Row],[Hour]],Shifts[],2,FALSE),"")</f>
        <v/>
      </c>
      <c r="N36" s="2"/>
      <c r="O36" s="24" t="str">
        <f>IFERROR(VLOOKUP(June[[#This Row],[BIMS Score]],BIMS[],2,FALSE),"")</f>
        <v/>
      </c>
      <c r="P36" s="3"/>
      <c r="Q36" s="3"/>
      <c r="R36" s="2"/>
      <c r="S36" s="168"/>
      <c r="T36" s="5"/>
      <c r="U36" s="5"/>
      <c r="V36" s="5"/>
    </row>
    <row r="37" spans="2:22" ht="20.85" customHeight="1" x14ac:dyDescent="0.25">
      <c r="B37" s="266"/>
      <c r="C37" s="5"/>
      <c r="D37" s="263"/>
      <c r="E37" s="263"/>
      <c r="F37" s="267"/>
      <c r="G37" s="267"/>
      <c r="H37" s="1"/>
      <c r="I37" s="1"/>
      <c r="J37" s="1"/>
      <c r="K37" s="27" t="str">
        <f>IF(June[[#This Row],[Date of Incident]]="","",TEXT(June[[#This Row],[Date of Incident]],"ddd"))</f>
        <v/>
      </c>
      <c r="L37" s="1"/>
      <c r="M37" s="27" t="str">
        <f>IFERROR(VLOOKUP(June[[#This Row],[Hour]],Shifts[],2,FALSE),"")</f>
        <v/>
      </c>
      <c r="N37" s="2"/>
      <c r="O37" s="24" t="str">
        <f>IFERROR(VLOOKUP(June[[#This Row],[BIMS Score]],BIMS[],2,FALSE),"")</f>
        <v/>
      </c>
      <c r="P37" s="3"/>
      <c r="Q37" s="3"/>
      <c r="R37" s="2"/>
      <c r="S37" s="168"/>
      <c r="T37" s="5"/>
      <c r="U37" s="5"/>
      <c r="V37" s="5"/>
    </row>
    <row r="38" spans="2:22" ht="20.85" customHeight="1" x14ac:dyDescent="0.25">
      <c r="B38" s="266"/>
      <c r="C38" s="5"/>
      <c r="D38" s="263"/>
      <c r="E38" s="263"/>
      <c r="F38" s="267"/>
      <c r="G38" s="267"/>
      <c r="H38" s="1"/>
      <c r="I38" s="1"/>
      <c r="J38" s="1"/>
      <c r="K38" s="27" t="str">
        <f>IF(June[[#This Row],[Date of Incident]]="","",TEXT(June[[#This Row],[Date of Incident]],"ddd"))</f>
        <v/>
      </c>
      <c r="L38" s="1"/>
      <c r="M38" s="27" t="str">
        <f>IFERROR(VLOOKUP(June[[#This Row],[Hour]],Shifts[],2,FALSE),"")</f>
        <v/>
      </c>
      <c r="N38" s="2"/>
      <c r="O38" s="24" t="str">
        <f>IFERROR(VLOOKUP(June[[#This Row],[BIMS Score]],BIMS[],2,FALSE),"")</f>
        <v/>
      </c>
      <c r="P38" s="3"/>
      <c r="Q38" s="3"/>
      <c r="R38" s="2"/>
      <c r="S38" s="168"/>
      <c r="T38" s="5"/>
      <c r="U38" s="5"/>
      <c r="V38" s="5"/>
    </row>
    <row r="39" spans="2:22" ht="20.85" customHeight="1" x14ac:dyDescent="0.25">
      <c r="B39" s="266"/>
      <c r="C39" s="5"/>
      <c r="D39" s="263"/>
      <c r="E39" s="263"/>
      <c r="F39" s="267"/>
      <c r="G39" s="267"/>
      <c r="H39" s="1"/>
      <c r="I39" s="1"/>
      <c r="J39" s="1"/>
      <c r="K39" s="27" t="str">
        <f>IF(June[[#This Row],[Date of Incident]]="","",TEXT(June[[#This Row],[Date of Incident]],"ddd"))</f>
        <v/>
      </c>
      <c r="L39" s="1"/>
      <c r="M39" s="27" t="str">
        <f>IFERROR(VLOOKUP(June[[#This Row],[Hour]],Shifts[],2,FALSE),"")</f>
        <v/>
      </c>
      <c r="N39" s="2"/>
      <c r="O39" s="24" t="str">
        <f>IFERROR(VLOOKUP(June[[#This Row],[BIMS Score]],BIMS[],2,FALSE),"")</f>
        <v/>
      </c>
      <c r="P39" s="3"/>
      <c r="Q39" s="3"/>
      <c r="R39" s="2"/>
      <c r="S39" s="168"/>
      <c r="T39" s="5"/>
      <c r="U39" s="5"/>
      <c r="V39" s="5"/>
    </row>
    <row r="40" spans="2:22" ht="20.85" customHeight="1" x14ac:dyDescent="0.25">
      <c r="B40" s="266"/>
      <c r="C40" s="5"/>
      <c r="D40" s="263"/>
      <c r="E40" s="263"/>
      <c r="F40" s="267"/>
      <c r="G40" s="267"/>
      <c r="H40" s="1"/>
      <c r="I40" s="1"/>
      <c r="J40" s="1"/>
      <c r="K40" s="27" t="str">
        <f>IF(June[[#This Row],[Date of Incident]]="","",TEXT(June[[#This Row],[Date of Incident]],"ddd"))</f>
        <v/>
      </c>
      <c r="L40" s="1"/>
      <c r="M40" s="27" t="str">
        <f>IFERROR(VLOOKUP(June[[#This Row],[Hour]],Shifts[],2,FALSE),"")</f>
        <v/>
      </c>
      <c r="N40" s="2"/>
      <c r="O40" s="24" t="str">
        <f>IFERROR(VLOOKUP(June[[#This Row],[BIMS Score]],BIMS[],2,FALSE),"")</f>
        <v/>
      </c>
      <c r="P40" s="3"/>
      <c r="Q40" s="3"/>
      <c r="R40" s="2"/>
      <c r="S40" s="168"/>
      <c r="T40" s="5"/>
      <c r="U40" s="5"/>
      <c r="V40" s="5"/>
    </row>
    <row r="41" spans="2:22" x14ac:dyDescent="0.25">
      <c r="B41" s="26"/>
      <c r="C41" s="21"/>
      <c r="D41" s="22"/>
      <c r="E41" s="23"/>
      <c r="F41" s="26"/>
      <c r="G41" s="26"/>
      <c r="H41" s="26"/>
      <c r="I41" s="26"/>
      <c r="J41" s="26"/>
      <c r="K41" s="26"/>
      <c r="L41" s="26"/>
      <c r="M41" s="26"/>
      <c r="N41" s="20"/>
      <c r="O41" s="25"/>
      <c r="P41" s="21"/>
      <c r="Q41" s="21"/>
      <c r="R41" s="25"/>
    </row>
    <row r="42" spans="2:22" x14ac:dyDescent="0.25">
      <c r="B42" s="26"/>
      <c r="C42" s="21"/>
      <c r="D42" s="22"/>
      <c r="E42" s="23"/>
      <c r="F42" s="26"/>
      <c r="G42" s="26"/>
      <c r="H42" s="26"/>
      <c r="I42" s="26"/>
      <c r="J42" s="26"/>
      <c r="K42" s="26"/>
      <c r="L42" s="26"/>
      <c r="M42" s="26"/>
      <c r="N42" s="20"/>
      <c r="O42" s="25"/>
      <c r="P42" s="21"/>
      <c r="Q42" s="21"/>
      <c r="R42" s="25"/>
    </row>
    <row r="43" spans="2:22" x14ac:dyDescent="0.25">
      <c r="B43" s="26"/>
      <c r="C43" s="21"/>
      <c r="D43" s="22"/>
      <c r="E43" s="23"/>
      <c r="F43" s="26"/>
      <c r="G43" s="26"/>
      <c r="H43" s="26"/>
      <c r="I43" s="26"/>
      <c r="J43" s="26"/>
      <c r="K43" s="26"/>
      <c r="L43" s="26"/>
      <c r="M43" s="26"/>
      <c r="N43" s="20"/>
      <c r="O43" s="25"/>
      <c r="P43" s="21"/>
      <c r="Q43" s="21"/>
      <c r="R43" s="25"/>
    </row>
    <row r="44" spans="2:22" x14ac:dyDescent="0.25">
      <c r="B44" s="26"/>
      <c r="C44" s="21"/>
      <c r="D44" s="22"/>
      <c r="E44" s="23"/>
      <c r="F44" s="26"/>
      <c r="G44" s="26"/>
      <c r="H44" s="26"/>
      <c r="I44" s="26"/>
      <c r="J44" s="26"/>
      <c r="K44" s="26"/>
      <c r="L44" s="26"/>
      <c r="M44" s="26"/>
      <c r="N44" s="20"/>
      <c r="O44" s="25"/>
      <c r="P44" s="21"/>
      <c r="Q44" s="21"/>
      <c r="R44" s="25"/>
    </row>
    <row r="45" spans="2:22" x14ac:dyDescent="0.25">
      <c r="B45" s="26"/>
      <c r="C45" s="21"/>
      <c r="D45" s="22"/>
      <c r="E45" s="23"/>
      <c r="F45" s="26"/>
      <c r="G45" s="26"/>
      <c r="H45" s="26"/>
      <c r="I45" s="26"/>
      <c r="J45" s="26"/>
      <c r="K45" s="26"/>
      <c r="L45" s="26"/>
      <c r="M45" s="26"/>
      <c r="N45" s="20"/>
      <c r="O45" s="25"/>
      <c r="P45" s="21"/>
      <c r="Q45" s="21"/>
      <c r="R45" s="25"/>
    </row>
    <row r="46" spans="2:22" x14ac:dyDescent="0.25">
      <c r="B46" s="26"/>
      <c r="C46" s="21"/>
      <c r="D46" s="22"/>
      <c r="E46" s="23"/>
      <c r="F46" s="26"/>
      <c r="G46" s="26"/>
      <c r="H46" s="26"/>
      <c r="I46" s="26"/>
      <c r="J46" s="26"/>
      <c r="K46" s="26"/>
      <c r="L46" s="26"/>
      <c r="M46" s="26"/>
      <c r="N46" s="20"/>
      <c r="O46" s="25"/>
      <c r="P46" s="21"/>
      <c r="Q46" s="21"/>
      <c r="R46" s="25"/>
    </row>
    <row r="47" spans="2:22" x14ac:dyDescent="0.25">
      <c r="B47" s="26"/>
      <c r="C47" s="21"/>
      <c r="D47" s="22"/>
      <c r="E47" s="23"/>
      <c r="F47" s="26"/>
      <c r="G47" s="26"/>
      <c r="H47" s="26"/>
      <c r="I47" s="26"/>
      <c r="J47" s="26"/>
      <c r="K47" s="26"/>
      <c r="L47" s="26"/>
      <c r="M47" s="26"/>
      <c r="N47" s="20"/>
      <c r="O47" s="25"/>
      <c r="P47" s="21"/>
      <c r="Q47" s="21"/>
      <c r="R47" s="25"/>
    </row>
    <row r="48" spans="2:22" x14ac:dyDescent="0.25">
      <c r="B48" s="26"/>
      <c r="C48" s="21"/>
      <c r="D48" s="22"/>
      <c r="E48" s="23"/>
      <c r="F48" s="26"/>
      <c r="G48" s="26"/>
      <c r="H48" s="26"/>
      <c r="I48" s="26"/>
      <c r="J48" s="26"/>
      <c r="K48" s="26"/>
      <c r="L48" s="26"/>
      <c r="M48" s="26"/>
      <c r="N48" s="20"/>
      <c r="O48" s="25"/>
      <c r="P48" s="21"/>
      <c r="Q48" s="21"/>
      <c r="R48" s="25"/>
    </row>
    <row r="49" spans="1:18" x14ac:dyDescent="0.25">
      <c r="B49" s="26"/>
      <c r="C49" s="21"/>
      <c r="D49" s="22"/>
      <c r="E49" s="23"/>
      <c r="F49" s="26"/>
      <c r="G49" s="26"/>
      <c r="H49" s="26"/>
      <c r="I49" s="26"/>
      <c r="J49" s="26"/>
      <c r="K49" s="26"/>
      <c r="L49" s="26"/>
      <c r="M49" s="26"/>
      <c r="N49" s="20"/>
      <c r="O49" s="25"/>
      <c r="P49" s="21"/>
      <c r="Q49" s="21"/>
      <c r="R49" s="25"/>
    </row>
    <row r="50" spans="1:18" ht="15.75" thickBot="1" x14ac:dyDescent="0.3">
      <c r="B50" s="26"/>
      <c r="C50" s="21"/>
      <c r="D50" s="22"/>
      <c r="E50" s="23"/>
      <c r="F50" s="26"/>
      <c r="G50" s="26"/>
      <c r="H50" s="26"/>
      <c r="I50" s="26"/>
      <c r="Q50" s="21"/>
    </row>
    <row r="51" spans="1:18" ht="22.35" customHeight="1" thickBot="1" x14ac:dyDescent="0.3">
      <c r="B51" s="280" t="s">
        <v>85</v>
      </c>
      <c r="C51" s="281"/>
      <c r="D51" s="282"/>
      <c r="F51" s="280" t="s">
        <v>100</v>
      </c>
      <c r="G51" s="281"/>
      <c r="H51" s="282"/>
    </row>
    <row r="52" spans="1:18" ht="15.6" customHeight="1" x14ac:dyDescent="0.25">
      <c r="B52" s="283" t="s">
        <v>83</v>
      </c>
      <c r="C52" s="284"/>
      <c r="D52" s="28" t="s">
        <v>35</v>
      </c>
      <c r="F52" s="283" t="s">
        <v>83</v>
      </c>
      <c r="G52" s="284"/>
      <c r="H52" s="28" t="s">
        <v>35</v>
      </c>
    </row>
    <row r="53" spans="1:18" x14ac:dyDescent="0.25">
      <c r="B53" s="29" t="s">
        <v>41</v>
      </c>
      <c r="C53" s="30"/>
      <c r="D53" s="31">
        <f>COUNTIFS(June[Witnessed
Fall?],$B53)</f>
        <v>0</v>
      </c>
      <c r="F53" s="29" t="s">
        <v>79</v>
      </c>
      <c r="G53" s="30"/>
      <c r="H53" s="31">
        <f>COUNTIFS(June[Fall Circumstances],$F53)</f>
        <v>0</v>
      </c>
    </row>
    <row r="54" spans="1:18" ht="15.75" thickBot="1" x14ac:dyDescent="0.3">
      <c r="B54" s="32" t="s">
        <v>42</v>
      </c>
      <c r="C54" s="33"/>
      <c r="D54" s="34">
        <f>COUNTIFS(June[Witnessed
Fall?],$B54)</f>
        <v>0</v>
      </c>
      <c r="F54" s="29" t="s">
        <v>101</v>
      </c>
      <c r="G54" s="30"/>
      <c r="H54" s="31">
        <f>COUNTIFS(June[Fall Circumstances],$F54)</f>
        <v>0</v>
      </c>
    </row>
    <row r="55" spans="1:18" ht="15.6" customHeight="1" thickBot="1" x14ac:dyDescent="0.3">
      <c r="B55" s="285" t="s">
        <v>16</v>
      </c>
      <c r="C55" s="286"/>
      <c r="D55" s="35">
        <f>SUM(D53:D54)</f>
        <v>0</v>
      </c>
      <c r="F55" s="32" t="s">
        <v>102</v>
      </c>
      <c r="G55" s="33"/>
      <c r="H55" s="36">
        <f>COUNTIFS(June[Fall Circumstances],$F55)</f>
        <v>0</v>
      </c>
    </row>
    <row r="56" spans="1:18" ht="15.6" customHeight="1" thickBot="1" x14ac:dyDescent="0.3">
      <c r="A56" s="26"/>
      <c r="B56" s="21"/>
      <c r="C56" s="22"/>
      <c r="D56" s="26"/>
      <c r="F56" s="285" t="s">
        <v>16</v>
      </c>
      <c r="G56" s="286"/>
      <c r="H56" s="37">
        <f>SUM(H53:H55)</f>
        <v>0</v>
      </c>
    </row>
    <row r="57" spans="1:18" ht="15.75" thickBot="1" x14ac:dyDescent="0.3">
      <c r="A57" s="26"/>
      <c r="B57" s="21"/>
      <c r="C57" s="22"/>
      <c r="D57" s="26"/>
      <c r="F57" s="26"/>
      <c r="G57" s="21"/>
      <c r="H57" s="22"/>
      <c r="L57" s="21"/>
      <c r="O57" s="22"/>
    </row>
    <row r="58" spans="1:18" ht="15.75" thickBot="1" x14ac:dyDescent="0.3">
      <c r="A58" s="26"/>
      <c r="B58" s="21"/>
      <c r="C58" s="22"/>
      <c r="D58" s="26"/>
      <c r="F58" s="280" t="s">
        <v>103</v>
      </c>
      <c r="G58" s="281"/>
      <c r="H58" s="282"/>
      <c r="L58" s="21"/>
      <c r="O58" s="22"/>
    </row>
    <row r="59" spans="1:18" x14ac:dyDescent="0.25">
      <c r="A59" s="26"/>
      <c r="B59" s="21"/>
      <c r="C59" s="22"/>
      <c r="D59" s="26"/>
      <c r="F59" s="283" t="s">
        <v>26</v>
      </c>
      <c r="G59" s="284"/>
      <c r="H59" s="28" t="s">
        <v>35</v>
      </c>
      <c r="L59" s="21"/>
      <c r="O59" s="22"/>
    </row>
    <row r="60" spans="1:18" ht="15.6" customHeight="1" x14ac:dyDescent="0.25">
      <c r="F60" s="29" t="s">
        <v>142</v>
      </c>
      <c r="G60" s="30"/>
      <c r="H60" s="31">
        <f>COUNTIFS(June[Cognitive Impairment],$F60)</f>
        <v>0</v>
      </c>
    </row>
    <row r="61" spans="1:18" x14ac:dyDescent="0.25">
      <c r="F61" s="29" t="s">
        <v>143</v>
      </c>
      <c r="G61" s="30"/>
      <c r="H61" s="31">
        <f>COUNTIFS(June[Cognitive Impairment],$F61)</f>
        <v>0</v>
      </c>
    </row>
    <row r="62" spans="1:18" ht="15.75" thickBot="1" x14ac:dyDescent="0.3">
      <c r="F62" s="32" t="s">
        <v>144</v>
      </c>
      <c r="G62" s="33"/>
      <c r="H62" s="31">
        <f>COUNTIFS(June[Cognitive Impairment],$F62)</f>
        <v>0</v>
      </c>
    </row>
    <row r="63" spans="1:18" ht="15.75" thickBot="1" x14ac:dyDescent="0.3">
      <c r="F63" s="285" t="s">
        <v>16</v>
      </c>
      <c r="G63" s="286"/>
      <c r="H63" s="37">
        <f>SUM(H60:H62)</f>
        <v>0</v>
      </c>
    </row>
    <row r="64" spans="1:18" ht="15.75" thickBot="1" x14ac:dyDescent="0.3"/>
    <row r="65" spans="1:8" ht="21.4" customHeight="1" thickBot="1" x14ac:dyDescent="0.3">
      <c r="B65" s="280" t="s">
        <v>78</v>
      </c>
      <c r="C65" s="281"/>
      <c r="D65" s="281"/>
      <c r="E65" s="281"/>
      <c r="F65" s="281"/>
      <c r="G65" s="282"/>
    </row>
    <row r="66" spans="1:8" ht="15.6" customHeight="1" x14ac:dyDescent="0.25">
      <c r="A66" s="38"/>
      <c r="B66" s="288" t="s">
        <v>86</v>
      </c>
      <c r="C66" s="289"/>
      <c r="D66" s="289"/>
      <c r="E66" s="289"/>
      <c r="F66" s="290"/>
      <c r="G66" s="28" t="s">
        <v>35</v>
      </c>
    </row>
    <row r="67" spans="1:8" x14ac:dyDescent="0.25">
      <c r="A67" s="38"/>
      <c r="B67" s="39" t="str" cm="1">
        <f t="array" ref="B67:B90">IF(_xlfn._xlws.SORT(PriortoFall[What was the resident doing prior to fall?],1,1,TRUE)=0,"",(_xlfn._xlws.SORT(PriortoFall[What was the resident doing prior to fall?],1,1,TRUE)))</f>
        <v>Ambulating with assistive device (walker, cane, wheelchair)</v>
      </c>
      <c r="C67" s="40"/>
      <c r="D67" s="40"/>
      <c r="E67" s="40"/>
      <c r="F67" s="41"/>
      <c r="G67" s="42">
        <f>IF($B67="",NA(),COUNTIFS(June[What was resident doing prior to fall?],$B67))</f>
        <v>0</v>
      </c>
      <c r="H67" s="43"/>
    </row>
    <row r="68" spans="1:8" x14ac:dyDescent="0.25">
      <c r="A68" s="38"/>
      <c r="B68" s="44" t="str">
        <v>Ambulating with staff assistance</v>
      </c>
      <c r="C68" s="45"/>
      <c r="D68" s="45"/>
      <c r="E68" s="45"/>
      <c r="F68" s="46"/>
      <c r="G68" s="42">
        <f>IF($B68="",NA(),COUNTIFS(June[What was resident doing prior to fall?],$B68))</f>
        <v>0</v>
      </c>
    </row>
    <row r="69" spans="1:8" x14ac:dyDescent="0.25">
      <c r="A69" s="38"/>
      <c r="B69" s="39" t="str">
        <v>Ambulating without assistance or assistive device</v>
      </c>
      <c r="C69" s="40"/>
      <c r="D69" s="40"/>
      <c r="E69" s="40"/>
      <c r="F69" s="41"/>
      <c r="G69" s="42">
        <f>IF($B69="",NA(),COUNTIFS(June[What was resident doing prior to fall?],$B69))</f>
        <v>0</v>
      </c>
    </row>
    <row r="70" spans="1:8" x14ac:dyDescent="0.25">
      <c r="A70" s="38"/>
      <c r="B70" s="44" t="str">
        <v>Changing position (e.g., in bed, chair)</v>
      </c>
      <c r="C70" s="45"/>
      <c r="D70" s="45"/>
      <c r="E70" s="45"/>
      <c r="F70" s="46"/>
      <c r="G70" s="42">
        <f>IF($B70="",NA(),COUNTIFS(June[What was resident doing prior to fall?],$B70))</f>
        <v>0</v>
      </c>
    </row>
    <row r="71" spans="1:8" x14ac:dyDescent="0.25">
      <c r="A71" s="38"/>
      <c r="B71" s="44" t="str">
        <v>Dressing or undressing</v>
      </c>
      <c r="C71" s="45"/>
      <c r="D71" s="45"/>
      <c r="E71" s="45"/>
      <c r="F71" s="46"/>
      <c r="G71" s="42">
        <f>IF($B71="",NA(),COUNTIFS(June[What was resident doing prior to fall?],$B71))</f>
        <v>0</v>
      </c>
    </row>
    <row r="72" spans="1:8" x14ac:dyDescent="0.25">
      <c r="A72" s="38"/>
      <c r="B72" s="44" t="str">
        <v>Other activity</v>
      </c>
      <c r="C72" s="45"/>
      <c r="D72" s="45"/>
      <c r="E72" s="45"/>
      <c r="F72" s="46"/>
      <c r="G72" s="42">
        <f>IF($B72="",NA(),COUNTIFS(June[What was resident doing prior to fall?],$B72))</f>
        <v>0</v>
      </c>
    </row>
    <row r="73" spans="1:8" x14ac:dyDescent="0.25">
      <c r="A73" s="38"/>
      <c r="B73" s="44" t="str">
        <v>Reaching for an item</v>
      </c>
      <c r="C73" s="45"/>
      <c r="D73" s="45"/>
      <c r="E73" s="45"/>
      <c r="F73" s="46"/>
      <c r="G73" s="42">
        <f>IF($B73="",NA(),COUNTIFS(June[What was resident doing prior to fall?],$B73))</f>
        <v>0</v>
      </c>
    </row>
    <row r="74" spans="1:8" x14ac:dyDescent="0.25">
      <c r="A74" s="38"/>
      <c r="B74" s="44" t="str">
        <v>Showering or bathing</v>
      </c>
      <c r="C74" s="45"/>
      <c r="D74" s="45"/>
      <c r="E74" s="45"/>
      <c r="F74" s="46"/>
      <c r="G74" s="42">
        <f>IF($B74="",NA(),COUNTIFS(June[What was resident doing prior to fall?],$B74))</f>
        <v>0</v>
      </c>
    </row>
    <row r="75" spans="1:8" x14ac:dyDescent="0.25">
      <c r="A75" s="38"/>
      <c r="B75" s="44" t="str">
        <v>Toileting</v>
      </c>
      <c r="C75" s="45"/>
      <c r="D75" s="45"/>
      <c r="E75" s="45"/>
      <c r="F75" s="46"/>
      <c r="G75" s="42">
        <f>IF($B75="",NA(),COUNTIFS(June[What was resident doing prior to fall?],$B75))</f>
        <v>0</v>
      </c>
    </row>
    <row r="76" spans="1:8" x14ac:dyDescent="0.25">
      <c r="A76" s="38"/>
      <c r="B76" s="44" t="str">
        <v>Transferring to or from bed, chair, wheelchair, etc.</v>
      </c>
      <c r="C76" s="45"/>
      <c r="D76" s="45"/>
      <c r="E76" s="45"/>
      <c r="F76" s="46"/>
      <c r="G76" s="42">
        <f>IF($B76="",NA(),COUNTIFS(June[What was resident doing prior to fall?],$B76))</f>
        <v>0</v>
      </c>
    </row>
    <row r="77" spans="1:8" x14ac:dyDescent="0.25">
      <c r="A77" s="38"/>
      <c r="B77" s="39" t="str">
        <v>Unknown</v>
      </c>
      <c r="C77" s="40"/>
      <c r="D77" s="40"/>
      <c r="E77" s="40"/>
      <c r="F77" s="41"/>
      <c r="G77" s="42">
        <f>IF($B77="",NA(),COUNTIFS(June[What was resident doing prior to fall?],$B77))</f>
        <v>0</v>
      </c>
    </row>
    <row r="78" spans="1:8" x14ac:dyDescent="0.25">
      <c r="A78" s="38"/>
      <c r="B78" s="44" t="str">
        <v/>
      </c>
      <c r="C78" s="45"/>
      <c r="D78" s="45"/>
      <c r="E78" s="45"/>
      <c r="F78" s="46"/>
      <c r="G78" s="42" t="e">
        <f>IF($B78="",NA(),COUNTIFS(June[What was resident doing prior to fall?],$B78))</f>
        <v>#N/A</v>
      </c>
    </row>
    <row r="79" spans="1:8" x14ac:dyDescent="0.25">
      <c r="A79" s="38"/>
      <c r="B79" s="39" t="str">
        <v/>
      </c>
      <c r="C79" s="40"/>
      <c r="D79" s="40"/>
      <c r="E79" s="40"/>
      <c r="F79" s="41"/>
      <c r="G79" s="42" t="e">
        <f>IF($B79="",NA(),COUNTIFS(June[What was resident doing prior to fall?],$B79))</f>
        <v>#N/A</v>
      </c>
    </row>
    <row r="80" spans="1:8" x14ac:dyDescent="0.25">
      <c r="A80" s="38"/>
      <c r="B80" s="44" t="str">
        <v/>
      </c>
      <c r="C80" s="45"/>
      <c r="D80" s="45"/>
      <c r="E80" s="45"/>
      <c r="F80" s="46"/>
      <c r="G80" s="42" t="e">
        <f>IF($B80="",NA(),COUNTIFS(June[What was resident doing prior to fall?],$B80))</f>
        <v>#N/A</v>
      </c>
    </row>
    <row r="81" spans="1:7" x14ac:dyDescent="0.25">
      <c r="A81" s="38"/>
      <c r="B81" s="39" t="str">
        <v/>
      </c>
      <c r="C81" s="40"/>
      <c r="D81" s="40"/>
      <c r="E81" s="40"/>
      <c r="F81" s="41"/>
      <c r="G81" s="42" t="e">
        <f>IF($B81="",NA(),COUNTIFS(June[What was resident doing prior to fall?],$B81))</f>
        <v>#N/A</v>
      </c>
    </row>
    <row r="82" spans="1:7" x14ac:dyDescent="0.25">
      <c r="A82" s="38"/>
      <c r="B82" s="44" t="str">
        <v/>
      </c>
      <c r="C82" s="45"/>
      <c r="D82" s="45"/>
      <c r="E82" s="45"/>
      <c r="F82" s="46"/>
      <c r="G82" s="42" t="e">
        <f>IF($B82="",NA(),COUNTIFS(June[What was resident doing prior to fall?],$B82))</f>
        <v>#N/A</v>
      </c>
    </row>
    <row r="83" spans="1:7" x14ac:dyDescent="0.25">
      <c r="A83" s="38"/>
      <c r="B83" s="39" t="str">
        <v/>
      </c>
      <c r="C83" s="40"/>
      <c r="D83" s="40"/>
      <c r="E83" s="40"/>
      <c r="F83" s="41"/>
      <c r="G83" s="42" t="e">
        <f>IF($B83="",NA(),COUNTIFS(June[What was resident doing prior to fall?],$B83))</f>
        <v>#N/A</v>
      </c>
    </row>
    <row r="84" spans="1:7" x14ac:dyDescent="0.25">
      <c r="A84" s="38"/>
      <c r="B84" s="44" t="str">
        <v/>
      </c>
      <c r="C84" s="45"/>
      <c r="D84" s="45"/>
      <c r="E84" s="45"/>
      <c r="F84" s="46"/>
      <c r="G84" s="42" t="e">
        <f>IF($B84="",NA(),COUNTIFS(June[What was resident doing prior to fall?],$B84))</f>
        <v>#N/A</v>
      </c>
    </row>
    <row r="85" spans="1:7" x14ac:dyDescent="0.25">
      <c r="A85" s="38"/>
      <c r="B85" s="44" t="str">
        <v/>
      </c>
      <c r="C85" s="45"/>
      <c r="D85" s="45"/>
      <c r="E85" s="45"/>
      <c r="F85" s="46"/>
      <c r="G85" s="42" t="e">
        <f>IF($B85="",NA(),COUNTIFS(June[What was resident doing prior to fall?],$B85))</f>
        <v>#N/A</v>
      </c>
    </row>
    <row r="86" spans="1:7" x14ac:dyDescent="0.25">
      <c r="A86" s="38"/>
      <c r="B86" s="39" t="str">
        <v/>
      </c>
      <c r="C86" s="40"/>
      <c r="D86" s="40"/>
      <c r="E86" s="40"/>
      <c r="F86" s="41"/>
      <c r="G86" s="42" t="e">
        <f>IF($B86="",NA(),COUNTIFS(June[What was resident doing prior to fall?],$B86))</f>
        <v>#N/A</v>
      </c>
    </row>
    <row r="87" spans="1:7" x14ac:dyDescent="0.25">
      <c r="A87" s="38"/>
      <c r="B87" s="44" t="str">
        <v/>
      </c>
      <c r="C87" s="45"/>
      <c r="D87" s="45"/>
      <c r="E87" s="45"/>
      <c r="F87" s="46"/>
      <c r="G87" s="42" t="e">
        <f>IF($B87="",NA(),COUNTIFS(June[What was resident doing prior to fall?],$B87))</f>
        <v>#N/A</v>
      </c>
    </row>
    <row r="88" spans="1:7" x14ac:dyDescent="0.25">
      <c r="A88" s="38"/>
      <c r="B88" s="39" t="str">
        <v/>
      </c>
      <c r="C88" s="40"/>
      <c r="D88" s="40"/>
      <c r="E88" s="40"/>
      <c r="F88" s="41"/>
      <c r="G88" s="42" t="e">
        <f>IF($B88="",NA(),COUNTIFS(June[What was resident doing prior to fall?],$B88))</f>
        <v>#N/A</v>
      </c>
    </row>
    <row r="89" spans="1:7" x14ac:dyDescent="0.25">
      <c r="A89" s="38"/>
      <c r="B89" s="44" t="str">
        <v/>
      </c>
      <c r="C89" s="45"/>
      <c r="D89" s="45"/>
      <c r="E89" s="45"/>
      <c r="F89" s="46"/>
      <c r="G89" s="42" t="e">
        <f>IF($B89="",NA(),COUNTIFS(June[What was resident doing prior to fall?],$B89))</f>
        <v>#N/A</v>
      </c>
    </row>
    <row r="90" spans="1:7" ht="15.75" thickBot="1" x14ac:dyDescent="0.3">
      <c r="A90" s="38"/>
      <c r="B90" s="47" t="str">
        <v/>
      </c>
      <c r="C90" s="47"/>
      <c r="D90" s="47"/>
      <c r="E90" s="47"/>
      <c r="F90" s="48"/>
      <c r="G90" s="42" t="e">
        <f>IF($B90="",NA(),COUNTIFS(June[What was resident doing prior to fall?],$B90))</f>
        <v>#N/A</v>
      </c>
    </row>
    <row r="91" spans="1:7" ht="15.6" customHeight="1" thickBot="1" x14ac:dyDescent="0.3">
      <c r="B91" s="285" t="s">
        <v>35</v>
      </c>
      <c r="C91" s="286"/>
      <c r="D91" s="286"/>
      <c r="E91" s="286"/>
      <c r="F91" s="287"/>
      <c r="G91" s="37">
        <f>_xlfn.AGGREGATE(9,6,G67:G90)</f>
        <v>0</v>
      </c>
    </row>
    <row r="92" spans="1:7" ht="15.75" thickBot="1" x14ac:dyDescent="0.3"/>
    <row r="93" spans="1:7" ht="22.35" customHeight="1" thickBot="1" x14ac:dyDescent="0.3">
      <c r="B93" s="293" t="s">
        <v>173</v>
      </c>
      <c r="C93" s="294"/>
      <c r="D93" s="295"/>
    </row>
    <row r="94" spans="1:7" x14ac:dyDescent="0.25">
      <c r="A94" s="38"/>
      <c r="B94" s="298" t="s">
        <v>1</v>
      </c>
      <c r="C94" s="299"/>
      <c r="D94" s="49" t="s">
        <v>35</v>
      </c>
    </row>
    <row r="95" spans="1:7" x14ac:dyDescent="0.25">
      <c r="A95" s="38"/>
      <c r="B95" s="50" t="str" cm="1">
        <f t="array" ref="B95:B105">IF(_xlfn._xlws.SORT(Location[Location],1,1,TRUE)=0,"",(_xlfn._xlws.SORT(Location[Location],1,1,TRUE)))</f>
        <v>Activity Room</v>
      </c>
      <c r="C95" s="51"/>
      <c r="D95" s="52">
        <f>IF($B95="",NA(),COUNTIFS(June[Location],$B95))</f>
        <v>0</v>
      </c>
    </row>
    <row r="96" spans="1:7" x14ac:dyDescent="0.25">
      <c r="A96" s="38"/>
      <c r="B96" s="50" t="str">
        <v>Bedroom</v>
      </c>
      <c r="C96" s="51"/>
      <c r="D96" s="52">
        <f>IF($B96="",NA(),COUNTIFS(June[Location],$B96))</f>
        <v>0</v>
      </c>
    </row>
    <row r="97" spans="1:4" x14ac:dyDescent="0.25">
      <c r="A97" s="38"/>
      <c r="B97" s="50" t="str">
        <v>Bathroom</v>
      </c>
      <c r="C97" s="51"/>
      <c r="D97" s="52">
        <f>IF($B97="",NA(),COUNTIFS(June[Location],$B97))</f>
        <v>0</v>
      </c>
    </row>
    <row r="98" spans="1:4" x14ac:dyDescent="0.25">
      <c r="A98" s="38"/>
      <c r="B98" s="50" t="str">
        <v>Hallway</v>
      </c>
      <c r="C98" s="51"/>
      <c r="D98" s="52">
        <f>IF($B98="",NA(),COUNTIFS(June[Location],$B98))</f>
        <v>0</v>
      </c>
    </row>
    <row r="99" spans="1:4" x14ac:dyDescent="0.25">
      <c r="A99" s="38"/>
      <c r="B99" s="50" t="str">
        <v>Offsite</v>
      </c>
      <c r="C99" s="51"/>
      <c r="D99" s="52">
        <f>IF($B99="",NA(),COUNTIFS(June[Location],$B99))</f>
        <v>0</v>
      </c>
    </row>
    <row r="100" spans="1:4" x14ac:dyDescent="0.25">
      <c r="A100" s="38"/>
      <c r="B100" s="53" t="str">
        <v>Shower Room</v>
      </c>
      <c r="C100" s="54"/>
      <c r="D100" s="52">
        <f>IF($B100="",NA(),COUNTIFS(June[Location],$B100))</f>
        <v>0</v>
      </c>
    </row>
    <row r="101" spans="1:4" x14ac:dyDescent="0.25">
      <c r="A101" s="38"/>
      <c r="B101" s="55" t="str">
        <v>Dining Room</v>
      </c>
      <c r="C101" s="56"/>
      <c r="D101" s="52">
        <f>IF($B101="",NA(),COUNTIFS(June[Location],$B101))</f>
        <v>0</v>
      </c>
    </row>
    <row r="102" spans="1:4" x14ac:dyDescent="0.25">
      <c r="A102" s="38"/>
      <c r="B102" s="57" t="str">
        <v/>
      </c>
      <c r="C102" s="58"/>
      <c r="D102" s="52" t="e">
        <f>IF($B102="",NA(),COUNTIFS(June[Location],$B102))</f>
        <v>#N/A</v>
      </c>
    </row>
    <row r="103" spans="1:4" x14ac:dyDescent="0.25">
      <c r="A103" s="38"/>
      <c r="B103" s="59" t="str">
        <v/>
      </c>
      <c r="C103" s="51"/>
      <c r="D103" s="52" t="e">
        <f>IF($B103="",NA(),COUNTIFS(June[Location],$B103))</f>
        <v>#N/A</v>
      </c>
    </row>
    <row r="104" spans="1:4" x14ac:dyDescent="0.25">
      <c r="A104" s="38"/>
      <c r="B104" s="53" t="str">
        <v/>
      </c>
      <c r="C104" s="60"/>
      <c r="D104" s="52" t="e">
        <f>IF($B104="",NA(),COUNTIFS(June[Location],$B104))</f>
        <v>#N/A</v>
      </c>
    </row>
    <row r="105" spans="1:4" ht="15.75" thickBot="1" x14ac:dyDescent="0.3">
      <c r="A105" s="38"/>
      <c r="B105" s="59" t="str">
        <v/>
      </c>
      <c r="C105" s="61"/>
      <c r="D105" s="52" t="e">
        <f>IF($B105="",NA(),COUNTIFS(June[Location],$B105))</f>
        <v>#N/A</v>
      </c>
    </row>
    <row r="106" spans="1:4" ht="15.75" thickBot="1" x14ac:dyDescent="0.3">
      <c r="B106" s="296" t="s">
        <v>16</v>
      </c>
      <c r="C106" s="297"/>
      <c r="D106" s="37">
        <f>_xlfn.AGGREGATE(9,6,D95:D105)</f>
        <v>0</v>
      </c>
    </row>
    <row r="107" spans="1:4" ht="15.75" thickBot="1" x14ac:dyDescent="0.3"/>
    <row r="108" spans="1:4" ht="21.4" customHeight="1" thickBot="1" x14ac:dyDescent="0.3">
      <c r="B108" s="280" t="str">
        <f>"Falls by Nursing Station "</f>
        <v xml:space="preserve">Falls by Nursing Station </v>
      </c>
      <c r="C108" s="281"/>
      <c r="D108" s="282"/>
    </row>
    <row r="109" spans="1:4" ht="15.75" x14ac:dyDescent="0.25">
      <c r="B109" s="291" t="s">
        <v>2</v>
      </c>
      <c r="C109" s="291"/>
      <c r="D109" s="28" t="s">
        <v>35</v>
      </c>
    </row>
    <row r="110" spans="1:4" x14ac:dyDescent="0.25">
      <c r="B110" s="62" cm="1">
        <f t="array" ref="B110:B120">IF(_xlfn._xlws.SORT(NS[Nurses Stations],1,1,TRUE)=0,"",(_xlfn._xlws.SORT(NS[Nurses Stations],1,1,TRUE)))</f>
        <v>1</v>
      </c>
      <c r="C110" s="63"/>
      <c r="D110" s="31">
        <f>IF($B110="",NA(),COUNTIFS(June[Station],$B110))</f>
        <v>0</v>
      </c>
    </row>
    <row r="111" spans="1:4" x14ac:dyDescent="0.25">
      <c r="B111" s="62">
        <v>2</v>
      </c>
      <c r="C111" s="63"/>
      <c r="D111" s="31">
        <f>IF($B111="",NA(),COUNTIFS(June[Station],$B111))</f>
        <v>0</v>
      </c>
    </row>
    <row r="112" spans="1:4" x14ac:dyDescent="0.25">
      <c r="B112" s="62">
        <v>3</v>
      </c>
      <c r="C112" s="63"/>
      <c r="D112" s="31">
        <f>IF($B112="",NA(),COUNTIFS(June[Station],$B112))</f>
        <v>0</v>
      </c>
    </row>
    <row r="113" spans="2:4" x14ac:dyDescent="0.25">
      <c r="B113" s="62">
        <v>4</v>
      </c>
      <c r="C113" s="63"/>
      <c r="D113" s="31">
        <f>IF($B113="",NA(),COUNTIFS(June[Station],$B113))</f>
        <v>0</v>
      </c>
    </row>
    <row r="114" spans="2:4" x14ac:dyDescent="0.25">
      <c r="B114" s="62">
        <v>5</v>
      </c>
      <c r="C114" s="63"/>
      <c r="D114" s="31">
        <f>IF($B114="",NA(),COUNTIFS(June[Station],$B114))</f>
        <v>0</v>
      </c>
    </row>
    <row r="115" spans="2:4" x14ac:dyDescent="0.25">
      <c r="B115" s="62" t="str">
        <v/>
      </c>
      <c r="C115" s="63"/>
      <c r="D115" s="31" t="e">
        <f>IF($B115="",NA(),COUNTIFS(June[Station],$B115))</f>
        <v>#N/A</v>
      </c>
    </row>
    <row r="116" spans="2:4" x14ac:dyDescent="0.25">
      <c r="B116" s="62" t="str">
        <v/>
      </c>
      <c r="C116" s="63"/>
      <c r="D116" s="31" t="e">
        <f>IF($B116="",NA(),COUNTIFS(June[Station],$B116))</f>
        <v>#N/A</v>
      </c>
    </row>
    <row r="117" spans="2:4" x14ac:dyDescent="0.25">
      <c r="B117" s="62" t="str">
        <v/>
      </c>
      <c r="C117" s="63"/>
      <c r="D117" s="31" t="e">
        <f>IF($B117="",NA(),COUNTIFS(June[Station],$B117))</f>
        <v>#N/A</v>
      </c>
    </row>
    <row r="118" spans="2:4" x14ac:dyDescent="0.25">
      <c r="B118" s="62" t="str">
        <v/>
      </c>
      <c r="C118" s="63"/>
      <c r="D118" s="31" t="e">
        <f>IF($B118="",NA(),COUNTIFS(June[Station],$B118))</f>
        <v>#N/A</v>
      </c>
    </row>
    <row r="119" spans="2:4" x14ac:dyDescent="0.25">
      <c r="B119" s="62" t="str">
        <v/>
      </c>
      <c r="C119" s="63"/>
      <c r="D119" s="31" t="e">
        <f>IF($B119="",NA(),COUNTIFS(June[Station],$B119))</f>
        <v>#N/A</v>
      </c>
    </row>
    <row r="120" spans="2:4" ht="15.75" thickBot="1" x14ac:dyDescent="0.3">
      <c r="B120" s="64" t="str">
        <v/>
      </c>
      <c r="C120" s="63"/>
      <c r="D120" s="31" t="e">
        <f>IF($B120="",NA(),COUNTIFS(June[Station],$B120))</f>
        <v>#N/A</v>
      </c>
    </row>
    <row r="121" spans="2:4" ht="15.6" customHeight="1" thickBot="1" x14ac:dyDescent="0.3">
      <c r="B121" s="285" t="s">
        <v>16</v>
      </c>
      <c r="C121" s="286"/>
      <c r="D121" s="37">
        <f>_xlfn.AGGREGATE(9,6,D110:D120)</f>
        <v>0</v>
      </c>
    </row>
    <row r="122" spans="2:4" ht="15.6" customHeight="1" thickBot="1" x14ac:dyDescent="0.3">
      <c r="B122" s="65"/>
      <c r="C122" s="66"/>
      <c r="D122" s="67"/>
    </row>
    <row r="123" spans="2:4" ht="21.95" customHeight="1" thickBot="1" x14ac:dyDescent="0.3">
      <c r="B123" s="280" t="str">
        <f>"Falls by Day of the Week "</f>
        <v xml:space="preserve">Falls by Day of the Week </v>
      </c>
      <c r="C123" s="281"/>
      <c r="D123" s="282"/>
    </row>
    <row r="124" spans="2:4" ht="15.75" x14ac:dyDescent="0.25">
      <c r="B124" s="291" t="s">
        <v>3</v>
      </c>
      <c r="C124" s="291"/>
      <c r="D124" s="28" t="s">
        <v>35</v>
      </c>
    </row>
    <row r="125" spans="2:4" x14ac:dyDescent="0.25">
      <c r="B125" s="292" t="s">
        <v>46</v>
      </c>
      <c r="C125" s="292"/>
      <c r="D125" s="31">
        <f>COUNTIFS(June[Day],$B125)</f>
        <v>0</v>
      </c>
    </row>
    <row r="126" spans="2:4" x14ac:dyDescent="0.25">
      <c r="B126" s="292" t="s">
        <v>47</v>
      </c>
      <c r="C126" s="292"/>
      <c r="D126" s="31">
        <f>COUNTIFS(June[Day],$B126)</f>
        <v>0</v>
      </c>
    </row>
    <row r="127" spans="2:4" x14ac:dyDescent="0.25">
      <c r="B127" s="292" t="s">
        <v>52</v>
      </c>
      <c r="C127" s="292"/>
      <c r="D127" s="31">
        <f>COUNTIFS(June[Day],$B127)</f>
        <v>0</v>
      </c>
    </row>
    <row r="128" spans="2:4" x14ac:dyDescent="0.25">
      <c r="B128" s="292" t="s">
        <v>48</v>
      </c>
      <c r="C128" s="292"/>
      <c r="D128" s="31">
        <f>COUNTIFS(June[Day],$B128)</f>
        <v>0</v>
      </c>
    </row>
    <row r="129" spans="2:4" x14ac:dyDescent="0.25">
      <c r="B129" s="292" t="s">
        <v>51</v>
      </c>
      <c r="C129" s="292"/>
      <c r="D129" s="31">
        <f>COUNTIFS(June[Day],$B129)</f>
        <v>0</v>
      </c>
    </row>
    <row r="130" spans="2:4" x14ac:dyDescent="0.25">
      <c r="B130" s="292" t="s">
        <v>49</v>
      </c>
      <c r="C130" s="292"/>
      <c r="D130" s="31">
        <f>COUNTIFS(June[Day],$B130)</f>
        <v>0</v>
      </c>
    </row>
    <row r="131" spans="2:4" ht="15.75" thickBot="1" x14ac:dyDescent="0.3">
      <c r="B131" s="292" t="s">
        <v>50</v>
      </c>
      <c r="C131" s="292"/>
      <c r="D131" s="34">
        <f>COUNTIFS(June[Day],$B131)</f>
        <v>0</v>
      </c>
    </row>
    <row r="132" spans="2:4" ht="15.6" customHeight="1" thickBot="1" x14ac:dyDescent="0.3">
      <c r="B132" s="285" t="s">
        <v>16</v>
      </c>
      <c r="C132" s="286"/>
      <c r="D132" s="35">
        <f>SUM(D125:D131)</f>
        <v>0</v>
      </c>
    </row>
    <row r="133" spans="2:4" ht="15.75" thickBot="1" x14ac:dyDescent="0.3"/>
    <row r="134" spans="2:4" ht="21.4" customHeight="1" thickBot="1" x14ac:dyDescent="0.3">
      <c r="B134" s="280" t="str">
        <f>"Falls by Shift"</f>
        <v>Falls by Shift</v>
      </c>
      <c r="C134" s="281"/>
      <c r="D134" s="282"/>
    </row>
    <row r="135" spans="2:4" ht="15.75" x14ac:dyDescent="0.25">
      <c r="B135" s="291" t="s">
        <v>34</v>
      </c>
      <c r="C135" s="291"/>
      <c r="D135" s="28" t="s">
        <v>35</v>
      </c>
    </row>
    <row r="136" spans="2:4" x14ac:dyDescent="0.25">
      <c r="B136" s="29" t="str" cm="1">
        <f t="array" ref="B136:B140">IF(_xlfn._xlws.SORT('Data Validation'!P3:P7,1,1,TRUE)=0,"",(_xlfn._xlws.SORT('Data Validation'!P3:P7,1,1,TRUE)))</f>
        <v>11-7</v>
      </c>
      <c r="C136" s="58"/>
      <c r="D136" s="31">
        <f>IF($B136="",NA(),COUNTIFS(June[Shift],$B136))</f>
        <v>0</v>
      </c>
    </row>
    <row r="137" spans="2:4" x14ac:dyDescent="0.25">
      <c r="B137" s="29" t="str">
        <v>11–7</v>
      </c>
      <c r="C137" s="58"/>
      <c r="D137" s="31">
        <f>IF($B137="",NA(),COUNTIFS(June[Shift],$B137))</f>
        <v>0</v>
      </c>
    </row>
    <row r="138" spans="2:4" x14ac:dyDescent="0.25">
      <c r="B138" s="29" t="str">
        <v>7–3</v>
      </c>
      <c r="C138" s="58"/>
      <c r="D138" s="31">
        <f>IF($B138="",NA(),COUNTIFS(June[Shift],$B138))</f>
        <v>0</v>
      </c>
    </row>
    <row r="139" spans="2:4" x14ac:dyDescent="0.25">
      <c r="B139" s="29" t="str">
        <v>3–11</v>
      </c>
      <c r="C139" s="58"/>
      <c r="D139" s="31">
        <f>IF($B139="",NA(),COUNTIFS(June[Shift],$B139))</f>
        <v>0</v>
      </c>
    </row>
    <row r="140" spans="2:4" ht="15.75" thickBot="1" x14ac:dyDescent="0.3">
      <c r="B140" s="29" t="str">
        <v/>
      </c>
      <c r="C140" s="68"/>
      <c r="D140" s="34" t="e">
        <f>IF($B140="",NA(),COUNTIFS(June[Shift],$B140))</f>
        <v>#N/A</v>
      </c>
    </row>
    <row r="141" spans="2:4" ht="15.75" thickBot="1" x14ac:dyDescent="0.3">
      <c r="B141" s="285" t="s">
        <v>16</v>
      </c>
      <c r="C141" s="286"/>
      <c r="D141" s="35">
        <f>_xlfn.AGGREGATE(9,6,D136:D140)</f>
        <v>0</v>
      </c>
    </row>
    <row r="142" spans="2:4" ht="15.75" thickBot="1" x14ac:dyDescent="0.3"/>
    <row r="143" spans="2:4" ht="21.4" customHeight="1" thickBot="1" x14ac:dyDescent="0.3">
      <c r="B143" s="280" t="str">
        <f>"Falls by Hour "</f>
        <v xml:space="preserve">Falls by Hour </v>
      </c>
      <c r="C143" s="281"/>
      <c r="D143" s="282"/>
    </row>
    <row r="144" spans="2:4" ht="15.75" x14ac:dyDescent="0.25">
      <c r="B144" s="291" t="s">
        <v>33</v>
      </c>
      <c r="C144" s="291"/>
      <c r="D144" s="28" t="s">
        <v>35</v>
      </c>
    </row>
    <row r="145" spans="2:4" x14ac:dyDescent="0.25">
      <c r="B145" s="292" t="s">
        <v>115</v>
      </c>
      <c r="C145" s="292"/>
      <c r="D145" s="31">
        <f>COUNTIFS(June[Hour],$B145)</f>
        <v>0</v>
      </c>
    </row>
    <row r="146" spans="2:4" x14ac:dyDescent="0.25">
      <c r="B146" s="292" t="s">
        <v>116</v>
      </c>
      <c r="C146" s="292"/>
      <c r="D146" s="31">
        <f>COUNTIFS(June[Hour],$B146)</f>
        <v>0</v>
      </c>
    </row>
    <row r="147" spans="2:4" x14ac:dyDescent="0.25">
      <c r="B147" s="292" t="s">
        <v>117</v>
      </c>
      <c r="C147" s="292"/>
      <c r="D147" s="31">
        <f>COUNTIFS(June[Hour],$B147)</f>
        <v>0</v>
      </c>
    </row>
    <row r="148" spans="2:4" x14ac:dyDescent="0.25">
      <c r="B148" s="292" t="s">
        <v>118</v>
      </c>
      <c r="C148" s="292"/>
      <c r="D148" s="31">
        <f>COUNTIFS(June[Hour],$B148)</f>
        <v>0</v>
      </c>
    </row>
    <row r="149" spans="2:4" x14ac:dyDescent="0.25">
      <c r="B149" s="292" t="s">
        <v>119</v>
      </c>
      <c r="C149" s="292"/>
      <c r="D149" s="31">
        <f>COUNTIFS(June[Hour],$B149)</f>
        <v>0</v>
      </c>
    </row>
    <row r="150" spans="2:4" x14ac:dyDescent="0.25">
      <c r="B150" s="292" t="s">
        <v>120</v>
      </c>
      <c r="C150" s="292"/>
      <c r="D150" s="31">
        <f>COUNTIFS(June[Hour],$B150)</f>
        <v>0</v>
      </c>
    </row>
    <row r="151" spans="2:4" x14ac:dyDescent="0.25">
      <c r="B151" s="292" t="s">
        <v>121</v>
      </c>
      <c r="C151" s="292"/>
      <c r="D151" s="31">
        <f>COUNTIFS(June[Hour],$B151)</f>
        <v>0</v>
      </c>
    </row>
    <row r="152" spans="2:4" x14ac:dyDescent="0.25">
      <c r="B152" s="292" t="s">
        <v>122</v>
      </c>
      <c r="C152" s="292"/>
      <c r="D152" s="31">
        <f>COUNTIFS(June[Hour],$B152)</f>
        <v>0</v>
      </c>
    </row>
    <row r="153" spans="2:4" x14ac:dyDescent="0.25">
      <c r="B153" s="292" t="s">
        <v>123</v>
      </c>
      <c r="C153" s="292"/>
      <c r="D153" s="31">
        <f>COUNTIFS(June[Hour],$B153)</f>
        <v>0</v>
      </c>
    </row>
    <row r="154" spans="2:4" x14ac:dyDescent="0.25">
      <c r="B154" s="292" t="s">
        <v>124</v>
      </c>
      <c r="C154" s="292"/>
      <c r="D154" s="31">
        <f>COUNTIFS(June[Hour],$B154)</f>
        <v>0</v>
      </c>
    </row>
    <row r="155" spans="2:4" x14ac:dyDescent="0.25">
      <c r="B155" s="292" t="s">
        <v>125</v>
      </c>
      <c r="C155" s="292"/>
      <c r="D155" s="31">
        <f>COUNTIFS(June[Hour],$B155)</f>
        <v>0</v>
      </c>
    </row>
    <row r="156" spans="2:4" x14ac:dyDescent="0.25">
      <c r="B156" s="292" t="s">
        <v>126</v>
      </c>
      <c r="C156" s="292"/>
      <c r="D156" s="31">
        <f>COUNTIFS(June[Hour],$B156)</f>
        <v>0</v>
      </c>
    </row>
    <row r="157" spans="2:4" x14ac:dyDescent="0.25">
      <c r="B157" s="292" t="s">
        <v>127</v>
      </c>
      <c r="C157" s="292"/>
      <c r="D157" s="31">
        <f>COUNTIFS(June[Hour],$B157)</f>
        <v>0</v>
      </c>
    </row>
    <row r="158" spans="2:4" x14ac:dyDescent="0.25">
      <c r="B158" s="292" t="s">
        <v>128</v>
      </c>
      <c r="C158" s="292"/>
      <c r="D158" s="31">
        <f>COUNTIFS(June[Hour],$B158)</f>
        <v>0</v>
      </c>
    </row>
    <row r="159" spans="2:4" x14ac:dyDescent="0.25">
      <c r="B159" s="292" t="s">
        <v>129</v>
      </c>
      <c r="C159" s="292"/>
      <c r="D159" s="31">
        <f>COUNTIFS(June[Hour],$B159)</f>
        <v>0</v>
      </c>
    </row>
    <row r="160" spans="2:4" x14ac:dyDescent="0.25">
      <c r="B160" s="292" t="s">
        <v>130</v>
      </c>
      <c r="C160" s="292"/>
      <c r="D160" s="31">
        <f>COUNTIFS(June[Hour],$B160)</f>
        <v>0</v>
      </c>
    </row>
    <row r="161" spans="1:8" x14ac:dyDescent="0.25">
      <c r="B161" s="292" t="s">
        <v>131</v>
      </c>
      <c r="C161" s="292"/>
      <c r="D161" s="31">
        <f>COUNTIFS(June[Hour],$B161)</f>
        <v>0</v>
      </c>
    </row>
    <row r="162" spans="1:8" x14ac:dyDescent="0.25">
      <c r="B162" s="292" t="s">
        <v>132</v>
      </c>
      <c r="C162" s="292"/>
      <c r="D162" s="31">
        <f>COUNTIFS(June[Hour],$B162)</f>
        <v>0</v>
      </c>
    </row>
    <row r="163" spans="1:8" x14ac:dyDescent="0.25">
      <c r="B163" s="292" t="s">
        <v>133</v>
      </c>
      <c r="C163" s="292"/>
      <c r="D163" s="31">
        <f>COUNTIFS(June[Hour],$B163)</f>
        <v>0</v>
      </c>
    </row>
    <row r="164" spans="1:8" x14ac:dyDescent="0.25">
      <c r="B164" s="292" t="s">
        <v>134</v>
      </c>
      <c r="C164" s="292"/>
      <c r="D164" s="31">
        <f>COUNTIFS(June[Hour],$B164)</f>
        <v>0</v>
      </c>
    </row>
    <row r="165" spans="1:8" x14ac:dyDescent="0.25">
      <c r="B165" s="292" t="s">
        <v>135</v>
      </c>
      <c r="C165" s="292"/>
      <c r="D165" s="31">
        <f>COUNTIFS(June[Hour],$B165)</f>
        <v>0</v>
      </c>
    </row>
    <row r="166" spans="1:8" x14ac:dyDescent="0.25">
      <c r="B166" s="292" t="s">
        <v>136</v>
      </c>
      <c r="C166" s="292"/>
      <c r="D166" s="31">
        <f>COUNTIFS(June[Hour],$B166)</f>
        <v>0</v>
      </c>
    </row>
    <row r="167" spans="1:8" x14ac:dyDescent="0.25">
      <c r="B167" s="292" t="s">
        <v>137</v>
      </c>
      <c r="C167" s="292"/>
      <c r="D167" s="31">
        <f>COUNTIFS(June[Hour],$B167)</f>
        <v>0</v>
      </c>
    </row>
    <row r="168" spans="1:8" ht="15.75" thickBot="1" x14ac:dyDescent="0.3">
      <c r="B168" s="292" t="s">
        <v>138</v>
      </c>
      <c r="C168" s="292"/>
      <c r="D168" s="34">
        <f>COUNTIFS(June[Hour],$B168)</f>
        <v>0</v>
      </c>
    </row>
    <row r="169" spans="1:8" ht="15.75" thickBot="1" x14ac:dyDescent="0.3">
      <c r="B169" s="285" t="s">
        <v>35</v>
      </c>
      <c r="C169" s="286"/>
      <c r="D169" s="35">
        <f>SUM(D145:D168)</f>
        <v>0</v>
      </c>
    </row>
    <row r="170" spans="1:8" ht="15.75" thickBot="1" x14ac:dyDescent="0.3"/>
    <row r="171" spans="1:8" ht="21.4" customHeight="1" thickBot="1" x14ac:dyDescent="0.3">
      <c r="B171" s="280" t="str">
        <f>"Falls by Contributing Factors"</f>
        <v>Falls by Contributing Factors</v>
      </c>
      <c r="C171" s="281"/>
      <c r="D171" s="281"/>
      <c r="E171" s="281"/>
      <c r="F171" s="281"/>
      <c r="G171" s="282"/>
    </row>
    <row r="172" spans="1:8" ht="15.6" customHeight="1" x14ac:dyDescent="0.25">
      <c r="A172" s="38"/>
      <c r="B172" s="288" t="s">
        <v>92</v>
      </c>
      <c r="C172" s="289"/>
      <c r="D172" s="289"/>
      <c r="E172" s="289"/>
      <c r="F172" s="290"/>
      <c r="G172" s="28" t="s">
        <v>35</v>
      </c>
    </row>
    <row r="173" spans="1:8" x14ac:dyDescent="0.25">
      <c r="A173" s="38"/>
      <c r="B173" s="44" t="str" cm="1">
        <f t="array" ref="B173:B196">IF(_xlfn._xlws.SORT(CF[Contributing Factors],1,1,TRUE)=0,"",(_xlfn._xlws.SORT(CF[Contributing Factors],1,1,TRUE)))</f>
        <v>Assisted/caregiver transfer</v>
      </c>
      <c r="C173" s="45"/>
      <c r="D173" s="45"/>
      <c r="E173" s="45"/>
      <c r="F173" s="46"/>
      <c r="G173" s="42">
        <f>IF($B173="",NA(),COUNTIFS(June[Contributing Factors],$B173))</f>
        <v>0</v>
      </c>
      <c r="H173" s="43"/>
    </row>
    <row r="174" spans="1:8" x14ac:dyDescent="0.25">
      <c r="A174" s="38"/>
      <c r="B174" s="39" t="str">
        <v>Bowel and bladder (B&amp;B) needs</v>
      </c>
      <c r="C174" s="40"/>
      <c r="D174" s="40"/>
      <c r="E174" s="40"/>
      <c r="F174" s="41"/>
      <c r="G174" s="42">
        <f>IF($B174="",NA(),COUNTIFS(June[Contributing Factors],$B174))</f>
        <v>0</v>
      </c>
    </row>
    <row r="175" spans="1:8" x14ac:dyDescent="0.25">
      <c r="A175" s="38"/>
      <c r="B175" s="44" t="str">
        <v>Behavioral or situational</v>
      </c>
      <c r="C175" s="45"/>
      <c r="D175" s="45"/>
      <c r="E175" s="45"/>
      <c r="F175" s="46"/>
      <c r="G175" s="42">
        <f>IF($B175="",NA(),COUNTIFS(June[Contributing Factors],$B175))</f>
        <v>0</v>
      </c>
    </row>
    <row r="176" spans="1:8" x14ac:dyDescent="0.25">
      <c r="A176" s="38"/>
      <c r="B176" s="39" t="str">
        <v>Change of condition</v>
      </c>
      <c r="C176" s="40"/>
      <c r="D176" s="40"/>
      <c r="E176" s="40"/>
      <c r="F176" s="41"/>
      <c r="G176" s="42">
        <f>IF($B176="",NA(),COUNTIFS(June[Contributing Factors],$B176))</f>
        <v>0</v>
      </c>
    </row>
    <row r="177" spans="1:7" x14ac:dyDescent="0.25">
      <c r="A177" s="38"/>
      <c r="B177" s="44" t="str">
        <v>Environmental factors</v>
      </c>
      <c r="C177" s="45"/>
      <c r="D177" s="45"/>
      <c r="E177" s="45"/>
      <c r="F177" s="46"/>
      <c r="G177" s="42">
        <f>IF($B177="",NA(),COUNTIFS(June[Contributing Factors],$B177))</f>
        <v>0</v>
      </c>
    </row>
    <row r="178" spans="1:7" x14ac:dyDescent="0.25">
      <c r="A178" s="38"/>
      <c r="B178" s="39" t="str">
        <v>Equipment malfunction</v>
      </c>
      <c r="C178" s="40"/>
      <c r="D178" s="40"/>
      <c r="E178" s="40"/>
      <c r="F178" s="41"/>
      <c r="G178" s="42">
        <f>IF($B178="",NA(),COUNTIFS(June[Contributing Factors],$B178))</f>
        <v>0</v>
      </c>
    </row>
    <row r="179" spans="1:7" x14ac:dyDescent="0.25">
      <c r="A179" s="38"/>
      <c r="B179" s="44" t="str">
        <v>Equipment or assistive device</v>
      </c>
      <c r="C179" s="45"/>
      <c r="D179" s="45"/>
      <c r="E179" s="45"/>
      <c r="F179" s="46"/>
      <c r="G179" s="42">
        <f>IF($B179="",NA(),COUNTIFS(June[Contributing Factors],$B179))</f>
        <v>0</v>
      </c>
    </row>
    <row r="180" spans="1:7" x14ac:dyDescent="0.25">
      <c r="A180" s="38"/>
      <c r="B180" s="39" t="str">
        <v>Medication related</v>
      </c>
      <c r="C180" s="40"/>
      <c r="D180" s="40"/>
      <c r="E180" s="40"/>
      <c r="F180" s="41"/>
      <c r="G180" s="42">
        <f>IF($B180="",NA(),COUNTIFS(June[Contributing Factors],$B180))</f>
        <v>0</v>
      </c>
    </row>
    <row r="181" spans="1:7" x14ac:dyDescent="0.25">
      <c r="A181" s="38"/>
      <c r="B181" s="44" t="str">
        <v>Process(s) not followed</v>
      </c>
      <c r="C181" s="45"/>
      <c r="D181" s="45"/>
      <c r="E181" s="45"/>
      <c r="F181" s="46"/>
      <c r="G181" s="42">
        <f>IF($B181="",NA(),COUNTIFS(June[Contributing Factors],$B181))</f>
        <v>0</v>
      </c>
    </row>
    <row r="182" spans="1:7" x14ac:dyDescent="0.25">
      <c r="A182" s="38"/>
      <c r="B182" s="39" t="str">
        <v>Resident health conditions</v>
      </c>
      <c r="C182" s="40"/>
      <c r="D182" s="40"/>
      <c r="E182" s="40"/>
      <c r="F182" s="41"/>
      <c r="G182" s="42">
        <f>IF($B182="",NA(),COUNTIFS(June[Contributing Factors],$B182))</f>
        <v>0</v>
      </c>
    </row>
    <row r="183" spans="1:7" x14ac:dyDescent="0.25">
      <c r="A183" s="38"/>
      <c r="B183" s="44" t="str">
        <v>Staff</v>
      </c>
      <c r="C183" s="45"/>
      <c r="D183" s="45"/>
      <c r="E183" s="45"/>
      <c r="F183" s="46"/>
      <c r="G183" s="42">
        <f>IF($B183="",NA(),COUNTIFS(June[Contributing Factors],$B183))</f>
        <v>0</v>
      </c>
    </row>
    <row r="184" spans="1:7" x14ac:dyDescent="0.25">
      <c r="A184" s="38"/>
      <c r="B184" s="39" t="str">
        <v/>
      </c>
      <c r="C184" s="40"/>
      <c r="D184" s="40"/>
      <c r="E184" s="40"/>
      <c r="F184" s="41"/>
      <c r="G184" s="42" t="e">
        <f>IF($B184="",NA(),COUNTIFS(June[Contributing Factors],$B184))</f>
        <v>#N/A</v>
      </c>
    </row>
    <row r="185" spans="1:7" x14ac:dyDescent="0.25">
      <c r="A185" s="38"/>
      <c r="B185" s="44" t="str">
        <v/>
      </c>
      <c r="C185" s="45"/>
      <c r="D185" s="45"/>
      <c r="E185" s="45"/>
      <c r="F185" s="46"/>
      <c r="G185" s="42" t="e">
        <f>IF($B185="",NA(),COUNTIFS(June[Contributing Factors],$B185))</f>
        <v>#N/A</v>
      </c>
    </row>
    <row r="186" spans="1:7" x14ac:dyDescent="0.25">
      <c r="A186" s="38"/>
      <c r="B186" s="39" t="str">
        <v/>
      </c>
      <c r="C186" s="40"/>
      <c r="D186" s="40"/>
      <c r="E186" s="40"/>
      <c r="F186" s="41"/>
      <c r="G186" s="42" t="e">
        <f>IF($B186="",NA(),COUNTIFS(June[Contributing Factors],$B186))</f>
        <v>#N/A</v>
      </c>
    </row>
    <row r="187" spans="1:7" x14ac:dyDescent="0.25">
      <c r="A187" s="38"/>
      <c r="B187" s="44" t="str">
        <v/>
      </c>
      <c r="C187" s="45"/>
      <c r="D187" s="45"/>
      <c r="E187" s="45"/>
      <c r="F187" s="46"/>
      <c r="G187" s="42" t="e">
        <f>IF($B187="",NA(),COUNTIFS(June[Contributing Factors],$B187))</f>
        <v>#N/A</v>
      </c>
    </row>
    <row r="188" spans="1:7" x14ac:dyDescent="0.25">
      <c r="A188" s="38"/>
      <c r="B188" s="39" t="str">
        <v/>
      </c>
      <c r="C188" s="40"/>
      <c r="D188" s="40"/>
      <c r="E188" s="40"/>
      <c r="F188" s="41"/>
      <c r="G188" s="42" t="e">
        <f>IF($B188="",NA(),COUNTIFS(June[Contributing Factors],$B188))</f>
        <v>#N/A</v>
      </c>
    </row>
    <row r="189" spans="1:7" x14ac:dyDescent="0.25">
      <c r="A189" s="38"/>
      <c r="B189" s="44" t="str">
        <v/>
      </c>
      <c r="C189" s="45"/>
      <c r="D189" s="45"/>
      <c r="E189" s="45"/>
      <c r="F189" s="46"/>
      <c r="G189" s="42" t="e">
        <f>IF($B189="",NA(),COUNTIFS(June[Contributing Factors],$B189))</f>
        <v>#N/A</v>
      </c>
    </row>
    <row r="190" spans="1:7" x14ac:dyDescent="0.25">
      <c r="A190" s="38"/>
      <c r="B190" s="39" t="str">
        <v/>
      </c>
      <c r="C190" s="40"/>
      <c r="D190" s="40"/>
      <c r="E190" s="40"/>
      <c r="F190" s="41"/>
      <c r="G190" s="42" t="e">
        <f>IF($B190="",NA(),COUNTIFS(June[Contributing Factors],$B190))</f>
        <v>#N/A</v>
      </c>
    </row>
    <row r="191" spans="1:7" x14ac:dyDescent="0.25">
      <c r="A191" s="38"/>
      <c r="B191" s="44" t="str">
        <v/>
      </c>
      <c r="C191" s="45"/>
      <c r="D191" s="45"/>
      <c r="E191" s="45"/>
      <c r="F191" s="46"/>
      <c r="G191" s="42" t="e">
        <f>IF($B191="",NA(),COUNTIFS(June[Contributing Factors],$B191))</f>
        <v>#N/A</v>
      </c>
    </row>
    <row r="192" spans="1:7" x14ac:dyDescent="0.25">
      <c r="A192" s="38"/>
      <c r="B192" s="39" t="str">
        <v/>
      </c>
      <c r="C192" s="40"/>
      <c r="D192" s="40"/>
      <c r="E192" s="40"/>
      <c r="F192" s="41"/>
      <c r="G192" s="42" t="e">
        <f>IF($B192="",NA(),COUNTIFS(June[Contributing Factors],$B192))</f>
        <v>#N/A</v>
      </c>
    </row>
    <row r="193" spans="1:7" x14ac:dyDescent="0.25">
      <c r="A193" s="38"/>
      <c r="B193" s="44" t="str">
        <v/>
      </c>
      <c r="C193" s="45"/>
      <c r="D193" s="45"/>
      <c r="E193" s="45"/>
      <c r="F193" s="46"/>
      <c r="G193" s="42" t="e">
        <f>IF($B193="",NA(),COUNTIFS(June[Contributing Factors],$B193))</f>
        <v>#N/A</v>
      </c>
    </row>
    <row r="194" spans="1:7" x14ac:dyDescent="0.25">
      <c r="A194" s="38"/>
      <c r="B194" s="39" t="str">
        <v/>
      </c>
      <c r="C194" s="40"/>
      <c r="D194" s="40"/>
      <c r="E194" s="40"/>
      <c r="F194" s="41"/>
      <c r="G194" s="42" t="e">
        <f>IF($B194="",NA(),COUNTIFS(June[Contributing Factors],$B194))</f>
        <v>#N/A</v>
      </c>
    </row>
    <row r="195" spans="1:7" x14ac:dyDescent="0.25">
      <c r="A195" s="38"/>
      <c r="B195" s="44" t="str">
        <v/>
      </c>
      <c r="C195" s="45"/>
      <c r="D195" s="45"/>
      <c r="E195" s="45"/>
      <c r="F195" s="46"/>
      <c r="G195" s="42" t="e">
        <f>IF($B195="",NA(),COUNTIFS(June[Contributing Factors],$B195))</f>
        <v>#N/A</v>
      </c>
    </row>
    <row r="196" spans="1:7" ht="15.75" thickBot="1" x14ac:dyDescent="0.3">
      <c r="A196" s="38"/>
      <c r="B196" s="39" t="str">
        <v/>
      </c>
      <c r="C196" s="40"/>
      <c r="D196" s="40"/>
      <c r="E196" s="40"/>
      <c r="F196" s="41"/>
      <c r="G196" s="42" t="e">
        <f>IF($B196="",NA(),COUNTIFS(June[Contributing Factors],$B196))</f>
        <v>#N/A</v>
      </c>
    </row>
    <row r="197" spans="1:7" ht="15.6" customHeight="1" thickBot="1" x14ac:dyDescent="0.3">
      <c r="B197" s="285" t="s">
        <v>35</v>
      </c>
      <c r="C197" s="286"/>
      <c r="D197" s="286"/>
      <c r="E197" s="286"/>
      <c r="F197" s="287"/>
      <c r="G197" s="37">
        <f>_xlfn.AGGREGATE(9,6,G173:G196)</f>
        <v>0</v>
      </c>
    </row>
  </sheetData>
  <sheetProtection algorithmName="SHA-512" hashValue="UvQtqJTs4Ns/idwhoJ803w8CuK7OzxWIrMs92XrwIDjvFO/GNSwFHN5NvPVVP5NVMg+yWQHiUkeBozPQzOrzcg==" saltValue="15xTUTxzHujodbMXsjwybQ==" spinCount="100000" sheet="1" formatCells="0" formatColumns="0" formatRows="0" sort="0" autoFilter="0"/>
  <mergeCells count="61">
    <mergeCell ref="F56:G56"/>
    <mergeCell ref="B51:D51"/>
    <mergeCell ref="F51:H51"/>
    <mergeCell ref="B52:C52"/>
    <mergeCell ref="F52:G52"/>
    <mergeCell ref="B55:C55"/>
    <mergeCell ref="B121:C121"/>
    <mergeCell ref="F58:H58"/>
    <mergeCell ref="F59:G59"/>
    <mergeCell ref="F63:G63"/>
    <mergeCell ref="B65:G65"/>
    <mergeCell ref="B66:F66"/>
    <mergeCell ref="B91:F91"/>
    <mergeCell ref="B93:D93"/>
    <mergeCell ref="B94:C94"/>
    <mergeCell ref="B106:C106"/>
    <mergeCell ref="B108:D108"/>
    <mergeCell ref="B109:C109"/>
    <mergeCell ref="B135:C135"/>
    <mergeCell ref="B123:D123"/>
    <mergeCell ref="B124:C124"/>
    <mergeCell ref="B125:C125"/>
    <mergeCell ref="B126:C126"/>
    <mergeCell ref="B127:C127"/>
    <mergeCell ref="B128:C128"/>
    <mergeCell ref="B129:C129"/>
    <mergeCell ref="B130:C130"/>
    <mergeCell ref="B131:C131"/>
    <mergeCell ref="B132:C132"/>
    <mergeCell ref="B134:D134"/>
    <mergeCell ref="B153:C153"/>
    <mergeCell ref="B141:C141"/>
    <mergeCell ref="B143:D143"/>
    <mergeCell ref="B144:C144"/>
    <mergeCell ref="B145:C145"/>
    <mergeCell ref="B146:C146"/>
    <mergeCell ref="B147:C147"/>
    <mergeCell ref="B148:C148"/>
    <mergeCell ref="B149:C149"/>
    <mergeCell ref="B150:C150"/>
    <mergeCell ref="B151:C151"/>
    <mergeCell ref="B152:C152"/>
    <mergeCell ref="B165:C165"/>
    <mergeCell ref="B154:C154"/>
    <mergeCell ref="B155:C155"/>
    <mergeCell ref="B156:C156"/>
    <mergeCell ref="B157:C157"/>
    <mergeCell ref="B158:C158"/>
    <mergeCell ref="B159:C159"/>
    <mergeCell ref="B160:C160"/>
    <mergeCell ref="B161:C161"/>
    <mergeCell ref="B162:C162"/>
    <mergeCell ref="B163:C163"/>
    <mergeCell ref="B164:C164"/>
    <mergeCell ref="B197:F197"/>
    <mergeCell ref="B166:C166"/>
    <mergeCell ref="B167:C167"/>
    <mergeCell ref="B168:C168"/>
    <mergeCell ref="B169:C169"/>
    <mergeCell ref="B171:G171"/>
    <mergeCell ref="B172:F172"/>
  </mergeCells>
  <conditionalFormatting sqref="C1">
    <cfRule type="expression" dxfId="211" priority="18">
      <formula>OR($C$1="",$C$1=0)</formula>
    </cfRule>
  </conditionalFormatting>
  <conditionalFormatting sqref="D1">
    <cfRule type="cellIs" dxfId="210" priority="19" operator="equal">
      <formula>"Enter year in Data Validation tab"</formula>
    </cfRule>
  </conditionalFormatting>
  <conditionalFormatting sqref="D4:D40">
    <cfRule type="expression" dxfId="209" priority="22">
      <formula>AND($C4&lt;&gt;"",$D4="")</formula>
    </cfRule>
  </conditionalFormatting>
  <conditionalFormatting sqref="D95:D105">
    <cfRule type="expression" dxfId="208" priority="9">
      <formula>ISERROR($D95)</formula>
    </cfRule>
  </conditionalFormatting>
  <conditionalFormatting sqref="D110:D120">
    <cfRule type="expression" dxfId="207" priority="10">
      <formula>ISERROR($D110)</formula>
    </cfRule>
  </conditionalFormatting>
  <conditionalFormatting sqref="D136:D140">
    <cfRule type="expression" dxfId="206" priority="1">
      <formula>ISERROR(D136)</formula>
    </cfRule>
  </conditionalFormatting>
  <conditionalFormatting sqref="E4:E40">
    <cfRule type="expression" dxfId="205" priority="21">
      <formula>AND($C4&lt;&gt;"",$E4="")</formula>
    </cfRule>
  </conditionalFormatting>
  <conditionalFormatting sqref="F4:F40">
    <cfRule type="expression" dxfId="204" priority="14">
      <formula>AND($C4&lt;&gt;"",$F4="")</formula>
    </cfRule>
  </conditionalFormatting>
  <conditionalFormatting sqref="G4:G40">
    <cfRule type="expression" dxfId="203" priority="13">
      <formula>AND($C4&lt;&gt;"",$G4="")</formula>
    </cfRule>
  </conditionalFormatting>
  <conditionalFormatting sqref="G67:G90">
    <cfRule type="expression" dxfId="202" priority="8">
      <formula>ISERROR($G67)</formula>
    </cfRule>
  </conditionalFormatting>
  <conditionalFormatting sqref="G173:G196">
    <cfRule type="expression" dxfId="201" priority="7">
      <formula>ISERROR($G173)</formula>
    </cfRule>
  </conditionalFormatting>
  <conditionalFormatting sqref="H4:H40">
    <cfRule type="expression" dxfId="200" priority="12">
      <formula>AND($C4&lt;&gt;"",$H4="")</formula>
    </cfRule>
  </conditionalFormatting>
  <conditionalFormatting sqref="I4:I40">
    <cfRule type="expression" dxfId="199" priority="11">
      <formula>AND($C4&lt;&gt;"",$I4="")</formula>
    </cfRule>
  </conditionalFormatting>
  <conditionalFormatting sqref="J4:J40">
    <cfRule type="expression" dxfId="198" priority="23">
      <formula>AND($C4&lt;&gt;"",$J4="")</formula>
    </cfRule>
  </conditionalFormatting>
  <conditionalFormatting sqref="L4:L40">
    <cfRule type="expression" dxfId="197" priority="20">
      <formula>AND($C4&lt;&gt;"",$L4="")</formula>
    </cfRule>
  </conditionalFormatting>
  <conditionalFormatting sqref="N4:N40">
    <cfRule type="expression" dxfId="196" priority="25">
      <formula>AND($C4&lt;&gt;"",$N4="")</formula>
    </cfRule>
  </conditionalFormatting>
  <conditionalFormatting sqref="O4:O40">
    <cfRule type="expression" dxfId="195" priority="4">
      <formula>AND($C4&lt;&gt;"",$O4="")</formula>
    </cfRule>
    <cfRule type="cellIs" dxfId="194" priority="15" operator="equal">
      <formula>"Intact (13-15)"</formula>
    </cfRule>
    <cfRule type="cellIs" dxfId="193" priority="16" operator="equal">
      <formula>"Moderate (8-12)"</formula>
    </cfRule>
    <cfRule type="cellIs" dxfId="192" priority="17" operator="equal">
      <formula>"Severe (1-7)"</formula>
    </cfRule>
  </conditionalFormatting>
  <conditionalFormatting sqref="P4:P40">
    <cfRule type="expression" dxfId="191" priority="5">
      <formula>AND($C4&lt;&gt;"",$P4="")</formula>
    </cfRule>
  </conditionalFormatting>
  <conditionalFormatting sqref="Q4:Q40">
    <cfRule type="expression" dxfId="190" priority="3">
      <formula>AND($C4&lt;&gt;"",$Q4="")</formula>
    </cfRule>
  </conditionalFormatting>
  <conditionalFormatting sqref="R4:R40">
    <cfRule type="expression" dxfId="189" priority="26">
      <formula>AND($C4&lt;&gt;"",$R4="")</formula>
    </cfRule>
  </conditionalFormatting>
  <conditionalFormatting sqref="S4:S40">
    <cfRule type="expression" dxfId="188" priority="6">
      <formula>AND($C4&lt;&gt;"",$S4="")</formula>
    </cfRule>
  </conditionalFormatting>
  <conditionalFormatting sqref="T4:T40">
    <cfRule type="expression" dxfId="187" priority="27">
      <formula>AND($C4&lt;&gt;"",$T4="")</formula>
    </cfRule>
  </conditionalFormatting>
  <conditionalFormatting sqref="U4:U40">
    <cfRule type="expression" dxfId="186" priority="24">
      <formula>AND($C4&lt;&gt;"",$U4="")</formula>
    </cfRule>
  </conditionalFormatting>
  <conditionalFormatting sqref="V4:V40">
    <cfRule type="expression" dxfId="185" priority="2">
      <formula>AND($C4&lt;&gt;"",$V4="")</formula>
    </cfRule>
  </conditionalFormatting>
  <dataValidations count="9">
    <dataValidation type="list" allowBlank="1" showInputMessage="1" showErrorMessage="1" sqref="R4:R40" xr:uid="{62A231E9-F919-465A-A6CF-78D60585D492}">
      <formula1>DV_RCAComp</formula1>
    </dataValidation>
    <dataValidation type="list" allowBlank="1" showInputMessage="1" showErrorMessage="1" sqref="G4:G40" xr:uid="{99356BD4-FF82-44D7-AA98-1F997909F7AF}">
      <formula1>DV_FallCircumstances</formula1>
    </dataValidation>
    <dataValidation type="list" allowBlank="1" showInputMessage="1" showErrorMessage="1" sqref="P4:P40" xr:uid="{87E1B189-5B2C-4520-8BAA-BECF938C5DB8}">
      <formula1>DV_PriortoFall</formula1>
    </dataValidation>
    <dataValidation type="list" allowBlank="1" showInputMessage="1" showErrorMessage="1" sqref="F4:F40" xr:uid="{E5C08830-B837-478C-8E77-898092075DD6}">
      <formula1>DV_Witnessed</formula1>
    </dataValidation>
    <dataValidation type="list" allowBlank="1" showInputMessage="1" showErrorMessage="1" sqref="N4:N40" xr:uid="{D98B622C-3EA8-467C-8C69-BDDE007BC2CC}">
      <formula1>DV_BIMSScore</formula1>
    </dataValidation>
    <dataValidation type="list" allowBlank="1" showInputMessage="1" showErrorMessage="1" sqref="L4:L40" xr:uid="{658154D9-0F88-49DE-A2D2-6B82A9E1C1DC}">
      <formula1>DV_Shifts</formula1>
    </dataValidation>
    <dataValidation type="list" allowBlank="1" showInputMessage="1" showErrorMessage="1" sqref="J4:J40" xr:uid="{D654F466-FCAA-4AB3-8DC6-A8D863564006}">
      <formula1>DV_Station</formula1>
    </dataValidation>
    <dataValidation type="list" allowBlank="1" showInputMessage="1" showErrorMessage="1" sqref="I4:I40" xr:uid="{FF68B592-821B-47CE-9ECE-A3F5666607CF}">
      <formula1>DV_Location</formula1>
    </dataValidation>
    <dataValidation type="list" allowBlank="1" showInputMessage="1" showErrorMessage="1" sqref="H4:H40" xr:uid="{93D1B6BD-4189-4FB9-B202-5D6C95E0C954}">
      <formula1>DV_FallType</formula1>
    </dataValidation>
  </dataValidations>
  <printOptions horizontalCentered="1"/>
  <pageMargins left="0.15" right="0.15" top="0.5" bottom="0.25" header="0.3" footer="0.3"/>
  <pageSetup scale="59" fitToHeight="0" orientation="landscape" r:id="rId1"/>
  <rowBreaks count="3" manualBreakCount="3">
    <brk id="49" max="16383" man="1"/>
    <brk id="91" max="16383" man="1"/>
    <brk id="141" max="16383" man="1"/>
  </rowBreaks>
  <drawing r:id="rId2"/>
  <tableParts count="1">
    <tablePart r:id="rId3"/>
  </tableParts>
  <extLst>
    <ext xmlns:x14="http://schemas.microsoft.com/office/spreadsheetml/2009/9/main" uri="{CCE6A557-97BC-4b89-ADB6-D9C93CAAB3DF}">
      <x14:dataValidations xmlns:xm="http://schemas.microsoft.com/office/excel/2006/main" count="1">
        <x14:dataValidation type="list" allowBlank="1" showInputMessage="1" showErrorMessage="1" xr:uid="{9F586F32-C4C0-4AC2-A00C-4E4772304E98}">
          <x14:formula1>
            <xm:f>'Data Validation'!$K$3:$K$26</xm:f>
          </x14:formula1>
          <xm:sqref>S4:S40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492EBF-59DA-4D9F-BF2A-8066D76D41AD}">
  <sheetPr>
    <pageSetUpPr autoPageBreaks="0" fitToPage="1"/>
  </sheetPr>
  <dimension ref="A1:V197"/>
  <sheetViews>
    <sheetView showGridLines="0" zoomScaleNormal="100" zoomScaleSheetLayoutView="98" workbookViewId="0">
      <selection activeCell="B4" sqref="B4"/>
    </sheetView>
  </sheetViews>
  <sheetFormatPr defaultRowHeight="15" x14ac:dyDescent="0.25"/>
  <cols>
    <col min="1" max="1" width="1.28515625" customWidth="1"/>
    <col min="2" max="2" width="5.85546875" customWidth="1"/>
    <col min="3" max="3" width="17.140625" customWidth="1"/>
    <col min="4" max="4" width="9.28515625" customWidth="1"/>
    <col min="5" max="5" width="11" customWidth="1"/>
    <col min="6" max="6" width="8" customWidth="1"/>
    <col min="7" max="7" width="12.140625" customWidth="1"/>
    <col min="8" max="8" width="10.5703125" customWidth="1"/>
    <col min="9" max="9" width="7.7109375" customWidth="1"/>
    <col min="10" max="10" width="6" customWidth="1"/>
    <col min="11" max="11" width="4.7109375" customWidth="1"/>
    <col min="12" max="12" width="9.28515625" customWidth="1"/>
    <col min="13" max="14" width="4.7109375" customWidth="1"/>
    <col min="15" max="15" width="12.140625" customWidth="1"/>
    <col min="16" max="17" width="23.7109375" customWidth="1"/>
    <col min="18" max="18" width="8.7109375" customWidth="1"/>
    <col min="19" max="19" width="23.7109375" customWidth="1"/>
    <col min="20" max="22" width="11.7109375" customWidth="1"/>
    <col min="23" max="24" width="10.7109375" customWidth="1"/>
  </cols>
  <sheetData>
    <row r="1" spans="1:22" ht="18.75" customHeight="1" x14ac:dyDescent="0.25">
      <c r="B1" s="13" t="s">
        <v>28</v>
      </c>
      <c r="C1" s="14">
        <f>'Data Validation'!$C$4</f>
        <v>0</v>
      </c>
      <c r="D1" s="15" t="str">
        <f>IF(OR($C$1="",$C$1=0),"Enter Year in Data Validation tab",'Data Validation'!$C$2&amp;" July ")</f>
        <v>Enter Year in Data Validation tab</v>
      </c>
      <c r="E1" s="16"/>
      <c r="F1" s="16"/>
      <c r="G1" s="16"/>
      <c r="H1" s="16"/>
      <c r="I1" s="16"/>
      <c r="J1" s="16"/>
      <c r="K1" s="16"/>
      <c r="L1" s="16"/>
      <c r="M1" s="16"/>
      <c r="N1" s="4"/>
      <c r="O1" s="16"/>
      <c r="P1" s="16"/>
      <c r="Q1" s="16"/>
      <c r="R1" s="17" t="s">
        <v>59</v>
      </c>
      <c r="S1" s="14" t="str">
        <f>IF(COUNTIFS(July[Resident Name],"&lt;&gt;")=0,"No Data",COUNTIFS(July[Resident Name],"&lt;&gt;"))</f>
        <v>No Data</v>
      </c>
      <c r="T1" s="17" t="s">
        <v>62</v>
      </c>
      <c r="U1" s="14" t="str">
        <f>'Fall Rate and Census'!$T$36</f>
        <v>No Data</v>
      </c>
    </row>
    <row r="2" spans="1:22" ht="8.1" customHeight="1" x14ac:dyDescent="0.25">
      <c r="B2" s="18"/>
      <c r="C2" s="16"/>
      <c r="D2" s="16"/>
      <c r="E2" s="16"/>
      <c r="F2" s="16"/>
      <c r="G2" s="16"/>
      <c r="H2" s="16"/>
      <c r="I2" s="16"/>
      <c r="J2" s="16"/>
      <c r="K2" s="16"/>
      <c r="L2" s="16"/>
      <c r="M2" s="16"/>
      <c r="N2" s="16"/>
      <c r="O2" s="16"/>
      <c r="P2" s="16"/>
      <c r="Q2" s="16"/>
      <c r="R2" s="16"/>
    </row>
    <row r="3" spans="1:22" ht="22.35" customHeight="1" x14ac:dyDescent="0.25">
      <c r="B3" s="19" t="s">
        <v>104</v>
      </c>
      <c r="C3" s="19" t="s">
        <v>105</v>
      </c>
      <c r="D3" s="20" t="s">
        <v>0</v>
      </c>
      <c r="E3" s="20" t="s">
        <v>89</v>
      </c>
      <c r="F3" s="20" t="s">
        <v>84</v>
      </c>
      <c r="G3" s="20" t="s">
        <v>100</v>
      </c>
      <c r="H3" s="20" t="s">
        <v>90</v>
      </c>
      <c r="I3" s="20" t="s">
        <v>1</v>
      </c>
      <c r="J3" s="20" t="s">
        <v>2</v>
      </c>
      <c r="K3" s="20" t="s">
        <v>3</v>
      </c>
      <c r="L3" s="20" t="s">
        <v>33</v>
      </c>
      <c r="M3" s="20" t="s">
        <v>34</v>
      </c>
      <c r="N3" s="20" t="s">
        <v>26</v>
      </c>
      <c r="O3" s="20" t="s">
        <v>30</v>
      </c>
      <c r="P3" s="19" t="s">
        <v>158</v>
      </c>
      <c r="Q3" s="19" t="s">
        <v>80</v>
      </c>
      <c r="R3" s="20" t="s">
        <v>81</v>
      </c>
      <c r="S3" s="20" t="s">
        <v>92</v>
      </c>
      <c r="T3" s="12" t="s">
        <v>95</v>
      </c>
      <c r="U3" s="12" t="s">
        <v>94</v>
      </c>
      <c r="V3" s="12" t="s">
        <v>96</v>
      </c>
    </row>
    <row r="4" spans="1:22" ht="20.85" customHeight="1" x14ac:dyDescent="0.25">
      <c r="A4" s="21"/>
      <c r="B4" s="266"/>
      <c r="C4" s="5"/>
      <c r="D4" s="263"/>
      <c r="E4" s="263"/>
      <c r="F4" s="266"/>
      <c r="G4" s="267"/>
      <c r="H4" s="2"/>
      <c r="I4" s="2"/>
      <c r="J4" s="2"/>
      <c r="K4" s="24" t="str">
        <f>IF(July[[#This Row],[Date of Incident]]="","",TEXT(July[[#This Row],[Date of Incident]],"ddd"))</f>
        <v/>
      </c>
      <c r="L4" s="1"/>
      <c r="M4" s="24" t="str">
        <f>IFERROR(VLOOKUP(July[[#This Row],[Hour]],Shifts[],2,FALSE),"")</f>
        <v/>
      </c>
      <c r="N4" s="2"/>
      <c r="O4" s="24" t="str">
        <f>IFERROR(VLOOKUP(July[[#This Row],[BIMS Score]],BIMS[],2,FALSE),"")</f>
        <v/>
      </c>
      <c r="P4" s="3"/>
      <c r="Q4" s="3"/>
      <c r="R4" s="2"/>
      <c r="S4" s="168"/>
      <c r="T4" s="3"/>
      <c r="U4" s="3"/>
      <c r="V4" s="3"/>
    </row>
    <row r="5" spans="1:22" ht="20.85" customHeight="1" x14ac:dyDescent="0.25">
      <c r="A5" s="21"/>
      <c r="B5" s="266"/>
      <c r="C5" s="5"/>
      <c r="D5" s="263"/>
      <c r="E5" s="263"/>
      <c r="F5" s="266"/>
      <c r="G5" s="267"/>
      <c r="H5" s="2"/>
      <c r="I5" s="2"/>
      <c r="J5" s="2"/>
      <c r="K5" s="24" t="str">
        <f>IF(July[[#This Row],[Date of Incident]]="","",TEXT(July[[#This Row],[Date of Incident]],"ddd"))</f>
        <v/>
      </c>
      <c r="L5" s="1"/>
      <c r="M5" s="24" t="str">
        <f>IFERROR(VLOOKUP(July[[#This Row],[Hour]],Shifts[],2,FALSE),"")</f>
        <v/>
      </c>
      <c r="N5" s="2"/>
      <c r="O5" s="24" t="str">
        <f>IFERROR(VLOOKUP(July[[#This Row],[BIMS Score]],BIMS[],2,FALSE),"")</f>
        <v/>
      </c>
      <c r="P5" s="3"/>
      <c r="Q5" s="3"/>
      <c r="R5" s="2"/>
      <c r="S5" s="168"/>
      <c r="T5" s="3"/>
      <c r="U5" s="3"/>
      <c r="V5" s="3"/>
    </row>
    <row r="6" spans="1:22" ht="20.85" customHeight="1" x14ac:dyDescent="0.25">
      <c r="A6" s="21"/>
      <c r="B6" s="266"/>
      <c r="C6" s="5"/>
      <c r="D6" s="263"/>
      <c r="E6" s="263"/>
      <c r="F6" s="266"/>
      <c r="G6" s="267"/>
      <c r="H6" s="2"/>
      <c r="I6" s="2"/>
      <c r="J6" s="2"/>
      <c r="K6" s="24" t="str">
        <f>IF(July[[#This Row],[Date of Incident]]="","",TEXT(July[[#This Row],[Date of Incident]],"ddd"))</f>
        <v/>
      </c>
      <c r="L6" s="1"/>
      <c r="M6" s="24" t="str">
        <f>IFERROR(VLOOKUP(July[[#This Row],[Hour]],Shifts[],2,FALSE),"")</f>
        <v/>
      </c>
      <c r="N6" s="2"/>
      <c r="O6" s="24" t="str">
        <f>IFERROR(VLOOKUP(July[[#This Row],[BIMS Score]],BIMS[],2,FALSE),"")</f>
        <v/>
      </c>
      <c r="P6" s="3"/>
      <c r="Q6" s="3"/>
      <c r="R6" s="2"/>
      <c r="S6" s="168"/>
      <c r="T6" s="3"/>
      <c r="U6" s="3"/>
      <c r="V6" s="3"/>
    </row>
    <row r="7" spans="1:22" ht="20.85" customHeight="1" x14ac:dyDescent="0.25">
      <c r="A7" s="21"/>
      <c r="B7" s="266"/>
      <c r="C7" s="5"/>
      <c r="D7" s="263"/>
      <c r="E7" s="263"/>
      <c r="F7" s="266"/>
      <c r="G7" s="267"/>
      <c r="H7" s="2"/>
      <c r="I7" s="2"/>
      <c r="J7" s="2"/>
      <c r="K7" s="24" t="str">
        <f>IF(July[[#This Row],[Date of Incident]]="","",TEXT(July[[#This Row],[Date of Incident]],"ddd"))</f>
        <v/>
      </c>
      <c r="L7" s="1"/>
      <c r="M7" s="24" t="str">
        <f>IFERROR(VLOOKUP(July[[#This Row],[Hour]],Shifts[],2,FALSE),"")</f>
        <v/>
      </c>
      <c r="N7" s="2"/>
      <c r="O7" s="24" t="str">
        <f>IFERROR(VLOOKUP(July[[#This Row],[BIMS Score]],BIMS[],2,FALSE),"")</f>
        <v/>
      </c>
      <c r="P7" s="3"/>
      <c r="Q7" s="3"/>
      <c r="R7" s="2"/>
      <c r="S7" s="168"/>
      <c r="T7" s="3"/>
      <c r="U7" s="3"/>
      <c r="V7" s="3"/>
    </row>
    <row r="8" spans="1:22" ht="20.85" customHeight="1" x14ac:dyDescent="0.25">
      <c r="A8" s="21"/>
      <c r="B8" s="266"/>
      <c r="C8" s="5"/>
      <c r="D8" s="263"/>
      <c r="E8" s="263"/>
      <c r="F8" s="266"/>
      <c r="G8" s="267"/>
      <c r="H8" s="2"/>
      <c r="I8" s="2"/>
      <c r="J8" s="2"/>
      <c r="K8" s="24" t="str">
        <f>IF(July[[#This Row],[Date of Incident]]="","",TEXT(July[[#This Row],[Date of Incident]],"ddd"))</f>
        <v/>
      </c>
      <c r="L8" s="1"/>
      <c r="M8" s="24" t="str">
        <f>IFERROR(VLOOKUP(July[[#This Row],[Hour]],Shifts[],2,FALSE),"")</f>
        <v/>
      </c>
      <c r="N8" s="2"/>
      <c r="O8" s="24" t="str">
        <f>IFERROR(VLOOKUP(July[[#This Row],[BIMS Score]],BIMS[],2,FALSE),"")</f>
        <v/>
      </c>
      <c r="P8" s="3"/>
      <c r="Q8" s="3"/>
      <c r="R8" s="2"/>
      <c r="S8" s="168"/>
      <c r="T8" s="3"/>
      <c r="U8" s="3"/>
      <c r="V8" s="3"/>
    </row>
    <row r="9" spans="1:22" ht="20.85" customHeight="1" x14ac:dyDescent="0.25">
      <c r="A9" s="21"/>
      <c r="B9" s="266"/>
      <c r="C9" s="5"/>
      <c r="D9" s="263"/>
      <c r="E9" s="263"/>
      <c r="F9" s="266"/>
      <c r="G9" s="267"/>
      <c r="H9" s="2"/>
      <c r="I9" s="2"/>
      <c r="J9" s="2"/>
      <c r="K9" s="24" t="str">
        <f>IF(July[[#This Row],[Date of Incident]]="","",TEXT(July[[#This Row],[Date of Incident]],"ddd"))</f>
        <v/>
      </c>
      <c r="L9" s="1"/>
      <c r="M9" s="24" t="str">
        <f>IFERROR(VLOOKUP(July[[#This Row],[Hour]],Shifts[],2,FALSE),"")</f>
        <v/>
      </c>
      <c r="N9" s="2"/>
      <c r="O9" s="24" t="str">
        <f>IFERROR(VLOOKUP(July[[#This Row],[BIMS Score]],BIMS[],2,FALSE),"")</f>
        <v/>
      </c>
      <c r="P9" s="3"/>
      <c r="Q9" s="3"/>
      <c r="R9" s="2"/>
      <c r="S9" s="168"/>
      <c r="T9" s="3"/>
      <c r="U9" s="3"/>
      <c r="V9" s="3"/>
    </row>
    <row r="10" spans="1:22" ht="20.85" customHeight="1" x14ac:dyDescent="0.25">
      <c r="A10" s="21"/>
      <c r="B10" s="266"/>
      <c r="C10" s="5"/>
      <c r="D10" s="263"/>
      <c r="E10" s="263"/>
      <c r="F10" s="266"/>
      <c r="G10" s="267"/>
      <c r="H10" s="2"/>
      <c r="I10" s="2"/>
      <c r="J10" s="2"/>
      <c r="K10" s="24" t="str">
        <f>IF(July[[#This Row],[Date of Incident]]="","",TEXT(July[[#This Row],[Date of Incident]],"ddd"))</f>
        <v/>
      </c>
      <c r="L10" s="1"/>
      <c r="M10" s="24" t="str">
        <f>IFERROR(VLOOKUP(July[[#This Row],[Hour]],Shifts[],2,FALSE),"")</f>
        <v/>
      </c>
      <c r="N10" s="2"/>
      <c r="O10" s="24" t="str">
        <f>IFERROR(VLOOKUP(July[[#This Row],[BIMS Score]],BIMS[],2,FALSE),"")</f>
        <v/>
      </c>
      <c r="P10" s="3"/>
      <c r="Q10" s="3"/>
      <c r="R10" s="2"/>
      <c r="S10" s="168"/>
      <c r="T10" s="3"/>
      <c r="U10" s="3"/>
      <c r="V10" s="3"/>
    </row>
    <row r="11" spans="1:22" ht="20.85" customHeight="1" x14ac:dyDescent="0.25">
      <c r="A11" s="21"/>
      <c r="B11" s="266"/>
      <c r="C11" s="5"/>
      <c r="D11" s="263"/>
      <c r="E11" s="263"/>
      <c r="F11" s="266"/>
      <c r="G11" s="267"/>
      <c r="H11" s="2"/>
      <c r="I11" s="2"/>
      <c r="J11" s="2"/>
      <c r="K11" s="24" t="str">
        <f>IF(July[[#This Row],[Date of Incident]]="","",TEXT(July[[#This Row],[Date of Incident]],"ddd"))</f>
        <v/>
      </c>
      <c r="L11" s="1"/>
      <c r="M11" s="24" t="str">
        <f>IFERROR(VLOOKUP(July[[#This Row],[Hour]],Shifts[],2,FALSE),"")</f>
        <v/>
      </c>
      <c r="N11" s="2"/>
      <c r="O11" s="24" t="str">
        <f>IFERROR(VLOOKUP(July[[#This Row],[BIMS Score]],BIMS[],2,FALSE),"")</f>
        <v/>
      </c>
      <c r="P11" s="3"/>
      <c r="Q11" s="3"/>
      <c r="R11" s="2"/>
      <c r="S11" s="168"/>
      <c r="T11" s="3"/>
      <c r="U11" s="3"/>
      <c r="V11" s="3"/>
    </row>
    <row r="12" spans="1:22" ht="20.85" customHeight="1" x14ac:dyDescent="0.25">
      <c r="A12" s="21"/>
      <c r="B12" s="267"/>
      <c r="C12" s="5"/>
      <c r="D12" s="264"/>
      <c r="E12" s="263"/>
      <c r="F12" s="267"/>
      <c r="G12" s="267"/>
      <c r="H12" s="2"/>
      <c r="I12" s="2"/>
      <c r="J12" s="2"/>
      <c r="K12" s="24" t="str">
        <f>IF(July[[#This Row],[Date of Incident]]="","",TEXT(July[[#This Row],[Date of Incident]],"ddd"))</f>
        <v/>
      </c>
      <c r="L12" s="1"/>
      <c r="M12" s="24" t="str">
        <f>IFERROR(VLOOKUP(July[[#This Row],[Hour]],Shifts[],2,FALSE),"")</f>
        <v/>
      </c>
      <c r="N12" s="2"/>
      <c r="O12" s="24" t="str">
        <f>IFERROR(VLOOKUP(July[[#This Row],[BIMS Score]],BIMS[],2,FALSE),"")</f>
        <v/>
      </c>
      <c r="P12" s="3"/>
      <c r="Q12" s="3"/>
      <c r="R12" s="2"/>
      <c r="S12" s="168"/>
      <c r="T12" s="3"/>
      <c r="U12" s="3"/>
      <c r="V12" s="3"/>
    </row>
    <row r="13" spans="1:22" ht="20.85" customHeight="1" x14ac:dyDescent="0.25">
      <c r="A13" s="21"/>
      <c r="B13" s="267"/>
      <c r="C13" s="5"/>
      <c r="D13" s="264"/>
      <c r="E13" s="263"/>
      <c r="F13" s="267"/>
      <c r="G13" s="267"/>
      <c r="H13" s="2"/>
      <c r="I13" s="2"/>
      <c r="J13" s="2"/>
      <c r="K13" s="24" t="str">
        <f>IF(July[[#This Row],[Date of Incident]]="","",TEXT(July[[#This Row],[Date of Incident]],"ddd"))</f>
        <v/>
      </c>
      <c r="L13" s="1"/>
      <c r="M13" s="24" t="str">
        <f>IFERROR(VLOOKUP(July[[#This Row],[Hour]],Shifts[],2,FALSE),"")</f>
        <v/>
      </c>
      <c r="N13" s="2"/>
      <c r="O13" s="24" t="str">
        <f>IFERROR(VLOOKUP(July[[#This Row],[BIMS Score]],BIMS[],2,FALSE),"")</f>
        <v/>
      </c>
      <c r="P13" s="3"/>
      <c r="Q13" s="3"/>
      <c r="R13" s="2"/>
      <c r="S13" s="168"/>
      <c r="T13" s="3"/>
      <c r="U13" s="3"/>
      <c r="V13" s="3"/>
    </row>
    <row r="14" spans="1:22" ht="20.85" customHeight="1" x14ac:dyDescent="0.25">
      <c r="A14" s="21"/>
      <c r="B14" s="267"/>
      <c r="C14" s="5"/>
      <c r="D14" s="264"/>
      <c r="E14" s="263"/>
      <c r="F14" s="267"/>
      <c r="G14" s="267"/>
      <c r="H14" s="2"/>
      <c r="I14" s="2"/>
      <c r="J14" s="2"/>
      <c r="K14" s="24" t="str">
        <f>IF(July[[#This Row],[Date of Incident]]="","",TEXT(July[[#This Row],[Date of Incident]],"ddd"))</f>
        <v/>
      </c>
      <c r="L14" s="1"/>
      <c r="M14" s="24" t="str">
        <f>IFERROR(VLOOKUP(July[[#This Row],[Hour]],Shifts[],2,FALSE),"")</f>
        <v/>
      </c>
      <c r="N14" s="2"/>
      <c r="O14" s="24" t="str">
        <f>IFERROR(VLOOKUP(July[[#This Row],[BIMS Score]],BIMS[],2,FALSE),"")</f>
        <v/>
      </c>
      <c r="P14" s="3"/>
      <c r="Q14" s="3"/>
      <c r="R14" s="2"/>
      <c r="S14" s="168"/>
      <c r="T14" s="3"/>
      <c r="U14" s="3"/>
      <c r="V14" s="3"/>
    </row>
    <row r="15" spans="1:22" ht="20.85" customHeight="1" x14ac:dyDescent="0.25">
      <c r="A15" s="21"/>
      <c r="B15" s="267"/>
      <c r="C15" s="5"/>
      <c r="D15" s="264"/>
      <c r="E15" s="263"/>
      <c r="F15" s="267"/>
      <c r="G15" s="267"/>
      <c r="H15" s="2"/>
      <c r="I15" s="2"/>
      <c r="J15" s="2"/>
      <c r="K15" s="24" t="str">
        <f>IF(July[[#This Row],[Date of Incident]]="","",TEXT(July[[#This Row],[Date of Incident]],"ddd"))</f>
        <v/>
      </c>
      <c r="L15" s="1"/>
      <c r="M15" s="24" t="str">
        <f>IFERROR(VLOOKUP(July[[#This Row],[Hour]],Shifts[],2,FALSE),"")</f>
        <v/>
      </c>
      <c r="N15" s="2"/>
      <c r="O15" s="24" t="str">
        <f>IFERROR(VLOOKUP(July[[#This Row],[BIMS Score]],BIMS[],2,FALSE),"")</f>
        <v/>
      </c>
      <c r="P15" s="3"/>
      <c r="Q15" s="3"/>
      <c r="R15" s="2"/>
      <c r="S15" s="168"/>
      <c r="T15" s="3"/>
      <c r="U15" s="3"/>
      <c r="V15" s="3"/>
    </row>
    <row r="16" spans="1:22" ht="20.85" customHeight="1" x14ac:dyDescent="0.25">
      <c r="A16" s="21"/>
      <c r="B16" s="267"/>
      <c r="C16" s="3"/>
      <c r="D16" s="264"/>
      <c r="E16" s="264"/>
      <c r="F16" s="267"/>
      <c r="G16" s="267"/>
      <c r="H16" s="2"/>
      <c r="I16" s="2"/>
      <c r="J16" s="2"/>
      <c r="K16" s="24" t="str">
        <f>IF(July[[#This Row],[Date of Incident]]="","",TEXT(July[[#This Row],[Date of Incident]],"ddd"))</f>
        <v/>
      </c>
      <c r="L16" s="1"/>
      <c r="M16" s="24" t="str">
        <f>IFERROR(VLOOKUP(July[[#This Row],[Hour]],Shifts[],2,FALSE),"")</f>
        <v/>
      </c>
      <c r="N16" s="2"/>
      <c r="O16" s="24" t="str">
        <f>IFERROR(VLOOKUP(July[[#This Row],[BIMS Score]],BIMS[],2,FALSE),"")</f>
        <v/>
      </c>
      <c r="P16" s="3"/>
      <c r="Q16" s="3"/>
      <c r="R16" s="2"/>
      <c r="S16" s="168"/>
      <c r="T16" s="3"/>
      <c r="U16" s="3"/>
      <c r="V16" s="3"/>
    </row>
    <row r="17" spans="1:22" ht="20.85" customHeight="1" x14ac:dyDescent="0.25">
      <c r="A17" s="21"/>
      <c r="B17" s="267"/>
      <c r="C17" s="3"/>
      <c r="D17" s="264"/>
      <c r="E17" s="264"/>
      <c r="F17" s="267"/>
      <c r="G17" s="267"/>
      <c r="H17" s="2"/>
      <c r="I17" s="2"/>
      <c r="J17" s="2"/>
      <c r="K17" s="24" t="str">
        <f>IF(July[[#This Row],[Date of Incident]]="","",TEXT(July[[#This Row],[Date of Incident]],"ddd"))</f>
        <v/>
      </c>
      <c r="L17" s="1"/>
      <c r="M17" s="24" t="str">
        <f>IFERROR(VLOOKUP(July[[#This Row],[Hour]],Shifts[],2,FALSE),"")</f>
        <v/>
      </c>
      <c r="N17" s="2"/>
      <c r="O17" s="24" t="str">
        <f>IFERROR(VLOOKUP(July[[#This Row],[BIMS Score]],BIMS[],2,FALSE),"")</f>
        <v/>
      </c>
      <c r="P17" s="3"/>
      <c r="Q17" s="3"/>
      <c r="R17" s="2"/>
      <c r="S17" s="168"/>
      <c r="T17" s="3"/>
      <c r="U17" s="3"/>
      <c r="V17" s="3"/>
    </row>
    <row r="18" spans="1:22" ht="20.85" customHeight="1" x14ac:dyDescent="0.25">
      <c r="A18" s="21"/>
      <c r="B18" s="267"/>
      <c r="C18" s="3"/>
      <c r="D18" s="264"/>
      <c r="E18" s="264"/>
      <c r="F18" s="267"/>
      <c r="G18" s="267"/>
      <c r="H18" s="2"/>
      <c r="I18" s="2"/>
      <c r="J18" s="2"/>
      <c r="K18" s="24" t="str">
        <f>IF(July[[#This Row],[Date of Incident]]="","",TEXT(July[[#This Row],[Date of Incident]],"ddd"))</f>
        <v/>
      </c>
      <c r="L18" s="1"/>
      <c r="M18" s="24" t="str">
        <f>IFERROR(VLOOKUP(July[[#This Row],[Hour]],Shifts[],2,FALSE),"")</f>
        <v/>
      </c>
      <c r="N18" s="2"/>
      <c r="O18" s="24" t="str">
        <f>IFERROR(VLOOKUP(July[[#This Row],[BIMS Score]],BIMS[],2,FALSE),"")</f>
        <v/>
      </c>
      <c r="P18" s="3"/>
      <c r="Q18" s="3"/>
      <c r="R18" s="2"/>
      <c r="S18" s="168"/>
      <c r="T18" s="3"/>
      <c r="U18" s="3"/>
      <c r="V18" s="3"/>
    </row>
    <row r="19" spans="1:22" ht="20.85" customHeight="1" x14ac:dyDescent="0.25">
      <c r="A19" s="21"/>
      <c r="B19" s="267"/>
      <c r="C19" s="3"/>
      <c r="D19" s="264"/>
      <c r="E19" s="264"/>
      <c r="F19" s="267"/>
      <c r="G19" s="267"/>
      <c r="H19" s="2"/>
      <c r="I19" s="2"/>
      <c r="J19" s="2"/>
      <c r="K19" s="24" t="str">
        <f>IF(July[[#This Row],[Date of Incident]]="","",TEXT(July[[#This Row],[Date of Incident]],"ddd"))</f>
        <v/>
      </c>
      <c r="L19" s="1"/>
      <c r="M19" s="24" t="str">
        <f>IFERROR(VLOOKUP(July[[#This Row],[Hour]],Shifts[],2,FALSE),"")</f>
        <v/>
      </c>
      <c r="N19" s="2"/>
      <c r="O19" s="24" t="str">
        <f>IFERROR(VLOOKUP(July[[#This Row],[BIMS Score]],BIMS[],2,FALSE),"")</f>
        <v/>
      </c>
      <c r="P19" s="3"/>
      <c r="Q19" s="3"/>
      <c r="R19" s="2"/>
      <c r="S19" s="168"/>
      <c r="T19" s="3"/>
      <c r="U19" s="3"/>
      <c r="V19" s="3"/>
    </row>
    <row r="20" spans="1:22" ht="20.85" customHeight="1" x14ac:dyDescent="0.25">
      <c r="A20" s="21"/>
      <c r="B20" s="267"/>
      <c r="C20" s="3"/>
      <c r="D20" s="264"/>
      <c r="E20" s="264"/>
      <c r="F20" s="267"/>
      <c r="G20" s="267"/>
      <c r="H20" s="2"/>
      <c r="I20" s="2"/>
      <c r="J20" s="2"/>
      <c r="K20" s="24" t="str">
        <f>IF(July[[#This Row],[Date of Incident]]="","",TEXT(July[[#This Row],[Date of Incident]],"ddd"))</f>
        <v/>
      </c>
      <c r="L20" s="1"/>
      <c r="M20" s="24" t="str">
        <f>IFERROR(VLOOKUP(July[[#This Row],[Hour]],Shifts[],2,FALSE),"")</f>
        <v/>
      </c>
      <c r="N20" s="2"/>
      <c r="O20" s="24" t="str">
        <f>IFERROR(VLOOKUP(July[[#This Row],[BIMS Score]],BIMS[],2,FALSE),"")</f>
        <v/>
      </c>
      <c r="P20" s="3"/>
      <c r="Q20" s="3"/>
      <c r="R20" s="2"/>
      <c r="S20" s="168"/>
      <c r="T20" s="3"/>
      <c r="U20" s="3"/>
      <c r="V20" s="3"/>
    </row>
    <row r="21" spans="1:22" ht="20.85" customHeight="1" x14ac:dyDescent="0.25">
      <c r="A21" s="21"/>
      <c r="B21" s="267"/>
      <c r="C21" s="3"/>
      <c r="D21" s="264"/>
      <c r="E21" s="264"/>
      <c r="F21" s="267"/>
      <c r="G21" s="267"/>
      <c r="H21" s="2"/>
      <c r="I21" s="2"/>
      <c r="J21" s="2"/>
      <c r="K21" s="24" t="str">
        <f>IF(July[[#This Row],[Date of Incident]]="","",TEXT(July[[#This Row],[Date of Incident]],"ddd"))</f>
        <v/>
      </c>
      <c r="L21" s="1"/>
      <c r="M21" s="24" t="str">
        <f>IFERROR(VLOOKUP(July[[#This Row],[Hour]],Shifts[],2,FALSE),"")</f>
        <v/>
      </c>
      <c r="N21" s="2"/>
      <c r="O21" s="24" t="str">
        <f>IFERROR(VLOOKUP(July[[#This Row],[BIMS Score]],BIMS[],2,FALSE),"")</f>
        <v/>
      </c>
      <c r="P21" s="3"/>
      <c r="Q21" s="3"/>
      <c r="R21" s="2"/>
      <c r="S21" s="168"/>
      <c r="T21" s="3"/>
      <c r="U21" s="3"/>
      <c r="V21" s="3"/>
    </row>
    <row r="22" spans="1:22" ht="20.85" customHeight="1" x14ac:dyDescent="0.25">
      <c r="A22" s="21"/>
      <c r="B22" s="267"/>
      <c r="C22" s="3"/>
      <c r="D22" s="264"/>
      <c r="E22" s="264"/>
      <c r="F22" s="267"/>
      <c r="G22" s="267"/>
      <c r="H22" s="2"/>
      <c r="I22" s="2"/>
      <c r="J22" s="2"/>
      <c r="K22" s="24" t="str">
        <f>IF(July[[#This Row],[Date of Incident]]="","",TEXT(July[[#This Row],[Date of Incident]],"ddd"))</f>
        <v/>
      </c>
      <c r="L22" s="1"/>
      <c r="M22" s="24" t="str">
        <f>IFERROR(VLOOKUP(July[[#This Row],[Hour]],Shifts[],2,FALSE),"")</f>
        <v/>
      </c>
      <c r="N22" s="1"/>
      <c r="O22" s="24" t="str">
        <f>IFERROR(VLOOKUP(July[[#This Row],[BIMS Score]],BIMS[],2,FALSE),"")</f>
        <v/>
      </c>
      <c r="P22" s="3"/>
      <c r="Q22" s="3"/>
      <c r="R22" s="2"/>
      <c r="S22" s="168"/>
      <c r="T22" s="3"/>
      <c r="U22" s="3"/>
      <c r="V22" s="3"/>
    </row>
    <row r="23" spans="1:22" ht="20.85" customHeight="1" x14ac:dyDescent="0.25">
      <c r="A23" s="21"/>
      <c r="B23" s="267"/>
      <c r="C23" s="3"/>
      <c r="D23" s="264"/>
      <c r="E23" s="264"/>
      <c r="F23" s="267"/>
      <c r="G23" s="267"/>
      <c r="H23" s="2"/>
      <c r="I23" s="2"/>
      <c r="J23" s="2"/>
      <c r="K23" s="24" t="str">
        <f>IF(July[[#This Row],[Date of Incident]]="","",TEXT(July[[#This Row],[Date of Incident]],"ddd"))</f>
        <v/>
      </c>
      <c r="L23" s="1"/>
      <c r="M23" s="24" t="str">
        <f>IFERROR(VLOOKUP(July[[#This Row],[Hour]],Shifts[],2,FALSE),"")</f>
        <v/>
      </c>
      <c r="N23" s="1"/>
      <c r="O23" s="24" t="str">
        <f>IFERROR(VLOOKUP(July[[#This Row],[BIMS Score]],BIMS[],2,FALSE),"")</f>
        <v/>
      </c>
      <c r="P23" s="3"/>
      <c r="Q23" s="3"/>
      <c r="R23" s="2"/>
      <c r="S23" s="168"/>
      <c r="T23" s="3"/>
      <c r="U23" s="3"/>
      <c r="V23" s="3"/>
    </row>
    <row r="24" spans="1:22" s="10" customFormat="1" ht="20.85" customHeight="1" x14ac:dyDescent="0.25">
      <c r="A24" s="26"/>
      <c r="B24" s="266"/>
      <c r="C24" s="5"/>
      <c r="D24" s="263"/>
      <c r="E24" s="263"/>
      <c r="F24" s="267"/>
      <c r="G24" s="267"/>
      <c r="H24" s="1"/>
      <c r="I24" s="1"/>
      <c r="J24" s="1"/>
      <c r="K24" s="24" t="str">
        <f>IF(July[[#This Row],[Date of Incident]]="","",TEXT(July[[#This Row],[Date of Incident]],"ddd"))</f>
        <v/>
      </c>
      <c r="L24" s="1"/>
      <c r="M24" s="24" t="str">
        <f>IFERROR(VLOOKUP(July[[#This Row],[Hour]],Shifts[],2,FALSE),"")</f>
        <v/>
      </c>
      <c r="N24" s="1"/>
      <c r="O24" s="24" t="str">
        <f>IFERROR(VLOOKUP(July[[#This Row],[BIMS Score]],BIMS[],2,FALSE),"")</f>
        <v/>
      </c>
      <c r="P24" s="3"/>
      <c r="Q24" s="3"/>
      <c r="R24" s="2"/>
      <c r="S24" s="168"/>
      <c r="T24" s="5"/>
      <c r="U24" s="5"/>
      <c r="V24" s="3"/>
    </row>
    <row r="25" spans="1:22" ht="20.85" customHeight="1" x14ac:dyDescent="0.25">
      <c r="A25" s="21"/>
      <c r="B25" s="266"/>
      <c r="C25" s="5"/>
      <c r="D25" s="263"/>
      <c r="E25" s="263"/>
      <c r="F25" s="267"/>
      <c r="G25" s="267"/>
      <c r="H25" s="1"/>
      <c r="I25" s="1"/>
      <c r="J25" s="1"/>
      <c r="K25" s="24" t="str">
        <f>IF(July[[#This Row],[Date of Incident]]="","",TEXT(July[[#This Row],[Date of Incident]],"ddd"))</f>
        <v/>
      </c>
      <c r="L25" s="1"/>
      <c r="M25" s="24" t="str">
        <f>IFERROR(VLOOKUP(July[[#This Row],[Hour]],Shifts[],2,FALSE),"")</f>
        <v/>
      </c>
      <c r="N25" s="1"/>
      <c r="O25" s="24" t="str">
        <f>IFERROR(VLOOKUP(July[[#This Row],[BIMS Score]],BIMS[],2,FALSE),"")</f>
        <v/>
      </c>
      <c r="P25" s="3"/>
      <c r="Q25" s="3"/>
      <c r="R25" s="2"/>
      <c r="S25" s="168"/>
      <c r="T25" s="5"/>
      <c r="U25" s="5"/>
      <c r="V25" s="3"/>
    </row>
    <row r="26" spans="1:22" ht="20.85" customHeight="1" x14ac:dyDescent="0.25">
      <c r="A26" s="21"/>
      <c r="B26" s="266"/>
      <c r="C26" s="5"/>
      <c r="D26" s="263"/>
      <c r="E26" s="263"/>
      <c r="F26" s="267"/>
      <c r="G26" s="267"/>
      <c r="H26" s="1"/>
      <c r="I26" s="1"/>
      <c r="J26" s="1"/>
      <c r="K26" s="24" t="str">
        <f>IF(July[[#This Row],[Date of Incident]]="","",TEXT(July[[#This Row],[Date of Incident]],"ddd"))</f>
        <v/>
      </c>
      <c r="L26" s="1"/>
      <c r="M26" s="24" t="str">
        <f>IFERROR(VLOOKUP(July[[#This Row],[Hour]],Shifts[],2,FALSE),"")</f>
        <v/>
      </c>
      <c r="N26" s="1"/>
      <c r="O26" s="24" t="str">
        <f>IFERROR(VLOOKUP(July[[#This Row],[BIMS Score]],BIMS[],2,FALSE),"")</f>
        <v/>
      </c>
      <c r="P26" s="3"/>
      <c r="Q26" s="3"/>
      <c r="R26" s="2"/>
      <c r="S26" s="168"/>
      <c r="T26" s="5"/>
      <c r="U26" s="5"/>
      <c r="V26" s="3"/>
    </row>
    <row r="27" spans="1:22" ht="20.85" customHeight="1" x14ac:dyDescent="0.25">
      <c r="A27" s="21"/>
      <c r="B27" s="266"/>
      <c r="C27" s="5"/>
      <c r="D27" s="263"/>
      <c r="E27" s="263"/>
      <c r="F27" s="267"/>
      <c r="G27" s="267"/>
      <c r="H27" s="1"/>
      <c r="I27" s="1"/>
      <c r="J27" s="1"/>
      <c r="K27" s="24" t="str">
        <f>IF(July[[#This Row],[Date of Incident]]="","",TEXT(July[[#This Row],[Date of Incident]],"ddd"))</f>
        <v/>
      </c>
      <c r="L27" s="1"/>
      <c r="M27" s="24" t="str">
        <f>IFERROR(VLOOKUP(July[[#This Row],[Hour]],Shifts[],2,FALSE),"")</f>
        <v/>
      </c>
      <c r="N27" s="1"/>
      <c r="O27" s="24" t="str">
        <f>IFERROR(VLOOKUP(July[[#This Row],[BIMS Score]],BIMS[],2,FALSE),"")</f>
        <v/>
      </c>
      <c r="P27" s="3"/>
      <c r="Q27" s="3"/>
      <c r="R27" s="2"/>
      <c r="S27" s="168"/>
      <c r="T27" s="5"/>
      <c r="U27" s="5"/>
      <c r="V27" s="3"/>
    </row>
    <row r="28" spans="1:22" ht="20.85" customHeight="1" x14ac:dyDescent="0.25">
      <c r="A28" s="21"/>
      <c r="B28" s="266"/>
      <c r="C28" s="5"/>
      <c r="D28" s="263"/>
      <c r="E28" s="263"/>
      <c r="F28" s="267"/>
      <c r="G28" s="267"/>
      <c r="H28" s="1"/>
      <c r="I28" s="1"/>
      <c r="J28" s="1"/>
      <c r="K28" s="24" t="str">
        <f>IF(July[[#This Row],[Date of Incident]]="","",TEXT(July[[#This Row],[Date of Incident]],"ddd"))</f>
        <v/>
      </c>
      <c r="L28" s="1"/>
      <c r="M28" s="24" t="str">
        <f>IFERROR(VLOOKUP(July[[#This Row],[Hour]],Shifts[],2,FALSE),"")</f>
        <v/>
      </c>
      <c r="N28" s="1"/>
      <c r="O28" s="24" t="str">
        <f>IFERROR(VLOOKUP(July[[#This Row],[BIMS Score]],BIMS[],2,FALSE),"")</f>
        <v/>
      </c>
      <c r="P28" s="3"/>
      <c r="Q28" s="3"/>
      <c r="R28" s="2"/>
      <c r="S28" s="168"/>
      <c r="T28" s="5"/>
      <c r="U28" s="5"/>
      <c r="V28" s="3"/>
    </row>
    <row r="29" spans="1:22" ht="20.85" customHeight="1" x14ac:dyDescent="0.25">
      <c r="B29" s="266"/>
      <c r="C29" s="5"/>
      <c r="D29" s="263"/>
      <c r="E29" s="263"/>
      <c r="F29" s="267"/>
      <c r="G29" s="267"/>
      <c r="H29" s="1"/>
      <c r="I29" s="1"/>
      <c r="J29" s="1"/>
      <c r="K29" s="27" t="str">
        <f>IF(July[[#This Row],[Date of Incident]]="","",TEXT(July[[#This Row],[Date of Incident]],"ddd"))</f>
        <v/>
      </c>
      <c r="L29" s="1"/>
      <c r="M29" s="27" t="str">
        <f>IFERROR(VLOOKUP(July[[#This Row],[Hour]],Shifts[],2,FALSE),"")</f>
        <v/>
      </c>
      <c r="N29" s="2"/>
      <c r="O29" s="24" t="str">
        <f>IFERROR(VLOOKUP(July[[#This Row],[BIMS Score]],BIMS[],2,FALSE),"")</f>
        <v/>
      </c>
      <c r="P29" s="3"/>
      <c r="Q29" s="3"/>
      <c r="R29" s="2"/>
      <c r="S29" s="168"/>
      <c r="T29" s="5"/>
      <c r="U29" s="5"/>
      <c r="V29" s="5"/>
    </row>
    <row r="30" spans="1:22" ht="20.85" customHeight="1" x14ac:dyDescent="0.25">
      <c r="B30" s="266"/>
      <c r="C30" s="5"/>
      <c r="D30" s="263"/>
      <c r="E30" s="263"/>
      <c r="F30" s="267"/>
      <c r="G30" s="267"/>
      <c r="H30" s="1"/>
      <c r="I30" s="1"/>
      <c r="J30" s="1"/>
      <c r="K30" s="27" t="str">
        <f>IF(July[[#This Row],[Date of Incident]]="","",TEXT(July[[#This Row],[Date of Incident]],"ddd"))</f>
        <v/>
      </c>
      <c r="L30" s="1"/>
      <c r="M30" s="27" t="str">
        <f>IFERROR(VLOOKUP(July[[#This Row],[Hour]],Shifts[],2,FALSE),"")</f>
        <v/>
      </c>
      <c r="N30" s="2"/>
      <c r="O30" s="24" t="str">
        <f>IFERROR(VLOOKUP(July[[#This Row],[BIMS Score]],BIMS[],2,FALSE),"")</f>
        <v/>
      </c>
      <c r="P30" s="3"/>
      <c r="Q30" s="3"/>
      <c r="R30" s="2"/>
      <c r="S30" s="168"/>
      <c r="T30" s="5"/>
      <c r="U30" s="5"/>
      <c r="V30" s="5"/>
    </row>
    <row r="31" spans="1:22" ht="20.85" customHeight="1" x14ac:dyDescent="0.25">
      <c r="B31" s="266"/>
      <c r="C31" s="5"/>
      <c r="D31" s="263"/>
      <c r="E31" s="263"/>
      <c r="F31" s="267"/>
      <c r="G31" s="267"/>
      <c r="H31" s="1"/>
      <c r="I31" s="1"/>
      <c r="J31" s="1"/>
      <c r="K31" s="27" t="str">
        <f>IF(July[[#This Row],[Date of Incident]]="","",TEXT(July[[#This Row],[Date of Incident]],"ddd"))</f>
        <v/>
      </c>
      <c r="L31" s="1"/>
      <c r="M31" s="27" t="str">
        <f>IFERROR(VLOOKUP(July[[#This Row],[Hour]],Shifts[],2,FALSE),"")</f>
        <v/>
      </c>
      <c r="N31" s="2"/>
      <c r="O31" s="24" t="str">
        <f>IFERROR(VLOOKUP(July[[#This Row],[BIMS Score]],BIMS[],2,FALSE),"")</f>
        <v/>
      </c>
      <c r="P31" s="3"/>
      <c r="Q31" s="3"/>
      <c r="R31" s="2"/>
      <c r="S31" s="168"/>
      <c r="T31" s="5"/>
      <c r="U31" s="5"/>
      <c r="V31" s="5"/>
    </row>
    <row r="32" spans="1:22" ht="20.85" customHeight="1" x14ac:dyDescent="0.25">
      <c r="B32" s="266"/>
      <c r="C32" s="5"/>
      <c r="D32" s="263"/>
      <c r="E32" s="263"/>
      <c r="F32" s="267"/>
      <c r="G32" s="267"/>
      <c r="H32" s="1"/>
      <c r="I32" s="1"/>
      <c r="J32" s="1"/>
      <c r="K32" s="27" t="str">
        <f>IF(July[[#This Row],[Date of Incident]]="","",TEXT(July[[#This Row],[Date of Incident]],"ddd"))</f>
        <v/>
      </c>
      <c r="L32" s="1"/>
      <c r="M32" s="27" t="str">
        <f>IFERROR(VLOOKUP(July[[#This Row],[Hour]],Shifts[],2,FALSE),"")</f>
        <v/>
      </c>
      <c r="N32" s="2"/>
      <c r="O32" s="24" t="str">
        <f>IFERROR(VLOOKUP(July[[#This Row],[BIMS Score]],BIMS[],2,FALSE),"")</f>
        <v/>
      </c>
      <c r="P32" s="3"/>
      <c r="Q32" s="3"/>
      <c r="R32" s="2"/>
      <c r="S32" s="168"/>
      <c r="T32" s="5"/>
      <c r="U32" s="5"/>
      <c r="V32" s="5"/>
    </row>
    <row r="33" spans="2:22" ht="20.85" customHeight="1" x14ac:dyDescent="0.25">
      <c r="B33" s="266"/>
      <c r="C33" s="5"/>
      <c r="D33" s="263"/>
      <c r="E33" s="263"/>
      <c r="F33" s="267"/>
      <c r="G33" s="267"/>
      <c r="H33" s="1"/>
      <c r="I33" s="1"/>
      <c r="J33" s="1"/>
      <c r="K33" s="27" t="str">
        <f>IF(July[[#This Row],[Date of Incident]]="","",TEXT(July[[#This Row],[Date of Incident]],"ddd"))</f>
        <v/>
      </c>
      <c r="L33" s="1"/>
      <c r="M33" s="27" t="str">
        <f>IFERROR(VLOOKUP(July[[#This Row],[Hour]],Shifts[],2,FALSE),"")</f>
        <v/>
      </c>
      <c r="N33" s="2"/>
      <c r="O33" s="24" t="str">
        <f>IFERROR(VLOOKUP(July[[#This Row],[BIMS Score]],BIMS[],2,FALSE),"")</f>
        <v/>
      </c>
      <c r="P33" s="3"/>
      <c r="Q33" s="3"/>
      <c r="R33" s="2"/>
      <c r="S33" s="168"/>
      <c r="T33" s="5"/>
      <c r="U33" s="5"/>
      <c r="V33" s="5"/>
    </row>
    <row r="34" spans="2:22" ht="20.85" customHeight="1" x14ac:dyDescent="0.25">
      <c r="B34" s="266"/>
      <c r="C34" s="5"/>
      <c r="D34" s="263"/>
      <c r="E34" s="263"/>
      <c r="F34" s="267"/>
      <c r="G34" s="267"/>
      <c r="H34" s="1"/>
      <c r="I34" s="1"/>
      <c r="J34" s="1"/>
      <c r="K34" s="27" t="str">
        <f>IF(July[[#This Row],[Date of Incident]]="","",TEXT(July[[#This Row],[Date of Incident]],"ddd"))</f>
        <v/>
      </c>
      <c r="L34" s="1"/>
      <c r="M34" s="27" t="str">
        <f>IFERROR(VLOOKUP(July[[#This Row],[Hour]],Shifts[],2,FALSE),"")</f>
        <v/>
      </c>
      <c r="N34" s="2"/>
      <c r="O34" s="24" t="str">
        <f>IFERROR(VLOOKUP(July[[#This Row],[BIMS Score]],BIMS[],2,FALSE),"")</f>
        <v/>
      </c>
      <c r="P34" s="3"/>
      <c r="Q34" s="3"/>
      <c r="R34" s="2"/>
      <c r="S34" s="168"/>
      <c r="T34" s="5"/>
      <c r="U34" s="5"/>
      <c r="V34" s="5"/>
    </row>
    <row r="35" spans="2:22" ht="20.85" customHeight="1" x14ac:dyDescent="0.25">
      <c r="B35" s="266"/>
      <c r="C35" s="5"/>
      <c r="D35" s="263"/>
      <c r="E35" s="263"/>
      <c r="F35" s="267"/>
      <c r="G35" s="267"/>
      <c r="H35" s="1"/>
      <c r="I35" s="1"/>
      <c r="J35" s="1"/>
      <c r="K35" s="27" t="str">
        <f>IF(July[[#This Row],[Date of Incident]]="","",TEXT(July[[#This Row],[Date of Incident]],"ddd"))</f>
        <v/>
      </c>
      <c r="L35" s="1"/>
      <c r="M35" s="27" t="str">
        <f>IFERROR(VLOOKUP(July[[#This Row],[Hour]],Shifts[],2,FALSE),"")</f>
        <v/>
      </c>
      <c r="N35" s="2"/>
      <c r="O35" s="24" t="str">
        <f>IFERROR(VLOOKUP(July[[#This Row],[BIMS Score]],BIMS[],2,FALSE),"")</f>
        <v/>
      </c>
      <c r="P35" s="3"/>
      <c r="Q35" s="3"/>
      <c r="R35" s="2"/>
      <c r="S35" s="168"/>
      <c r="T35" s="5"/>
      <c r="U35" s="5"/>
      <c r="V35" s="5"/>
    </row>
    <row r="36" spans="2:22" ht="20.85" customHeight="1" x14ac:dyDescent="0.25">
      <c r="B36" s="266"/>
      <c r="C36" s="5"/>
      <c r="D36" s="263"/>
      <c r="E36" s="263"/>
      <c r="F36" s="267"/>
      <c r="G36" s="267"/>
      <c r="H36" s="1"/>
      <c r="I36" s="1"/>
      <c r="J36" s="1"/>
      <c r="K36" s="27" t="str">
        <f>IF(July[[#This Row],[Date of Incident]]="","",TEXT(July[[#This Row],[Date of Incident]],"ddd"))</f>
        <v/>
      </c>
      <c r="L36" s="1"/>
      <c r="M36" s="27" t="str">
        <f>IFERROR(VLOOKUP(July[[#This Row],[Hour]],Shifts[],2,FALSE),"")</f>
        <v/>
      </c>
      <c r="N36" s="2"/>
      <c r="O36" s="24" t="str">
        <f>IFERROR(VLOOKUP(July[[#This Row],[BIMS Score]],BIMS[],2,FALSE),"")</f>
        <v/>
      </c>
      <c r="P36" s="3"/>
      <c r="Q36" s="3"/>
      <c r="R36" s="2"/>
      <c r="S36" s="168"/>
      <c r="T36" s="5"/>
      <c r="U36" s="5"/>
      <c r="V36" s="5"/>
    </row>
    <row r="37" spans="2:22" ht="20.85" customHeight="1" x14ac:dyDescent="0.25">
      <c r="B37" s="266"/>
      <c r="C37" s="5"/>
      <c r="D37" s="263"/>
      <c r="E37" s="263"/>
      <c r="F37" s="267"/>
      <c r="G37" s="267"/>
      <c r="H37" s="1"/>
      <c r="I37" s="1"/>
      <c r="J37" s="1"/>
      <c r="K37" s="27" t="str">
        <f>IF(July[[#This Row],[Date of Incident]]="","",TEXT(July[[#This Row],[Date of Incident]],"ddd"))</f>
        <v/>
      </c>
      <c r="L37" s="1"/>
      <c r="M37" s="27" t="str">
        <f>IFERROR(VLOOKUP(July[[#This Row],[Hour]],Shifts[],2,FALSE),"")</f>
        <v/>
      </c>
      <c r="N37" s="2"/>
      <c r="O37" s="24" t="str">
        <f>IFERROR(VLOOKUP(July[[#This Row],[BIMS Score]],BIMS[],2,FALSE),"")</f>
        <v/>
      </c>
      <c r="P37" s="3"/>
      <c r="Q37" s="3"/>
      <c r="R37" s="2"/>
      <c r="S37" s="168"/>
      <c r="T37" s="5"/>
      <c r="U37" s="5"/>
      <c r="V37" s="5"/>
    </row>
    <row r="38" spans="2:22" ht="20.85" customHeight="1" x14ac:dyDescent="0.25">
      <c r="B38" s="266"/>
      <c r="C38" s="5"/>
      <c r="D38" s="263"/>
      <c r="E38" s="263"/>
      <c r="F38" s="267"/>
      <c r="G38" s="267"/>
      <c r="H38" s="1"/>
      <c r="I38" s="1"/>
      <c r="J38" s="1"/>
      <c r="K38" s="27" t="str">
        <f>IF(July[[#This Row],[Date of Incident]]="","",TEXT(July[[#This Row],[Date of Incident]],"ddd"))</f>
        <v/>
      </c>
      <c r="L38" s="1"/>
      <c r="M38" s="27" t="str">
        <f>IFERROR(VLOOKUP(July[[#This Row],[Hour]],Shifts[],2,FALSE),"")</f>
        <v/>
      </c>
      <c r="N38" s="2"/>
      <c r="O38" s="24" t="str">
        <f>IFERROR(VLOOKUP(July[[#This Row],[BIMS Score]],BIMS[],2,FALSE),"")</f>
        <v/>
      </c>
      <c r="P38" s="3"/>
      <c r="Q38" s="3"/>
      <c r="R38" s="2"/>
      <c r="S38" s="168"/>
      <c r="T38" s="5"/>
      <c r="U38" s="5"/>
      <c r="V38" s="5"/>
    </row>
    <row r="39" spans="2:22" ht="20.85" customHeight="1" x14ac:dyDescent="0.25">
      <c r="B39" s="266"/>
      <c r="C39" s="5"/>
      <c r="D39" s="263"/>
      <c r="E39" s="263"/>
      <c r="F39" s="267"/>
      <c r="G39" s="267"/>
      <c r="H39" s="1"/>
      <c r="I39" s="1"/>
      <c r="J39" s="1"/>
      <c r="K39" s="27" t="str">
        <f>IF(July[[#This Row],[Date of Incident]]="","",TEXT(July[[#This Row],[Date of Incident]],"ddd"))</f>
        <v/>
      </c>
      <c r="L39" s="1"/>
      <c r="M39" s="27" t="str">
        <f>IFERROR(VLOOKUP(July[[#This Row],[Hour]],Shifts[],2,FALSE),"")</f>
        <v/>
      </c>
      <c r="N39" s="2"/>
      <c r="O39" s="24" t="str">
        <f>IFERROR(VLOOKUP(July[[#This Row],[BIMS Score]],BIMS[],2,FALSE),"")</f>
        <v/>
      </c>
      <c r="P39" s="3"/>
      <c r="Q39" s="3"/>
      <c r="R39" s="2"/>
      <c r="S39" s="168"/>
      <c r="T39" s="5"/>
      <c r="U39" s="5"/>
      <c r="V39" s="5"/>
    </row>
    <row r="40" spans="2:22" ht="20.85" customHeight="1" x14ac:dyDescent="0.25">
      <c r="B40" s="266"/>
      <c r="C40" s="5"/>
      <c r="D40" s="263"/>
      <c r="E40" s="263"/>
      <c r="F40" s="267"/>
      <c r="G40" s="267"/>
      <c r="H40" s="1"/>
      <c r="I40" s="1"/>
      <c r="J40" s="1"/>
      <c r="K40" s="27" t="str">
        <f>IF(July[[#This Row],[Date of Incident]]="","",TEXT(July[[#This Row],[Date of Incident]],"ddd"))</f>
        <v/>
      </c>
      <c r="L40" s="1"/>
      <c r="M40" s="27" t="str">
        <f>IFERROR(VLOOKUP(July[[#This Row],[Hour]],Shifts[],2,FALSE),"")</f>
        <v/>
      </c>
      <c r="N40" s="2"/>
      <c r="O40" s="24" t="str">
        <f>IFERROR(VLOOKUP(July[[#This Row],[BIMS Score]],BIMS[],2,FALSE),"")</f>
        <v/>
      </c>
      <c r="P40" s="3"/>
      <c r="Q40" s="3"/>
      <c r="R40" s="2"/>
      <c r="S40" s="168"/>
      <c r="T40" s="5"/>
      <c r="U40" s="5"/>
      <c r="V40" s="5"/>
    </row>
    <row r="41" spans="2:22" x14ac:dyDescent="0.25">
      <c r="B41" s="26"/>
      <c r="C41" s="21"/>
      <c r="D41" s="22"/>
      <c r="E41" s="23"/>
      <c r="F41" s="26"/>
      <c r="G41" s="26"/>
      <c r="H41" s="26"/>
      <c r="I41" s="26"/>
      <c r="J41" s="26"/>
      <c r="K41" s="26"/>
      <c r="L41" s="26"/>
      <c r="M41" s="26"/>
      <c r="N41" s="20"/>
      <c r="O41" s="25"/>
      <c r="P41" s="21"/>
      <c r="Q41" s="21"/>
      <c r="R41" s="25"/>
    </row>
    <row r="42" spans="2:22" x14ac:dyDescent="0.25">
      <c r="B42" s="26"/>
      <c r="C42" s="21"/>
      <c r="D42" s="22"/>
      <c r="E42" s="23"/>
      <c r="F42" s="26"/>
      <c r="G42" s="26"/>
      <c r="H42" s="26"/>
      <c r="I42" s="26"/>
      <c r="J42" s="26"/>
      <c r="K42" s="26"/>
      <c r="L42" s="26"/>
      <c r="M42" s="26"/>
      <c r="N42" s="20"/>
      <c r="O42" s="25"/>
      <c r="P42" s="21"/>
      <c r="Q42" s="21"/>
      <c r="R42" s="25"/>
    </row>
    <row r="43" spans="2:22" x14ac:dyDescent="0.25">
      <c r="B43" s="26"/>
      <c r="C43" s="21"/>
      <c r="D43" s="22"/>
      <c r="E43" s="23"/>
      <c r="F43" s="26"/>
      <c r="G43" s="26"/>
      <c r="H43" s="26"/>
      <c r="I43" s="26"/>
      <c r="J43" s="26"/>
      <c r="K43" s="26"/>
      <c r="L43" s="26"/>
      <c r="M43" s="26"/>
      <c r="N43" s="20"/>
      <c r="O43" s="25"/>
      <c r="P43" s="21"/>
      <c r="Q43" s="21"/>
      <c r="R43" s="25"/>
    </row>
    <row r="44" spans="2:22" x14ac:dyDescent="0.25">
      <c r="B44" s="26"/>
      <c r="C44" s="21"/>
      <c r="D44" s="22"/>
      <c r="E44" s="23"/>
      <c r="F44" s="26"/>
      <c r="G44" s="26"/>
      <c r="H44" s="26"/>
      <c r="I44" s="26"/>
      <c r="J44" s="26"/>
      <c r="K44" s="26"/>
      <c r="L44" s="26"/>
      <c r="M44" s="26"/>
      <c r="N44" s="20"/>
      <c r="O44" s="25"/>
      <c r="P44" s="21"/>
      <c r="Q44" s="21"/>
      <c r="R44" s="25"/>
    </row>
    <row r="45" spans="2:22" x14ac:dyDescent="0.25">
      <c r="B45" s="26"/>
      <c r="C45" s="21"/>
      <c r="D45" s="22"/>
      <c r="E45" s="23"/>
      <c r="F45" s="26"/>
      <c r="G45" s="26"/>
      <c r="H45" s="26"/>
      <c r="I45" s="26"/>
      <c r="J45" s="26"/>
      <c r="K45" s="26"/>
      <c r="L45" s="26"/>
      <c r="M45" s="26"/>
      <c r="N45" s="20"/>
      <c r="O45" s="25"/>
      <c r="P45" s="21"/>
      <c r="Q45" s="21"/>
      <c r="R45" s="25"/>
    </row>
    <row r="46" spans="2:22" x14ac:dyDescent="0.25">
      <c r="B46" s="26"/>
      <c r="C46" s="21"/>
      <c r="D46" s="22"/>
      <c r="E46" s="23"/>
      <c r="F46" s="26"/>
      <c r="G46" s="26"/>
      <c r="H46" s="26"/>
      <c r="I46" s="26"/>
      <c r="J46" s="26"/>
      <c r="K46" s="26"/>
      <c r="L46" s="26"/>
      <c r="M46" s="26"/>
      <c r="N46" s="20"/>
      <c r="O46" s="25"/>
      <c r="P46" s="21"/>
      <c r="Q46" s="21"/>
      <c r="R46" s="25"/>
    </row>
    <row r="47" spans="2:22" x14ac:dyDescent="0.25">
      <c r="B47" s="26"/>
      <c r="C47" s="21"/>
      <c r="D47" s="22"/>
      <c r="E47" s="23"/>
      <c r="F47" s="26"/>
      <c r="G47" s="26"/>
      <c r="H47" s="26"/>
      <c r="I47" s="26"/>
      <c r="J47" s="26"/>
      <c r="K47" s="26"/>
      <c r="L47" s="26"/>
      <c r="M47" s="26"/>
      <c r="N47" s="20"/>
      <c r="O47" s="25"/>
      <c r="P47" s="21"/>
      <c r="Q47" s="21"/>
      <c r="R47" s="25"/>
    </row>
    <row r="48" spans="2:22" x14ac:dyDescent="0.25">
      <c r="B48" s="26"/>
      <c r="C48" s="21"/>
      <c r="D48" s="22"/>
      <c r="E48" s="23"/>
      <c r="F48" s="26"/>
      <c r="G48" s="26"/>
      <c r="H48" s="26"/>
      <c r="I48" s="26"/>
      <c r="J48" s="26"/>
      <c r="K48" s="26"/>
      <c r="L48" s="26"/>
      <c r="M48" s="26"/>
      <c r="N48" s="20"/>
      <c r="O48" s="25"/>
      <c r="P48" s="21"/>
      <c r="Q48" s="21"/>
      <c r="R48" s="25"/>
    </row>
    <row r="49" spans="1:18" x14ac:dyDescent="0.25">
      <c r="B49" s="26"/>
      <c r="C49" s="21"/>
      <c r="D49" s="22"/>
      <c r="E49" s="23"/>
      <c r="F49" s="26"/>
      <c r="G49" s="26"/>
      <c r="H49" s="26"/>
      <c r="I49" s="26"/>
      <c r="J49" s="26"/>
      <c r="K49" s="26"/>
      <c r="L49" s="26"/>
      <c r="M49" s="26"/>
      <c r="N49" s="20"/>
      <c r="O49" s="25"/>
      <c r="P49" s="21"/>
      <c r="Q49" s="21"/>
      <c r="R49" s="25"/>
    </row>
    <row r="50" spans="1:18" ht="15.75" thickBot="1" x14ac:dyDescent="0.3">
      <c r="B50" s="26"/>
      <c r="C50" s="21"/>
      <c r="D50" s="22"/>
      <c r="E50" s="23"/>
      <c r="F50" s="26"/>
      <c r="G50" s="26"/>
      <c r="H50" s="26"/>
      <c r="I50" s="26"/>
      <c r="Q50" s="21"/>
    </row>
    <row r="51" spans="1:18" ht="22.35" customHeight="1" thickBot="1" x14ac:dyDescent="0.3">
      <c r="B51" s="280" t="s">
        <v>85</v>
      </c>
      <c r="C51" s="281"/>
      <c r="D51" s="282"/>
      <c r="F51" s="280" t="s">
        <v>100</v>
      </c>
      <c r="G51" s="281"/>
      <c r="H51" s="282"/>
    </row>
    <row r="52" spans="1:18" ht="15.6" customHeight="1" x14ac:dyDescent="0.25">
      <c r="B52" s="283" t="s">
        <v>83</v>
      </c>
      <c r="C52" s="284"/>
      <c r="D52" s="28" t="s">
        <v>35</v>
      </c>
      <c r="F52" s="283" t="s">
        <v>83</v>
      </c>
      <c r="G52" s="284"/>
      <c r="H52" s="28" t="s">
        <v>35</v>
      </c>
    </row>
    <row r="53" spans="1:18" x14ac:dyDescent="0.25">
      <c r="B53" s="29" t="s">
        <v>41</v>
      </c>
      <c r="C53" s="30"/>
      <c r="D53" s="31">
        <f>COUNTIFS(July[Witnessed
Fall?],$B53)</f>
        <v>0</v>
      </c>
      <c r="F53" s="29" t="s">
        <v>79</v>
      </c>
      <c r="G53" s="30"/>
      <c r="H53" s="31">
        <f>COUNTIFS(July[Fall Circumstances],$F53)</f>
        <v>0</v>
      </c>
    </row>
    <row r="54" spans="1:18" ht="15.75" thickBot="1" x14ac:dyDescent="0.3">
      <c r="B54" s="32" t="s">
        <v>42</v>
      </c>
      <c r="C54" s="33"/>
      <c r="D54" s="34">
        <f>COUNTIFS(July[Witnessed
Fall?],$B54)</f>
        <v>0</v>
      </c>
      <c r="F54" s="29" t="s">
        <v>101</v>
      </c>
      <c r="G54" s="30"/>
      <c r="H54" s="31">
        <f>COUNTIFS(July[Fall Circumstances],$F54)</f>
        <v>0</v>
      </c>
    </row>
    <row r="55" spans="1:18" ht="15.6" customHeight="1" thickBot="1" x14ac:dyDescent="0.3">
      <c r="B55" s="285" t="s">
        <v>16</v>
      </c>
      <c r="C55" s="286"/>
      <c r="D55" s="35">
        <f>SUM(D53:D54)</f>
        <v>0</v>
      </c>
      <c r="F55" s="32" t="s">
        <v>102</v>
      </c>
      <c r="G55" s="33"/>
      <c r="H55" s="36">
        <f>COUNTIFS(July[Fall Circumstances],$F55)</f>
        <v>0</v>
      </c>
    </row>
    <row r="56" spans="1:18" ht="15.6" customHeight="1" thickBot="1" x14ac:dyDescent="0.3">
      <c r="A56" s="26"/>
      <c r="B56" s="21"/>
      <c r="C56" s="22"/>
      <c r="D56" s="26"/>
      <c r="F56" s="285" t="s">
        <v>16</v>
      </c>
      <c r="G56" s="286"/>
      <c r="H56" s="37">
        <f>SUM(H53:H55)</f>
        <v>0</v>
      </c>
    </row>
    <row r="57" spans="1:18" ht="15.75" thickBot="1" x14ac:dyDescent="0.3">
      <c r="A57" s="26"/>
      <c r="B57" s="21"/>
      <c r="C57" s="22"/>
      <c r="D57" s="26"/>
      <c r="F57" s="26"/>
      <c r="G57" s="21"/>
      <c r="H57" s="22"/>
      <c r="L57" s="21"/>
      <c r="O57" s="22"/>
    </row>
    <row r="58" spans="1:18" ht="15.75" thickBot="1" x14ac:dyDescent="0.3">
      <c r="A58" s="26"/>
      <c r="B58" s="21"/>
      <c r="C58" s="22"/>
      <c r="D58" s="26"/>
      <c r="F58" s="280" t="s">
        <v>103</v>
      </c>
      <c r="G58" s="281"/>
      <c r="H58" s="282"/>
      <c r="L58" s="21"/>
      <c r="O58" s="22"/>
    </row>
    <row r="59" spans="1:18" x14ac:dyDescent="0.25">
      <c r="A59" s="26"/>
      <c r="B59" s="21"/>
      <c r="C59" s="22"/>
      <c r="D59" s="26"/>
      <c r="F59" s="283" t="s">
        <v>26</v>
      </c>
      <c r="G59" s="284"/>
      <c r="H59" s="28" t="s">
        <v>35</v>
      </c>
      <c r="L59" s="21"/>
      <c r="O59" s="22"/>
    </row>
    <row r="60" spans="1:18" ht="15.6" customHeight="1" x14ac:dyDescent="0.25">
      <c r="F60" s="29" t="s">
        <v>142</v>
      </c>
      <c r="G60" s="30"/>
      <c r="H60" s="31">
        <f>COUNTIFS(July[Cognitive Impairment],$F60)</f>
        <v>0</v>
      </c>
    </row>
    <row r="61" spans="1:18" x14ac:dyDescent="0.25">
      <c r="F61" s="29" t="s">
        <v>143</v>
      </c>
      <c r="G61" s="30"/>
      <c r="H61" s="31">
        <f>COUNTIFS(July[Cognitive Impairment],$F61)</f>
        <v>0</v>
      </c>
    </row>
    <row r="62" spans="1:18" ht="15.75" thickBot="1" x14ac:dyDescent="0.3">
      <c r="F62" s="32" t="s">
        <v>144</v>
      </c>
      <c r="G62" s="33"/>
      <c r="H62" s="31">
        <f>COUNTIFS(July[Cognitive Impairment],$F62)</f>
        <v>0</v>
      </c>
    </row>
    <row r="63" spans="1:18" ht="15.75" thickBot="1" x14ac:dyDescent="0.3">
      <c r="F63" s="285" t="s">
        <v>16</v>
      </c>
      <c r="G63" s="286"/>
      <c r="H63" s="37">
        <f>SUM(H60:H62)</f>
        <v>0</v>
      </c>
    </row>
    <row r="64" spans="1:18" ht="15.75" thickBot="1" x14ac:dyDescent="0.3"/>
    <row r="65" spans="1:8" ht="21.4" customHeight="1" thickBot="1" x14ac:dyDescent="0.3">
      <c r="B65" s="280" t="s">
        <v>78</v>
      </c>
      <c r="C65" s="281"/>
      <c r="D65" s="281"/>
      <c r="E65" s="281"/>
      <c r="F65" s="281"/>
      <c r="G65" s="282"/>
    </row>
    <row r="66" spans="1:8" ht="15.6" customHeight="1" x14ac:dyDescent="0.25">
      <c r="A66" s="38"/>
      <c r="B66" s="288" t="s">
        <v>86</v>
      </c>
      <c r="C66" s="289"/>
      <c r="D66" s="289"/>
      <c r="E66" s="289"/>
      <c r="F66" s="290"/>
      <c r="G66" s="28" t="s">
        <v>35</v>
      </c>
    </row>
    <row r="67" spans="1:8" x14ac:dyDescent="0.25">
      <c r="A67" s="38"/>
      <c r="B67" s="39" t="str" cm="1">
        <f t="array" ref="B67:B90">IF(_xlfn._xlws.SORT(PriortoFall[What was the resident doing prior to fall?],1,1,TRUE)=0,"",(_xlfn._xlws.SORT(PriortoFall[What was the resident doing prior to fall?],1,1,TRUE)))</f>
        <v>Ambulating with assistive device (walker, cane, wheelchair)</v>
      </c>
      <c r="C67" s="40"/>
      <c r="D67" s="40"/>
      <c r="E67" s="40"/>
      <c r="F67" s="41"/>
      <c r="G67" s="42">
        <f>IF($B67="",NA(),COUNTIFS(July[What was resident doing prior to fall?],$B67))</f>
        <v>0</v>
      </c>
      <c r="H67" s="43"/>
    </row>
    <row r="68" spans="1:8" x14ac:dyDescent="0.25">
      <c r="A68" s="38"/>
      <c r="B68" s="44" t="str">
        <v>Ambulating with staff assistance</v>
      </c>
      <c r="C68" s="45"/>
      <c r="D68" s="45"/>
      <c r="E68" s="45"/>
      <c r="F68" s="46"/>
      <c r="G68" s="42">
        <f>IF($B68="",NA(),COUNTIFS(July[What was resident doing prior to fall?],$B68))</f>
        <v>0</v>
      </c>
    </row>
    <row r="69" spans="1:8" x14ac:dyDescent="0.25">
      <c r="A69" s="38"/>
      <c r="B69" s="39" t="str">
        <v>Ambulating without assistance or assistive device</v>
      </c>
      <c r="C69" s="40"/>
      <c r="D69" s="40"/>
      <c r="E69" s="40"/>
      <c r="F69" s="41"/>
      <c r="G69" s="42">
        <f>IF($B69="",NA(),COUNTIFS(July[What was resident doing prior to fall?],$B69))</f>
        <v>0</v>
      </c>
    </row>
    <row r="70" spans="1:8" x14ac:dyDescent="0.25">
      <c r="A70" s="38"/>
      <c r="B70" s="44" t="str">
        <v>Changing position (e.g., in bed, chair)</v>
      </c>
      <c r="C70" s="45"/>
      <c r="D70" s="45"/>
      <c r="E70" s="45"/>
      <c r="F70" s="46"/>
      <c r="G70" s="42">
        <f>IF($B70="",NA(),COUNTIFS(July[What was resident doing prior to fall?],$B70))</f>
        <v>0</v>
      </c>
    </row>
    <row r="71" spans="1:8" x14ac:dyDescent="0.25">
      <c r="A71" s="38"/>
      <c r="B71" s="44" t="str">
        <v>Dressing or undressing</v>
      </c>
      <c r="C71" s="45"/>
      <c r="D71" s="45"/>
      <c r="E71" s="45"/>
      <c r="F71" s="46"/>
      <c r="G71" s="42">
        <f>IF($B71="",NA(),COUNTIFS(July[What was resident doing prior to fall?],$B71))</f>
        <v>0</v>
      </c>
    </row>
    <row r="72" spans="1:8" x14ac:dyDescent="0.25">
      <c r="A72" s="38"/>
      <c r="B72" s="44" t="str">
        <v>Other activity</v>
      </c>
      <c r="C72" s="45"/>
      <c r="D72" s="45"/>
      <c r="E72" s="45"/>
      <c r="F72" s="46"/>
      <c r="G72" s="42">
        <f>IF($B72="",NA(),COUNTIFS(July[What was resident doing prior to fall?],$B72))</f>
        <v>0</v>
      </c>
    </row>
    <row r="73" spans="1:8" x14ac:dyDescent="0.25">
      <c r="A73" s="38"/>
      <c r="B73" s="44" t="str">
        <v>Reaching for an item</v>
      </c>
      <c r="C73" s="45"/>
      <c r="D73" s="45"/>
      <c r="E73" s="45"/>
      <c r="F73" s="46"/>
      <c r="G73" s="42">
        <f>IF($B73="",NA(),COUNTIFS(July[What was resident doing prior to fall?],$B73))</f>
        <v>0</v>
      </c>
    </row>
    <row r="74" spans="1:8" x14ac:dyDescent="0.25">
      <c r="A74" s="38"/>
      <c r="B74" s="44" t="str">
        <v>Showering or bathing</v>
      </c>
      <c r="C74" s="45"/>
      <c r="D74" s="45"/>
      <c r="E74" s="45"/>
      <c r="F74" s="46"/>
      <c r="G74" s="42">
        <f>IF($B74="",NA(),COUNTIFS(July[What was resident doing prior to fall?],$B74))</f>
        <v>0</v>
      </c>
    </row>
    <row r="75" spans="1:8" x14ac:dyDescent="0.25">
      <c r="A75" s="38"/>
      <c r="B75" s="44" t="str">
        <v>Toileting</v>
      </c>
      <c r="C75" s="45"/>
      <c r="D75" s="45"/>
      <c r="E75" s="45"/>
      <c r="F75" s="46"/>
      <c r="G75" s="42">
        <f>IF($B75="",NA(),COUNTIFS(July[What was resident doing prior to fall?],$B75))</f>
        <v>0</v>
      </c>
    </row>
    <row r="76" spans="1:8" x14ac:dyDescent="0.25">
      <c r="A76" s="38"/>
      <c r="B76" s="44" t="str">
        <v>Transferring to or from bed, chair, wheelchair, etc.</v>
      </c>
      <c r="C76" s="45"/>
      <c r="D76" s="45"/>
      <c r="E76" s="45"/>
      <c r="F76" s="46"/>
      <c r="G76" s="42">
        <f>IF($B76="",NA(),COUNTIFS(July[What was resident doing prior to fall?],$B76))</f>
        <v>0</v>
      </c>
    </row>
    <row r="77" spans="1:8" x14ac:dyDescent="0.25">
      <c r="A77" s="38"/>
      <c r="B77" s="39" t="str">
        <v>Unknown</v>
      </c>
      <c r="C77" s="40"/>
      <c r="D77" s="40"/>
      <c r="E77" s="40"/>
      <c r="F77" s="41"/>
      <c r="G77" s="42">
        <f>IF($B77="",NA(),COUNTIFS(July[What was resident doing prior to fall?],$B77))</f>
        <v>0</v>
      </c>
    </row>
    <row r="78" spans="1:8" x14ac:dyDescent="0.25">
      <c r="A78" s="38"/>
      <c r="B78" s="44" t="str">
        <v/>
      </c>
      <c r="C78" s="45"/>
      <c r="D78" s="45"/>
      <c r="E78" s="45"/>
      <c r="F78" s="46"/>
      <c r="G78" s="42" t="e">
        <f>IF($B78="",NA(),COUNTIFS(July[What was resident doing prior to fall?],$B78))</f>
        <v>#N/A</v>
      </c>
    </row>
    <row r="79" spans="1:8" x14ac:dyDescent="0.25">
      <c r="A79" s="38"/>
      <c r="B79" s="39" t="str">
        <v/>
      </c>
      <c r="C79" s="40"/>
      <c r="D79" s="40"/>
      <c r="E79" s="40"/>
      <c r="F79" s="41"/>
      <c r="G79" s="42" t="e">
        <f>IF($B79="",NA(),COUNTIFS(July[What was resident doing prior to fall?],$B79))</f>
        <v>#N/A</v>
      </c>
    </row>
    <row r="80" spans="1:8" x14ac:dyDescent="0.25">
      <c r="A80" s="38"/>
      <c r="B80" s="44" t="str">
        <v/>
      </c>
      <c r="C80" s="45"/>
      <c r="D80" s="45"/>
      <c r="E80" s="45"/>
      <c r="F80" s="46"/>
      <c r="G80" s="42" t="e">
        <f>IF($B80="",NA(),COUNTIFS(July[What was resident doing prior to fall?],$B80))</f>
        <v>#N/A</v>
      </c>
    </row>
    <row r="81" spans="1:7" x14ac:dyDescent="0.25">
      <c r="A81" s="38"/>
      <c r="B81" s="39" t="str">
        <v/>
      </c>
      <c r="C81" s="40"/>
      <c r="D81" s="40"/>
      <c r="E81" s="40"/>
      <c r="F81" s="41"/>
      <c r="G81" s="42" t="e">
        <f>IF($B81="",NA(),COUNTIFS(July[What was resident doing prior to fall?],$B81))</f>
        <v>#N/A</v>
      </c>
    </row>
    <row r="82" spans="1:7" x14ac:dyDescent="0.25">
      <c r="A82" s="38"/>
      <c r="B82" s="44" t="str">
        <v/>
      </c>
      <c r="C82" s="45"/>
      <c r="D82" s="45"/>
      <c r="E82" s="45"/>
      <c r="F82" s="46"/>
      <c r="G82" s="42" t="e">
        <f>IF($B82="",NA(),COUNTIFS(July[What was resident doing prior to fall?],$B82))</f>
        <v>#N/A</v>
      </c>
    </row>
    <row r="83" spans="1:7" x14ac:dyDescent="0.25">
      <c r="A83" s="38"/>
      <c r="B83" s="39" t="str">
        <v/>
      </c>
      <c r="C83" s="40"/>
      <c r="D83" s="40"/>
      <c r="E83" s="40"/>
      <c r="F83" s="41"/>
      <c r="G83" s="42" t="e">
        <f>IF($B83="",NA(),COUNTIFS(July[What was resident doing prior to fall?],$B83))</f>
        <v>#N/A</v>
      </c>
    </row>
    <row r="84" spans="1:7" x14ac:dyDescent="0.25">
      <c r="A84" s="38"/>
      <c r="B84" s="44" t="str">
        <v/>
      </c>
      <c r="C84" s="45"/>
      <c r="D84" s="45"/>
      <c r="E84" s="45"/>
      <c r="F84" s="46"/>
      <c r="G84" s="42" t="e">
        <f>IF($B84="",NA(),COUNTIFS(July[What was resident doing prior to fall?],$B84))</f>
        <v>#N/A</v>
      </c>
    </row>
    <row r="85" spans="1:7" x14ac:dyDescent="0.25">
      <c r="A85" s="38"/>
      <c r="B85" s="44" t="str">
        <v/>
      </c>
      <c r="C85" s="45"/>
      <c r="D85" s="45"/>
      <c r="E85" s="45"/>
      <c r="F85" s="46"/>
      <c r="G85" s="42" t="e">
        <f>IF($B85="",NA(),COUNTIFS(July[What was resident doing prior to fall?],$B85))</f>
        <v>#N/A</v>
      </c>
    </row>
    <row r="86" spans="1:7" x14ac:dyDescent="0.25">
      <c r="A86" s="38"/>
      <c r="B86" s="39" t="str">
        <v/>
      </c>
      <c r="C86" s="40"/>
      <c r="D86" s="40"/>
      <c r="E86" s="40"/>
      <c r="F86" s="41"/>
      <c r="G86" s="42" t="e">
        <f>IF($B86="",NA(),COUNTIFS(July[What was resident doing prior to fall?],$B86))</f>
        <v>#N/A</v>
      </c>
    </row>
    <row r="87" spans="1:7" x14ac:dyDescent="0.25">
      <c r="A87" s="38"/>
      <c r="B87" s="44" t="str">
        <v/>
      </c>
      <c r="C87" s="45"/>
      <c r="D87" s="45"/>
      <c r="E87" s="45"/>
      <c r="F87" s="46"/>
      <c r="G87" s="42" t="e">
        <f>IF($B87="",NA(),COUNTIFS(July[What was resident doing prior to fall?],$B87))</f>
        <v>#N/A</v>
      </c>
    </row>
    <row r="88" spans="1:7" x14ac:dyDescent="0.25">
      <c r="A88" s="38"/>
      <c r="B88" s="39" t="str">
        <v/>
      </c>
      <c r="C88" s="40"/>
      <c r="D88" s="40"/>
      <c r="E88" s="40"/>
      <c r="F88" s="41"/>
      <c r="G88" s="42" t="e">
        <f>IF($B88="",NA(),COUNTIFS(July[What was resident doing prior to fall?],$B88))</f>
        <v>#N/A</v>
      </c>
    </row>
    <row r="89" spans="1:7" x14ac:dyDescent="0.25">
      <c r="A89" s="38"/>
      <c r="B89" s="44" t="str">
        <v/>
      </c>
      <c r="C89" s="45"/>
      <c r="D89" s="45"/>
      <c r="E89" s="45"/>
      <c r="F89" s="46"/>
      <c r="G89" s="42" t="e">
        <f>IF($B89="",NA(),COUNTIFS(July[What was resident doing prior to fall?],$B89))</f>
        <v>#N/A</v>
      </c>
    </row>
    <row r="90" spans="1:7" ht="15.75" thickBot="1" x14ac:dyDescent="0.3">
      <c r="A90" s="38"/>
      <c r="B90" s="47" t="str">
        <v/>
      </c>
      <c r="C90" s="47"/>
      <c r="D90" s="47"/>
      <c r="E90" s="47"/>
      <c r="F90" s="48"/>
      <c r="G90" s="42" t="e">
        <f>IF($B90="",NA(),COUNTIFS(July[What was resident doing prior to fall?],$B90))</f>
        <v>#N/A</v>
      </c>
    </row>
    <row r="91" spans="1:7" ht="15.6" customHeight="1" thickBot="1" x14ac:dyDescent="0.3">
      <c r="B91" s="285" t="s">
        <v>35</v>
      </c>
      <c r="C91" s="286"/>
      <c r="D91" s="286"/>
      <c r="E91" s="286"/>
      <c r="F91" s="287"/>
      <c r="G91" s="37">
        <f>_xlfn.AGGREGATE(9,6,G67:G90)</f>
        <v>0</v>
      </c>
    </row>
    <row r="92" spans="1:7" ht="15.75" thickBot="1" x14ac:dyDescent="0.3"/>
    <row r="93" spans="1:7" ht="22.35" customHeight="1" thickBot="1" x14ac:dyDescent="0.3">
      <c r="B93" s="293" t="s">
        <v>173</v>
      </c>
      <c r="C93" s="294"/>
      <c r="D93" s="295"/>
    </row>
    <row r="94" spans="1:7" x14ac:dyDescent="0.25">
      <c r="A94" s="38"/>
      <c r="B94" s="298" t="s">
        <v>1</v>
      </c>
      <c r="C94" s="299"/>
      <c r="D94" s="49" t="s">
        <v>35</v>
      </c>
    </row>
    <row r="95" spans="1:7" x14ac:dyDescent="0.25">
      <c r="A95" s="38"/>
      <c r="B95" s="50" t="str" cm="1">
        <f t="array" ref="B95:B105">IF(_xlfn._xlws.SORT(Location[Location],1,1,TRUE)=0,"",(_xlfn._xlws.SORT(Location[Location],1,1,TRUE)))</f>
        <v>Activity Room</v>
      </c>
      <c r="C95" s="51"/>
      <c r="D95" s="52">
        <f>IF($B95="",NA(),COUNTIFS(July[Location],$B95))</f>
        <v>0</v>
      </c>
    </row>
    <row r="96" spans="1:7" x14ac:dyDescent="0.25">
      <c r="A96" s="38"/>
      <c r="B96" s="50" t="str">
        <v>Bedroom</v>
      </c>
      <c r="C96" s="51"/>
      <c r="D96" s="52">
        <f>IF($B96="",NA(),COUNTIFS(July[Location],$B96))</f>
        <v>0</v>
      </c>
    </row>
    <row r="97" spans="1:4" x14ac:dyDescent="0.25">
      <c r="A97" s="38"/>
      <c r="B97" s="50" t="str">
        <v>Bathroom</v>
      </c>
      <c r="C97" s="51"/>
      <c r="D97" s="52">
        <f>IF($B97="",NA(),COUNTIFS(July[Location],$B97))</f>
        <v>0</v>
      </c>
    </row>
    <row r="98" spans="1:4" x14ac:dyDescent="0.25">
      <c r="A98" s="38"/>
      <c r="B98" s="50" t="str">
        <v>Hallway</v>
      </c>
      <c r="C98" s="51"/>
      <c r="D98" s="52">
        <f>IF($B98="",NA(),COUNTIFS(July[Location],$B98))</f>
        <v>0</v>
      </c>
    </row>
    <row r="99" spans="1:4" x14ac:dyDescent="0.25">
      <c r="A99" s="38"/>
      <c r="B99" s="50" t="str">
        <v>Offsite</v>
      </c>
      <c r="C99" s="51"/>
      <c r="D99" s="52">
        <f>IF($B99="",NA(),COUNTIFS(July[Location],$B99))</f>
        <v>0</v>
      </c>
    </row>
    <row r="100" spans="1:4" x14ac:dyDescent="0.25">
      <c r="A100" s="38"/>
      <c r="B100" s="53" t="str">
        <v>Shower Room</v>
      </c>
      <c r="C100" s="54"/>
      <c r="D100" s="52">
        <f>IF($B100="",NA(),COUNTIFS(July[Location],$B100))</f>
        <v>0</v>
      </c>
    </row>
    <row r="101" spans="1:4" x14ac:dyDescent="0.25">
      <c r="A101" s="38"/>
      <c r="B101" s="55" t="str">
        <v>Dining Room</v>
      </c>
      <c r="C101" s="56"/>
      <c r="D101" s="52">
        <f>IF($B101="",NA(),COUNTIFS(July[Location],$B101))</f>
        <v>0</v>
      </c>
    </row>
    <row r="102" spans="1:4" x14ac:dyDescent="0.25">
      <c r="A102" s="38"/>
      <c r="B102" s="57" t="str">
        <v/>
      </c>
      <c r="C102" s="58"/>
      <c r="D102" s="52" t="e">
        <f>IF($B102="",NA(),COUNTIFS(July[Location],$B102))</f>
        <v>#N/A</v>
      </c>
    </row>
    <row r="103" spans="1:4" x14ac:dyDescent="0.25">
      <c r="A103" s="38"/>
      <c r="B103" s="59" t="str">
        <v/>
      </c>
      <c r="C103" s="51"/>
      <c r="D103" s="52" t="e">
        <f>IF($B103="",NA(),COUNTIFS(July[Location],$B103))</f>
        <v>#N/A</v>
      </c>
    </row>
    <row r="104" spans="1:4" x14ac:dyDescent="0.25">
      <c r="A104" s="38"/>
      <c r="B104" s="53" t="str">
        <v/>
      </c>
      <c r="C104" s="60"/>
      <c r="D104" s="52" t="e">
        <f>IF($B104="",NA(),COUNTIFS(July[Location],$B104))</f>
        <v>#N/A</v>
      </c>
    </row>
    <row r="105" spans="1:4" ht="15.75" thickBot="1" x14ac:dyDescent="0.3">
      <c r="A105" s="38"/>
      <c r="B105" s="59" t="str">
        <v/>
      </c>
      <c r="C105" s="61"/>
      <c r="D105" s="52" t="e">
        <f>IF($B105="",NA(),COUNTIFS(July[Location],$B105))</f>
        <v>#N/A</v>
      </c>
    </row>
    <row r="106" spans="1:4" ht="15.75" thickBot="1" x14ac:dyDescent="0.3">
      <c r="B106" s="296" t="s">
        <v>16</v>
      </c>
      <c r="C106" s="297"/>
      <c r="D106" s="37">
        <f>_xlfn.AGGREGATE(9,6,D95:D105)</f>
        <v>0</v>
      </c>
    </row>
    <row r="107" spans="1:4" ht="15.75" thickBot="1" x14ac:dyDescent="0.3"/>
    <row r="108" spans="1:4" ht="21.4" customHeight="1" thickBot="1" x14ac:dyDescent="0.3">
      <c r="B108" s="280" t="str">
        <f>"Falls by Nursing Station "</f>
        <v xml:space="preserve">Falls by Nursing Station </v>
      </c>
      <c r="C108" s="281"/>
      <c r="D108" s="282"/>
    </row>
    <row r="109" spans="1:4" ht="15.75" x14ac:dyDescent="0.25">
      <c r="B109" s="291" t="s">
        <v>2</v>
      </c>
      <c r="C109" s="291"/>
      <c r="D109" s="28" t="s">
        <v>35</v>
      </c>
    </row>
    <row r="110" spans="1:4" x14ac:dyDescent="0.25">
      <c r="B110" s="62" cm="1">
        <f t="array" ref="B110:B120">IF(_xlfn._xlws.SORT(NS[Nurses Stations],1,1,TRUE)=0,"",(_xlfn._xlws.SORT(NS[Nurses Stations],1,1,TRUE)))</f>
        <v>1</v>
      </c>
      <c r="C110" s="63"/>
      <c r="D110" s="31">
        <f>IF($B110="",NA(),COUNTIFS(July[Station],$B110))</f>
        <v>0</v>
      </c>
    </row>
    <row r="111" spans="1:4" x14ac:dyDescent="0.25">
      <c r="B111" s="62">
        <v>2</v>
      </c>
      <c r="C111" s="63"/>
      <c r="D111" s="31">
        <f>IF($B111="",NA(),COUNTIFS(July[Station],$B111))</f>
        <v>0</v>
      </c>
    </row>
    <row r="112" spans="1:4" x14ac:dyDescent="0.25">
      <c r="B112" s="62">
        <v>3</v>
      </c>
      <c r="C112" s="63"/>
      <c r="D112" s="31">
        <f>IF($B112="",NA(),COUNTIFS(July[Station],$B112))</f>
        <v>0</v>
      </c>
    </row>
    <row r="113" spans="2:4" x14ac:dyDescent="0.25">
      <c r="B113" s="62">
        <v>4</v>
      </c>
      <c r="C113" s="63"/>
      <c r="D113" s="31">
        <f>IF($B113="",NA(),COUNTIFS(July[Station],$B113))</f>
        <v>0</v>
      </c>
    </row>
    <row r="114" spans="2:4" x14ac:dyDescent="0.25">
      <c r="B114" s="62">
        <v>5</v>
      </c>
      <c r="C114" s="63"/>
      <c r="D114" s="31">
        <f>IF($B114="",NA(),COUNTIFS(July[Station],$B114))</f>
        <v>0</v>
      </c>
    </row>
    <row r="115" spans="2:4" x14ac:dyDescent="0.25">
      <c r="B115" s="62" t="str">
        <v/>
      </c>
      <c r="C115" s="63"/>
      <c r="D115" s="31" t="e">
        <f>IF($B115="",NA(),COUNTIFS(July[Station],$B115))</f>
        <v>#N/A</v>
      </c>
    </row>
    <row r="116" spans="2:4" x14ac:dyDescent="0.25">
      <c r="B116" s="62" t="str">
        <v/>
      </c>
      <c r="C116" s="63"/>
      <c r="D116" s="31" t="e">
        <f>IF($B116="",NA(),COUNTIFS(July[Station],$B116))</f>
        <v>#N/A</v>
      </c>
    </row>
    <row r="117" spans="2:4" x14ac:dyDescent="0.25">
      <c r="B117" s="62" t="str">
        <v/>
      </c>
      <c r="C117" s="63"/>
      <c r="D117" s="31" t="e">
        <f>IF($B117="",NA(),COUNTIFS(July[Station],$B117))</f>
        <v>#N/A</v>
      </c>
    </row>
    <row r="118" spans="2:4" x14ac:dyDescent="0.25">
      <c r="B118" s="62" t="str">
        <v/>
      </c>
      <c r="C118" s="63"/>
      <c r="D118" s="31" t="e">
        <f>IF($B118="",NA(),COUNTIFS(July[Station],$B118))</f>
        <v>#N/A</v>
      </c>
    </row>
    <row r="119" spans="2:4" x14ac:dyDescent="0.25">
      <c r="B119" s="62" t="str">
        <v/>
      </c>
      <c r="C119" s="63"/>
      <c r="D119" s="31" t="e">
        <f>IF($B119="",NA(),COUNTIFS(July[Station],$B119))</f>
        <v>#N/A</v>
      </c>
    </row>
    <row r="120" spans="2:4" ht="15.75" thickBot="1" x14ac:dyDescent="0.3">
      <c r="B120" s="64" t="str">
        <v/>
      </c>
      <c r="C120" s="63"/>
      <c r="D120" s="31" t="e">
        <f>IF($B120="",NA(),COUNTIFS(July[Station],$B120))</f>
        <v>#N/A</v>
      </c>
    </row>
    <row r="121" spans="2:4" ht="15.6" customHeight="1" thickBot="1" x14ac:dyDescent="0.3">
      <c r="B121" s="285" t="s">
        <v>16</v>
      </c>
      <c r="C121" s="286"/>
      <c r="D121" s="37">
        <f>_xlfn.AGGREGATE(9,6,D110:D120)</f>
        <v>0</v>
      </c>
    </row>
    <row r="122" spans="2:4" ht="15.6" customHeight="1" thickBot="1" x14ac:dyDescent="0.3">
      <c r="B122" s="65"/>
      <c r="C122" s="66"/>
      <c r="D122" s="67"/>
    </row>
    <row r="123" spans="2:4" ht="21.95" customHeight="1" thickBot="1" x14ac:dyDescent="0.3">
      <c r="B123" s="280" t="str">
        <f>"Falls by Day of the Week "</f>
        <v xml:space="preserve">Falls by Day of the Week </v>
      </c>
      <c r="C123" s="281"/>
      <c r="D123" s="282"/>
    </row>
    <row r="124" spans="2:4" ht="15.75" x14ac:dyDescent="0.25">
      <c r="B124" s="291" t="s">
        <v>3</v>
      </c>
      <c r="C124" s="291"/>
      <c r="D124" s="28" t="s">
        <v>35</v>
      </c>
    </row>
    <row r="125" spans="2:4" x14ac:dyDescent="0.25">
      <c r="B125" s="292" t="s">
        <v>46</v>
      </c>
      <c r="C125" s="292"/>
      <c r="D125" s="31">
        <f>COUNTIFS(July[Day],$B125)</f>
        <v>0</v>
      </c>
    </row>
    <row r="126" spans="2:4" x14ac:dyDescent="0.25">
      <c r="B126" s="292" t="s">
        <v>47</v>
      </c>
      <c r="C126" s="292"/>
      <c r="D126" s="31">
        <f>COUNTIFS(July[Day],$B126)</f>
        <v>0</v>
      </c>
    </row>
    <row r="127" spans="2:4" x14ac:dyDescent="0.25">
      <c r="B127" s="292" t="s">
        <v>52</v>
      </c>
      <c r="C127" s="292"/>
      <c r="D127" s="31">
        <f>COUNTIFS(July[Day],$B127)</f>
        <v>0</v>
      </c>
    </row>
    <row r="128" spans="2:4" x14ac:dyDescent="0.25">
      <c r="B128" s="292" t="s">
        <v>48</v>
      </c>
      <c r="C128" s="292"/>
      <c r="D128" s="31">
        <f>COUNTIFS(July[Day],$B128)</f>
        <v>0</v>
      </c>
    </row>
    <row r="129" spans="2:4" x14ac:dyDescent="0.25">
      <c r="B129" s="292" t="s">
        <v>51</v>
      </c>
      <c r="C129" s="292"/>
      <c r="D129" s="31">
        <f>COUNTIFS(July[Day],$B129)</f>
        <v>0</v>
      </c>
    </row>
    <row r="130" spans="2:4" x14ac:dyDescent="0.25">
      <c r="B130" s="292" t="s">
        <v>49</v>
      </c>
      <c r="C130" s="292"/>
      <c r="D130" s="31">
        <f>COUNTIFS(July[Day],$B130)</f>
        <v>0</v>
      </c>
    </row>
    <row r="131" spans="2:4" ht="15.75" thickBot="1" x14ac:dyDescent="0.3">
      <c r="B131" s="292" t="s">
        <v>50</v>
      </c>
      <c r="C131" s="292"/>
      <c r="D131" s="34">
        <f>COUNTIFS(July[Day],$B131)</f>
        <v>0</v>
      </c>
    </row>
    <row r="132" spans="2:4" ht="15.6" customHeight="1" thickBot="1" x14ac:dyDescent="0.3">
      <c r="B132" s="285" t="s">
        <v>16</v>
      </c>
      <c r="C132" s="286"/>
      <c r="D132" s="35">
        <f>SUM(D125:D131)</f>
        <v>0</v>
      </c>
    </row>
    <row r="133" spans="2:4" ht="15.75" thickBot="1" x14ac:dyDescent="0.3"/>
    <row r="134" spans="2:4" ht="21.4" customHeight="1" thickBot="1" x14ac:dyDescent="0.3">
      <c r="B134" s="280" t="str">
        <f>"Falls by Shift"</f>
        <v>Falls by Shift</v>
      </c>
      <c r="C134" s="281"/>
      <c r="D134" s="282"/>
    </row>
    <row r="135" spans="2:4" ht="15.75" x14ac:dyDescent="0.25">
      <c r="B135" s="291" t="s">
        <v>34</v>
      </c>
      <c r="C135" s="291"/>
      <c r="D135" s="28" t="s">
        <v>35</v>
      </c>
    </row>
    <row r="136" spans="2:4" x14ac:dyDescent="0.25">
      <c r="B136" s="29" t="str" cm="1">
        <f t="array" ref="B136:B140">IF(_xlfn._xlws.SORT('Data Validation'!P3:P7,1,1,TRUE)=0,"",(_xlfn._xlws.SORT('Data Validation'!P3:P7,1,1,TRUE)))</f>
        <v>11-7</v>
      </c>
      <c r="C136" s="58"/>
      <c r="D136" s="31">
        <f>IF($B136="",NA(),COUNTIFS(July[Shift],$B136))</f>
        <v>0</v>
      </c>
    </row>
    <row r="137" spans="2:4" x14ac:dyDescent="0.25">
      <c r="B137" s="29" t="str">
        <v>11–7</v>
      </c>
      <c r="C137" s="58"/>
      <c r="D137" s="31">
        <f>IF($B137="",NA(),COUNTIFS(July[Shift],$B137))</f>
        <v>0</v>
      </c>
    </row>
    <row r="138" spans="2:4" x14ac:dyDescent="0.25">
      <c r="B138" s="29" t="str">
        <v>7–3</v>
      </c>
      <c r="C138" s="58"/>
      <c r="D138" s="31">
        <f>IF($B138="",NA(),COUNTIFS(July[Shift],$B138))</f>
        <v>0</v>
      </c>
    </row>
    <row r="139" spans="2:4" x14ac:dyDescent="0.25">
      <c r="B139" s="29" t="str">
        <v>3–11</v>
      </c>
      <c r="C139" s="58"/>
      <c r="D139" s="31">
        <f>IF($B139="",NA(),COUNTIFS(July[Shift],$B139))</f>
        <v>0</v>
      </c>
    </row>
    <row r="140" spans="2:4" ht="15.75" thickBot="1" x14ac:dyDescent="0.3">
      <c r="B140" s="29" t="str">
        <v/>
      </c>
      <c r="C140" s="68"/>
      <c r="D140" s="34" t="e">
        <f>IF($B140="",NA(),COUNTIFS(July[Shift],$B140))</f>
        <v>#N/A</v>
      </c>
    </row>
    <row r="141" spans="2:4" ht="15.75" thickBot="1" x14ac:dyDescent="0.3">
      <c r="B141" s="285" t="s">
        <v>16</v>
      </c>
      <c r="C141" s="286"/>
      <c r="D141" s="35">
        <f>_xlfn.AGGREGATE(9,6,D136:D140)</f>
        <v>0</v>
      </c>
    </row>
    <row r="142" spans="2:4" ht="15.75" thickBot="1" x14ac:dyDescent="0.3"/>
    <row r="143" spans="2:4" ht="21.4" customHeight="1" thickBot="1" x14ac:dyDescent="0.3">
      <c r="B143" s="280" t="str">
        <f>"Falls by Hour "</f>
        <v xml:space="preserve">Falls by Hour </v>
      </c>
      <c r="C143" s="281"/>
      <c r="D143" s="282"/>
    </row>
    <row r="144" spans="2:4" ht="15.75" x14ac:dyDescent="0.25">
      <c r="B144" s="291" t="s">
        <v>33</v>
      </c>
      <c r="C144" s="291"/>
      <c r="D144" s="28" t="s">
        <v>35</v>
      </c>
    </row>
    <row r="145" spans="2:4" x14ac:dyDescent="0.25">
      <c r="B145" s="292" t="s">
        <v>115</v>
      </c>
      <c r="C145" s="292"/>
      <c r="D145" s="31">
        <f>COUNTIFS(July[Hour],$B145)</f>
        <v>0</v>
      </c>
    </row>
    <row r="146" spans="2:4" x14ac:dyDescent="0.25">
      <c r="B146" s="292" t="s">
        <v>116</v>
      </c>
      <c r="C146" s="292"/>
      <c r="D146" s="31">
        <f>COUNTIFS(July[Hour],$B146)</f>
        <v>0</v>
      </c>
    </row>
    <row r="147" spans="2:4" x14ac:dyDescent="0.25">
      <c r="B147" s="292" t="s">
        <v>117</v>
      </c>
      <c r="C147" s="292"/>
      <c r="D147" s="31">
        <f>COUNTIFS(July[Hour],$B147)</f>
        <v>0</v>
      </c>
    </row>
    <row r="148" spans="2:4" x14ac:dyDescent="0.25">
      <c r="B148" s="292" t="s">
        <v>118</v>
      </c>
      <c r="C148" s="292"/>
      <c r="D148" s="31">
        <f>COUNTIFS(July[Hour],$B148)</f>
        <v>0</v>
      </c>
    </row>
    <row r="149" spans="2:4" x14ac:dyDescent="0.25">
      <c r="B149" s="292" t="s">
        <v>119</v>
      </c>
      <c r="C149" s="292"/>
      <c r="D149" s="31">
        <f>COUNTIFS(July[Hour],$B149)</f>
        <v>0</v>
      </c>
    </row>
    <row r="150" spans="2:4" x14ac:dyDescent="0.25">
      <c r="B150" s="292" t="s">
        <v>120</v>
      </c>
      <c r="C150" s="292"/>
      <c r="D150" s="31">
        <f>COUNTIFS(July[Hour],$B150)</f>
        <v>0</v>
      </c>
    </row>
    <row r="151" spans="2:4" x14ac:dyDescent="0.25">
      <c r="B151" s="292" t="s">
        <v>121</v>
      </c>
      <c r="C151" s="292"/>
      <c r="D151" s="31">
        <f>COUNTIFS(July[Hour],$B151)</f>
        <v>0</v>
      </c>
    </row>
    <row r="152" spans="2:4" x14ac:dyDescent="0.25">
      <c r="B152" s="292" t="s">
        <v>122</v>
      </c>
      <c r="C152" s="292"/>
      <c r="D152" s="31">
        <f>COUNTIFS(July[Hour],$B152)</f>
        <v>0</v>
      </c>
    </row>
    <row r="153" spans="2:4" x14ac:dyDescent="0.25">
      <c r="B153" s="292" t="s">
        <v>123</v>
      </c>
      <c r="C153" s="292"/>
      <c r="D153" s="31">
        <f>COUNTIFS(July[Hour],$B153)</f>
        <v>0</v>
      </c>
    </row>
    <row r="154" spans="2:4" x14ac:dyDescent="0.25">
      <c r="B154" s="292" t="s">
        <v>124</v>
      </c>
      <c r="C154" s="292"/>
      <c r="D154" s="31">
        <f>COUNTIFS(July[Hour],$B154)</f>
        <v>0</v>
      </c>
    </row>
    <row r="155" spans="2:4" x14ac:dyDescent="0.25">
      <c r="B155" s="292" t="s">
        <v>125</v>
      </c>
      <c r="C155" s="292"/>
      <c r="D155" s="31">
        <f>COUNTIFS(July[Hour],$B155)</f>
        <v>0</v>
      </c>
    </row>
    <row r="156" spans="2:4" x14ac:dyDescent="0.25">
      <c r="B156" s="292" t="s">
        <v>126</v>
      </c>
      <c r="C156" s="292"/>
      <c r="D156" s="31">
        <f>COUNTIFS(July[Hour],$B156)</f>
        <v>0</v>
      </c>
    </row>
    <row r="157" spans="2:4" x14ac:dyDescent="0.25">
      <c r="B157" s="292" t="s">
        <v>127</v>
      </c>
      <c r="C157" s="292"/>
      <c r="D157" s="31">
        <f>COUNTIFS(July[Hour],$B157)</f>
        <v>0</v>
      </c>
    </row>
    <row r="158" spans="2:4" x14ac:dyDescent="0.25">
      <c r="B158" s="292" t="s">
        <v>128</v>
      </c>
      <c r="C158" s="292"/>
      <c r="D158" s="31">
        <f>COUNTIFS(July[Hour],$B158)</f>
        <v>0</v>
      </c>
    </row>
    <row r="159" spans="2:4" x14ac:dyDescent="0.25">
      <c r="B159" s="292" t="s">
        <v>129</v>
      </c>
      <c r="C159" s="292"/>
      <c r="D159" s="31">
        <f>COUNTIFS(July[Hour],$B159)</f>
        <v>0</v>
      </c>
    </row>
    <row r="160" spans="2:4" x14ac:dyDescent="0.25">
      <c r="B160" s="292" t="s">
        <v>130</v>
      </c>
      <c r="C160" s="292"/>
      <c r="D160" s="31">
        <f>COUNTIFS(July[Hour],$B160)</f>
        <v>0</v>
      </c>
    </row>
    <row r="161" spans="1:8" x14ac:dyDescent="0.25">
      <c r="B161" s="292" t="s">
        <v>131</v>
      </c>
      <c r="C161" s="292"/>
      <c r="D161" s="31">
        <f>COUNTIFS(July[Hour],$B161)</f>
        <v>0</v>
      </c>
    </row>
    <row r="162" spans="1:8" x14ac:dyDescent="0.25">
      <c r="B162" s="292" t="s">
        <v>132</v>
      </c>
      <c r="C162" s="292"/>
      <c r="D162" s="31">
        <f>COUNTIFS(July[Hour],$B162)</f>
        <v>0</v>
      </c>
    </row>
    <row r="163" spans="1:8" x14ac:dyDescent="0.25">
      <c r="B163" s="292" t="s">
        <v>133</v>
      </c>
      <c r="C163" s="292"/>
      <c r="D163" s="31">
        <f>COUNTIFS(July[Hour],$B163)</f>
        <v>0</v>
      </c>
    </row>
    <row r="164" spans="1:8" x14ac:dyDescent="0.25">
      <c r="B164" s="292" t="s">
        <v>134</v>
      </c>
      <c r="C164" s="292"/>
      <c r="D164" s="31">
        <f>COUNTIFS(July[Hour],$B164)</f>
        <v>0</v>
      </c>
    </row>
    <row r="165" spans="1:8" x14ac:dyDescent="0.25">
      <c r="B165" s="292" t="s">
        <v>135</v>
      </c>
      <c r="C165" s="292"/>
      <c r="D165" s="31">
        <f>COUNTIFS(July[Hour],$B165)</f>
        <v>0</v>
      </c>
    </row>
    <row r="166" spans="1:8" x14ac:dyDescent="0.25">
      <c r="B166" s="292" t="s">
        <v>136</v>
      </c>
      <c r="C166" s="292"/>
      <c r="D166" s="31">
        <f>COUNTIFS(July[Hour],$B166)</f>
        <v>0</v>
      </c>
    </row>
    <row r="167" spans="1:8" x14ac:dyDescent="0.25">
      <c r="B167" s="292" t="s">
        <v>137</v>
      </c>
      <c r="C167" s="292"/>
      <c r="D167" s="31">
        <f>COUNTIFS(July[Hour],$B167)</f>
        <v>0</v>
      </c>
    </row>
    <row r="168" spans="1:8" ht="15.75" thickBot="1" x14ac:dyDescent="0.3">
      <c r="B168" s="292" t="s">
        <v>138</v>
      </c>
      <c r="C168" s="292"/>
      <c r="D168" s="34">
        <f>COUNTIFS(July[Hour],$B168)</f>
        <v>0</v>
      </c>
    </row>
    <row r="169" spans="1:8" ht="15.75" thickBot="1" x14ac:dyDescent="0.3">
      <c r="B169" s="285" t="s">
        <v>35</v>
      </c>
      <c r="C169" s="286"/>
      <c r="D169" s="35">
        <f>SUM(D145:D168)</f>
        <v>0</v>
      </c>
    </row>
    <row r="170" spans="1:8" ht="15.75" thickBot="1" x14ac:dyDescent="0.3"/>
    <row r="171" spans="1:8" ht="21.4" customHeight="1" thickBot="1" x14ac:dyDescent="0.3">
      <c r="B171" s="280" t="str">
        <f>"Falls by Contributing Factors"</f>
        <v>Falls by Contributing Factors</v>
      </c>
      <c r="C171" s="281"/>
      <c r="D171" s="281"/>
      <c r="E171" s="281"/>
      <c r="F171" s="281"/>
      <c r="G171" s="282"/>
    </row>
    <row r="172" spans="1:8" ht="15.6" customHeight="1" x14ac:dyDescent="0.25">
      <c r="A172" s="38"/>
      <c r="B172" s="288" t="s">
        <v>92</v>
      </c>
      <c r="C172" s="289"/>
      <c r="D172" s="289"/>
      <c r="E172" s="289"/>
      <c r="F172" s="290"/>
      <c r="G172" s="28" t="s">
        <v>35</v>
      </c>
    </row>
    <row r="173" spans="1:8" x14ac:dyDescent="0.25">
      <c r="A173" s="38"/>
      <c r="B173" s="44" t="str" cm="1">
        <f t="array" ref="B173:B196">IF(_xlfn._xlws.SORT(CF[Contributing Factors],1,1,TRUE)=0,"",(_xlfn._xlws.SORT(CF[Contributing Factors],1,1,TRUE)))</f>
        <v>Assisted/caregiver transfer</v>
      </c>
      <c r="C173" s="45"/>
      <c r="D173" s="45"/>
      <c r="E173" s="45"/>
      <c r="F173" s="46"/>
      <c r="G173" s="42">
        <f>IF($B173="",NA(),COUNTIFS(July[Contributing Factors],$B173))</f>
        <v>0</v>
      </c>
      <c r="H173" s="43"/>
    </row>
    <row r="174" spans="1:8" x14ac:dyDescent="0.25">
      <c r="A174" s="38"/>
      <c r="B174" s="39" t="str">
        <v>Bowel and bladder (B&amp;B) needs</v>
      </c>
      <c r="C174" s="40"/>
      <c r="D174" s="40"/>
      <c r="E174" s="40"/>
      <c r="F174" s="41"/>
      <c r="G174" s="42">
        <f>IF($B174="",NA(),COUNTIFS(July[Contributing Factors],$B174))</f>
        <v>0</v>
      </c>
    </row>
    <row r="175" spans="1:8" x14ac:dyDescent="0.25">
      <c r="A175" s="38"/>
      <c r="B175" s="44" t="str">
        <v>Behavioral or situational</v>
      </c>
      <c r="C175" s="45"/>
      <c r="D175" s="45"/>
      <c r="E175" s="45"/>
      <c r="F175" s="46"/>
      <c r="G175" s="42">
        <f>IF($B175="",NA(),COUNTIFS(July[Contributing Factors],$B175))</f>
        <v>0</v>
      </c>
    </row>
    <row r="176" spans="1:8" x14ac:dyDescent="0.25">
      <c r="A176" s="38"/>
      <c r="B176" s="39" t="str">
        <v>Change of condition</v>
      </c>
      <c r="C176" s="40"/>
      <c r="D176" s="40"/>
      <c r="E176" s="40"/>
      <c r="F176" s="41"/>
      <c r="G176" s="42">
        <f>IF($B176="",NA(),COUNTIFS(July[Contributing Factors],$B176))</f>
        <v>0</v>
      </c>
    </row>
    <row r="177" spans="1:7" x14ac:dyDescent="0.25">
      <c r="A177" s="38"/>
      <c r="B177" s="44" t="str">
        <v>Environmental factors</v>
      </c>
      <c r="C177" s="45"/>
      <c r="D177" s="45"/>
      <c r="E177" s="45"/>
      <c r="F177" s="46"/>
      <c r="G177" s="42">
        <f>IF($B177="",NA(),COUNTIFS(July[Contributing Factors],$B177))</f>
        <v>0</v>
      </c>
    </row>
    <row r="178" spans="1:7" x14ac:dyDescent="0.25">
      <c r="A178" s="38"/>
      <c r="B178" s="39" t="str">
        <v>Equipment malfunction</v>
      </c>
      <c r="C178" s="40"/>
      <c r="D178" s="40"/>
      <c r="E178" s="40"/>
      <c r="F178" s="41"/>
      <c r="G178" s="42">
        <f>IF($B178="",NA(),COUNTIFS(July[Contributing Factors],$B178))</f>
        <v>0</v>
      </c>
    </row>
    <row r="179" spans="1:7" x14ac:dyDescent="0.25">
      <c r="A179" s="38"/>
      <c r="B179" s="44" t="str">
        <v>Equipment or assistive device</v>
      </c>
      <c r="C179" s="45"/>
      <c r="D179" s="45"/>
      <c r="E179" s="45"/>
      <c r="F179" s="46"/>
      <c r="G179" s="42">
        <f>IF($B179="",NA(),COUNTIFS(July[Contributing Factors],$B179))</f>
        <v>0</v>
      </c>
    </row>
    <row r="180" spans="1:7" x14ac:dyDescent="0.25">
      <c r="A180" s="38"/>
      <c r="B180" s="39" t="str">
        <v>Medication related</v>
      </c>
      <c r="C180" s="40"/>
      <c r="D180" s="40"/>
      <c r="E180" s="40"/>
      <c r="F180" s="41"/>
      <c r="G180" s="42">
        <f>IF($B180="",NA(),COUNTIFS(July[Contributing Factors],$B180))</f>
        <v>0</v>
      </c>
    </row>
    <row r="181" spans="1:7" x14ac:dyDescent="0.25">
      <c r="A181" s="38"/>
      <c r="B181" s="44" t="str">
        <v>Process(s) not followed</v>
      </c>
      <c r="C181" s="45"/>
      <c r="D181" s="45"/>
      <c r="E181" s="45"/>
      <c r="F181" s="46"/>
      <c r="G181" s="42">
        <f>IF($B181="",NA(),COUNTIFS(July[Contributing Factors],$B181))</f>
        <v>0</v>
      </c>
    </row>
    <row r="182" spans="1:7" x14ac:dyDescent="0.25">
      <c r="A182" s="38"/>
      <c r="B182" s="39" t="str">
        <v>Resident health conditions</v>
      </c>
      <c r="C182" s="40"/>
      <c r="D182" s="40"/>
      <c r="E182" s="40"/>
      <c r="F182" s="41"/>
      <c r="G182" s="42">
        <f>IF($B182="",NA(),COUNTIFS(July[Contributing Factors],$B182))</f>
        <v>0</v>
      </c>
    </row>
    <row r="183" spans="1:7" x14ac:dyDescent="0.25">
      <c r="A183" s="38"/>
      <c r="B183" s="44" t="str">
        <v>Staff</v>
      </c>
      <c r="C183" s="45"/>
      <c r="D183" s="45"/>
      <c r="E183" s="45"/>
      <c r="F183" s="46"/>
      <c r="G183" s="42">
        <f>IF($B183="",NA(),COUNTIFS(July[Contributing Factors],$B183))</f>
        <v>0</v>
      </c>
    </row>
    <row r="184" spans="1:7" x14ac:dyDescent="0.25">
      <c r="A184" s="38"/>
      <c r="B184" s="39" t="str">
        <v/>
      </c>
      <c r="C184" s="40"/>
      <c r="D184" s="40"/>
      <c r="E184" s="40"/>
      <c r="F184" s="41"/>
      <c r="G184" s="42" t="e">
        <f>IF($B184="",NA(),COUNTIFS(July[Contributing Factors],$B184))</f>
        <v>#N/A</v>
      </c>
    </row>
    <row r="185" spans="1:7" x14ac:dyDescent="0.25">
      <c r="A185" s="38"/>
      <c r="B185" s="44" t="str">
        <v/>
      </c>
      <c r="C185" s="45"/>
      <c r="D185" s="45"/>
      <c r="E185" s="45"/>
      <c r="F185" s="46"/>
      <c r="G185" s="42" t="e">
        <f>IF($B185="",NA(),COUNTIFS(July[Contributing Factors],$B185))</f>
        <v>#N/A</v>
      </c>
    </row>
    <row r="186" spans="1:7" x14ac:dyDescent="0.25">
      <c r="A186" s="38"/>
      <c r="B186" s="39" t="str">
        <v/>
      </c>
      <c r="C186" s="40"/>
      <c r="D186" s="40"/>
      <c r="E186" s="40"/>
      <c r="F186" s="41"/>
      <c r="G186" s="42" t="e">
        <f>IF($B186="",NA(),COUNTIFS(July[Contributing Factors],$B186))</f>
        <v>#N/A</v>
      </c>
    </row>
    <row r="187" spans="1:7" x14ac:dyDescent="0.25">
      <c r="A187" s="38"/>
      <c r="B187" s="44" t="str">
        <v/>
      </c>
      <c r="C187" s="45"/>
      <c r="D187" s="45"/>
      <c r="E187" s="45"/>
      <c r="F187" s="46"/>
      <c r="G187" s="42" t="e">
        <f>IF($B187="",NA(),COUNTIFS(July[Contributing Factors],$B187))</f>
        <v>#N/A</v>
      </c>
    </row>
    <row r="188" spans="1:7" x14ac:dyDescent="0.25">
      <c r="A188" s="38"/>
      <c r="B188" s="39" t="str">
        <v/>
      </c>
      <c r="C188" s="40"/>
      <c r="D188" s="40"/>
      <c r="E188" s="40"/>
      <c r="F188" s="41"/>
      <c r="G188" s="42" t="e">
        <f>IF($B188="",NA(),COUNTIFS(July[Contributing Factors],$B188))</f>
        <v>#N/A</v>
      </c>
    </row>
    <row r="189" spans="1:7" x14ac:dyDescent="0.25">
      <c r="A189" s="38"/>
      <c r="B189" s="44" t="str">
        <v/>
      </c>
      <c r="C189" s="45"/>
      <c r="D189" s="45"/>
      <c r="E189" s="45"/>
      <c r="F189" s="46"/>
      <c r="G189" s="42" t="e">
        <f>IF($B189="",NA(),COUNTIFS(July[Contributing Factors],$B189))</f>
        <v>#N/A</v>
      </c>
    </row>
    <row r="190" spans="1:7" x14ac:dyDescent="0.25">
      <c r="A190" s="38"/>
      <c r="B190" s="39" t="str">
        <v/>
      </c>
      <c r="C190" s="40"/>
      <c r="D190" s="40"/>
      <c r="E190" s="40"/>
      <c r="F190" s="41"/>
      <c r="G190" s="42" t="e">
        <f>IF($B190="",NA(),COUNTIFS(July[Contributing Factors],$B190))</f>
        <v>#N/A</v>
      </c>
    </row>
    <row r="191" spans="1:7" x14ac:dyDescent="0.25">
      <c r="A191" s="38"/>
      <c r="B191" s="44" t="str">
        <v/>
      </c>
      <c r="C191" s="45"/>
      <c r="D191" s="45"/>
      <c r="E191" s="45"/>
      <c r="F191" s="46"/>
      <c r="G191" s="42" t="e">
        <f>IF($B191="",NA(),COUNTIFS(July[Contributing Factors],$B191))</f>
        <v>#N/A</v>
      </c>
    </row>
    <row r="192" spans="1:7" x14ac:dyDescent="0.25">
      <c r="A192" s="38"/>
      <c r="B192" s="39" t="str">
        <v/>
      </c>
      <c r="C192" s="40"/>
      <c r="D192" s="40"/>
      <c r="E192" s="40"/>
      <c r="F192" s="41"/>
      <c r="G192" s="42" t="e">
        <f>IF($B192="",NA(),COUNTIFS(July[Contributing Factors],$B192))</f>
        <v>#N/A</v>
      </c>
    </row>
    <row r="193" spans="1:7" x14ac:dyDescent="0.25">
      <c r="A193" s="38"/>
      <c r="B193" s="44" t="str">
        <v/>
      </c>
      <c r="C193" s="45"/>
      <c r="D193" s="45"/>
      <c r="E193" s="45"/>
      <c r="F193" s="46"/>
      <c r="G193" s="42" t="e">
        <f>IF($B193="",NA(),COUNTIFS(July[Contributing Factors],$B193))</f>
        <v>#N/A</v>
      </c>
    </row>
    <row r="194" spans="1:7" x14ac:dyDescent="0.25">
      <c r="A194" s="38"/>
      <c r="B194" s="39" t="str">
        <v/>
      </c>
      <c r="C194" s="40"/>
      <c r="D194" s="40"/>
      <c r="E194" s="40"/>
      <c r="F194" s="41"/>
      <c r="G194" s="42" t="e">
        <f>IF($B194="",NA(),COUNTIFS(July[Contributing Factors],$B194))</f>
        <v>#N/A</v>
      </c>
    </row>
    <row r="195" spans="1:7" x14ac:dyDescent="0.25">
      <c r="A195" s="38"/>
      <c r="B195" s="44" t="str">
        <v/>
      </c>
      <c r="C195" s="45"/>
      <c r="D195" s="45"/>
      <c r="E195" s="45"/>
      <c r="F195" s="46"/>
      <c r="G195" s="42" t="e">
        <f>IF($B195="",NA(),COUNTIFS(July[Contributing Factors],$B195))</f>
        <v>#N/A</v>
      </c>
    </row>
    <row r="196" spans="1:7" ht="15.75" thickBot="1" x14ac:dyDescent="0.3">
      <c r="A196" s="38"/>
      <c r="B196" s="39" t="str">
        <v/>
      </c>
      <c r="C196" s="40"/>
      <c r="D196" s="40"/>
      <c r="E196" s="40"/>
      <c r="F196" s="41"/>
      <c r="G196" s="42" t="e">
        <f>IF($B196="",NA(),COUNTIFS(July[Contributing Factors],$B196))</f>
        <v>#N/A</v>
      </c>
    </row>
    <row r="197" spans="1:7" ht="15.6" customHeight="1" thickBot="1" x14ac:dyDescent="0.3">
      <c r="B197" s="285" t="s">
        <v>35</v>
      </c>
      <c r="C197" s="286"/>
      <c r="D197" s="286"/>
      <c r="E197" s="286"/>
      <c r="F197" s="287"/>
      <c r="G197" s="37">
        <f>_xlfn.AGGREGATE(9,6,G173:G196)</f>
        <v>0</v>
      </c>
    </row>
  </sheetData>
  <sheetProtection algorithmName="SHA-512" hashValue="6Ha5KwNKgDcQZK40tu3F7KFoVh3Txj3hPYIeBNvxK4c/IyQ7aZ1CkDtLJ02FZfntjtyOjqBAZrEmJU4vJu9Olw==" saltValue="qtb3pUUKFPDTs4LXPmY7ww==" spinCount="100000" sheet="1" formatCells="0" formatColumns="0" formatRows="0" sort="0" autoFilter="0"/>
  <mergeCells count="61">
    <mergeCell ref="F56:G56"/>
    <mergeCell ref="B51:D51"/>
    <mergeCell ref="F51:H51"/>
    <mergeCell ref="B52:C52"/>
    <mergeCell ref="F52:G52"/>
    <mergeCell ref="B55:C55"/>
    <mergeCell ref="B121:C121"/>
    <mergeCell ref="F58:H58"/>
    <mergeCell ref="F59:G59"/>
    <mergeCell ref="F63:G63"/>
    <mergeCell ref="B65:G65"/>
    <mergeCell ref="B66:F66"/>
    <mergeCell ref="B91:F91"/>
    <mergeCell ref="B93:D93"/>
    <mergeCell ref="B94:C94"/>
    <mergeCell ref="B106:C106"/>
    <mergeCell ref="B108:D108"/>
    <mergeCell ref="B109:C109"/>
    <mergeCell ref="B135:C135"/>
    <mergeCell ref="B123:D123"/>
    <mergeCell ref="B124:C124"/>
    <mergeCell ref="B125:C125"/>
    <mergeCell ref="B126:C126"/>
    <mergeCell ref="B127:C127"/>
    <mergeCell ref="B128:C128"/>
    <mergeCell ref="B129:C129"/>
    <mergeCell ref="B130:C130"/>
    <mergeCell ref="B131:C131"/>
    <mergeCell ref="B132:C132"/>
    <mergeCell ref="B134:D134"/>
    <mergeCell ref="B153:C153"/>
    <mergeCell ref="B141:C141"/>
    <mergeCell ref="B143:D143"/>
    <mergeCell ref="B144:C144"/>
    <mergeCell ref="B145:C145"/>
    <mergeCell ref="B146:C146"/>
    <mergeCell ref="B147:C147"/>
    <mergeCell ref="B148:C148"/>
    <mergeCell ref="B149:C149"/>
    <mergeCell ref="B150:C150"/>
    <mergeCell ref="B151:C151"/>
    <mergeCell ref="B152:C152"/>
    <mergeCell ref="B165:C165"/>
    <mergeCell ref="B154:C154"/>
    <mergeCell ref="B155:C155"/>
    <mergeCell ref="B156:C156"/>
    <mergeCell ref="B157:C157"/>
    <mergeCell ref="B158:C158"/>
    <mergeCell ref="B159:C159"/>
    <mergeCell ref="B160:C160"/>
    <mergeCell ref="B161:C161"/>
    <mergeCell ref="B162:C162"/>
    <mergeCell ref="B163:C163"/>
    <mergeCell ref="B164:C164"/>
    <mergeCell ref="B197:F197"/>
    <mergeCell ref="B166:C166"/>
    <mergeCell ref="B167:C167"/>
    <mergeCell ref="B168:C168"/>
    <mergeCell ref="B169:C169"/>
    <mergeCell ref="B171:G171"/>
    <mergeCell ref="B172:F172"/>
  </mergeCells>
  <conditionalFormatting sqref="C1">
    <cfRule type="expression" dxfId="184" priority="18">
      <formula>OR($C$1="",$C$1=0)</formula>
    </cfRule>
  </conditionalFormatting>
  <conditionalFormatting sqref="D1">
    <cfRule type="cellIs" dxfId="183" priority="19" operator="equal">
      <formula>"Enter year in Data Validation tab"</formula>
    </cfRule>
  </conditionalFormatting>
  <conditionalFormatting sqref="D4:D40">
    <cfRule type="expression" dxfId="182" priority="22">
      <formula>AND($C4&lt;&gt;"",$D4="")</formula>
    </cfRule>
  </conditionalFormatting>
  <conditionalFormatting sqref="D95:D105">
    <cfRule type="expression" dxfId="181" priority="9">
      <formula>ISERROR($D95)</formula>
    </cfRule>
  </conditionalFormatting>
  <conditionalFormatting sqref="D110:D120">
    <cfRule type="expression" dxfId="180" priority="10">
      <formula>ISERROR($D110)</formula>
    </cfRule>
  </conditionalFormatting>
  <conditionalFormatting sqref="D136:D140">
    <cfRule type="expression" dxfId="179" priority="1">
      <formula>ISERROR(D136)</formula>
    </cfRule>
  </conditionalFormatting>
  <conditionalFormatting sqref="E4:E40">
    <cfRule type="expression" dxfId="178" priority="21">
      <formula>AND($C4&lt;&gt;"",$E4="")</formula>
    </cfRule>
  </conditionalFormatting>
  <conditionalFormatting sqref="F4:F40">
    <cfRule type="expression" dxfId="177" priority="14">
      <formula>AND($C4&lt;&gt;"",$F4="")</formula>
    </cfRule>
  </conditionalFormatting>
  <conditionalFormatting sqref="G4:G40">
    <cfRule type="expression" dxfId="176" priority="13">
      <formula>AND($C4&lt;&gt;"",$G4="")</formula>
    </cfRule>
  </conditionalFormatting>
  <conditionalFormatting sqref="G67:G90">
    <cfRule type="expression" dxfId="175" priority="8">
      <formula>ISERROR($G67)</formula>
    </cfRule>
  </conditionalFormatting>
  <conditionalFormatting sqref="G173:G196">
    <cfRule type="expression" dxfId="174" priority="7">
      <formula>ISERROR($G173)</formula>
    </cfRule>
  </conditionalFormatting>
  <conditionalFormatting sqref="H4:H40">
    <cfRule type="expression" dxfId="173" priority="12">
      <formula>AND($C4&lt;&gt;"",$H4="")</formula>
    </cfRule>
  </conditionalFormatting>
  <conditionalFormatting sqref="I4:I40">
    <cfRule type="expression" dxfId="172" priority="11">
      <formula>AND($C4&lt;&gt;"",$I4="")</formula>
    </cfRule>
  </conditionalFormatting>
  <conditionalFormatting sqref="J4:J40">
    <cfRule type="expression" dxfId="171" priority="23">
      <formula>AND($C4&lt;&gt;"",$J4="")</formula>
    </cfRule>
  </conditionalFormatting>
  <conditionalFormatting sqref="L4:L40">
    <cfRule type="expression" dxfId="170" priority="20">
      <formula>AND($C4&lt;&gt;"",$L4="")</formula>
    </cfRule>
  </conditionalFormatting>
  <conditionalFormatting sqref="N4:N40">
    <cfRule type="expression" dxfId="169" priority="25">
      <formula>AND($C4&lt;&gt;"",$N4="")</formula>
    </cfRule>
  </conditionalFormatting>
  <conditionalFormatting sqref="O4:O40">
    <cfRule type="expression" dxfId="168" priority="4">
      <formula>AND($C4&lt;&gt;"",$O4="")</formula>
    </cfRule>
    <cfRule type="cellIs" dxfId="167" priority="15" operator="equal">
      <formula>"Intact (13-15)"</formula>
    </cfRule>
    <cfRule type="cellIs" dxfId="166" priority="16" operator="equal">
      <formula>"Moderate (8-12)"</formula>
    </cfRule>
    <cfRule type="cellIs" dxfId="165" priority="17" operator="equal">
      <formula>"Severe (1-7)"</formula>
    </cfRule>
  </conditionalFormatting>
  <conditionalFormatting sqref="P4:P40">
    <cfRule type="expression" dxfId="164" priority="5">
      <formula>AND($C4&lt;&gt;"",$P4="")</formula>
    </cfRule>
  </conditionalFormatting>
  <conditionalFormatting sqref="Q4:Q40">
    <cfRule type="expression" dxfId="163" priority="3">
      <formula>AND($C4&lt;&gt;"",$Q4="")</formula>
    </cfRule>
  </conditionalFormatting>
  <conditionalFormatting sqref="R4:R40">
    <cfRule type="expression" dxfId="162" priority="26">
      <formula>AND($C4&lt;&gt;"",$R4="")</formula>
    </cfRule>
  </conditionalFormatting>
  <conditionalFormatting sqref="S4:S40">
    <cfRule type="expression" dxfId="161" priority="6">
      <formula>AND($C4&lt;&gt;"",$S4="")</formula>
    </cfRule>
  </conditionalFormatting>
  <conditionalFormatting sqref="T4:T40">
    <cfRule type="expression" dxfId="160" priority="27">
      <formula>AND($C4&lt;&gt;"",$T4="")</formula>
    </cfRule>
  </conditionalFormatting>
  <conditionalFormatting sqref="U4:U40">
    <cfRule type="expression" dxfId="159" priority="24">
      <formula>AND($C4&lt;&gt;"",$U4="")</formula>
    </cfRule>
  </conditionalFormatting>
  <conditionalFormatting sqref="V4:V40">
    <cfRule type="expression" dxfId="158" priority="2">
      <formula>AND($C4&lt;&gt;"",$V4="")</formula>
    </cfRule>
  </conditionalFormatting>
  <dataValidations count="9">
    <dataValidation type="list" allowBlank="1" showInputMessage="1" showErrorMessage="1" sqref="R4:R40" xr:uid="{F7559BC6-897C-44AE-A54D-E9756FBD7923}">
      <formula1>DV_RCAComp</formula1>
    </dataValidation>
    <dataValidation type="list" allowBlank="1" showInputMessage="1" showErrorMessage="1" sqref="G4:G40" xr:uid="{D416825C-3D90-4774-BE07-EFFF82D0B70E}">
      <formula1>DV_FallCircumstances</formula1>
    </dataValidation>
    <dataValidation type="list" allowBlank="1" showInputMessage="1" showErrorMessage="1" sqref="P4:P40" xr:uid="{5C4152C8-4A62-406D-9954-FAD94F2B3333}">
      <formula1>DV_PriortoFall</formula1>
    </dataValidation>
    <dataValidation type="list" allowBlank="1" showInputMessage="1" showErrorMessage="1" sqref="F4:F40" xr:uid="{5687D939-BC7C-4EF6-9583-7920AE9107C4}">
      <formula1>DV_Witnessed</formula1>
    </dataValidation>
    <dataValidation type="list" allowBlank="1" showInputMessage="1" showErrorMessage="1" sqref="N4:N40" xr:uid="{5CD94AE4-E28F-4400-90F8-4B39197B795A}">
      <formula1>DV_BIMSScore</formula1>
    </dataValidation>
    <dataValidation type="list" allowBlank="1" showInputMessage="1" showErrorMessage="1" sqref="L4:L40" xr:uid="{95B9756A-F20E-4D39-A618-C0FC852F3CD7}">
      <formula1>DV_Shifts</formula1>
    </dataValidation>
    <dataValidation type="list" allowBlank="1" showInputMessage="1" showErrorMessage="1" sqref="J4:J40" xr:uid="{B2BC1D17-9B10-42A8-924C-4973B03A329F}">
      <formula1>DV_Station</formula1>
    </dataValidation>
    <dataValidation type="list" allowBlank="1" showInputMessage="1" showErrorMessage="1" sqref="I4:I40" xr:uid="{4932A9BD-9324-4041-B353-C5C3630CDC70}">
      <formula1>DV_Location</formula1>
    </dataValidation>
    <dataValidation type="list" allowBlank="1" showInputMessage="1" showErrorMessage="1" sqref="H4:H40" xr:uid="{4335028F-3333-4AD3-91DE-DDABB1DD580A}">
      <formula1>DV_FallType</formula1>
    </dataValidation>
  </dataValidations>
  <printOptions horizontalCentered="1"/>
  <pageMargins left="0.15" right="0.15" top="0.5" bottom="0.25" header="0.3" footer="0.3"/>
  <pageSetup scale="59" fitToHeight="0" orientation="landscape" r:id="rId1"/>
  <rowBreaks count="3" manualBreakCount="3">
    <brk id="49" max="16383" man="1"/>
    <brk id="91" max="16383" man="1"/>
    <brk id="141" max="16383" man="1"/>
  </rowBreaks>
  <drawing r:id="rId2"/>
  <tableParts count="1">
    <tablePart r:id="rId3"/>
  </tableParts>
  <extLst>
    <ext xmlns:x14="http://schemas.microsoft.com/office/spreadsheetml/2009/9/main" uri="{CCE6A557-97BC-4b89-ADB6-D9C93CAAB3DF}">
      <x14:dataValidations xmlns:xm="http://schemas.microsoft.com/office/excel/2006/main" count="1">
        <x14:dataValidation type="list" allowBlank="1" showInputMessage="1" showErrorMessage="1" xr:uid="{2A964F2D-8F85-4268-8CC5-38E4F8005EB3}">
          <x14:formula1>
            <xm:f>'Data Validation'!$K$3:$K$26</xm:f>
          </x14:formula1>
          <xm:sqref>S4:S40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46D77C0AAD29C49BE5938D91B2030C0" ma:contentTypeVersion="17" ma:contentTypeDescription="Create a new document." ma:contentTypeScope="" ma:versionID="48b29a9e0b03571f5f14e64a62c44004">
  <xsd:schema xmlns:xsd="http://www.w3.org/2001/XMLSchema" xmlns:xs="http://www.w3.org/2001/XMLSchema" xmlns:p="http://schemas.microsoft.com/office/2006/metadata/properties" xmlns:ns3="3b0fedd3-30af-4e6b-b251-0690992f7641" xmlns:ns4="4c598949-2939-4f0a-8195-15f55edbde17" targetNamespace="http://schemas.microsoft.com/office/2006/metadata/properties" ma:root="true" ma:fieldsID="4b8be12cce10000177f1862059e5656f" ns3:_="" ns4:_="">
    <xsd:import namespace="3b0fedd3-30af-4e6b-b251-0690992f7641"/>
    <xsd:import namespace="4c598949-2939-4f0a-8195-15f55edbde17"/>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4:SharedWithUsers" minOccurs="0"/>
                <xsd:element ref="ns4:SharedWithDetails" minOccurs="0"/>
                <xsd:element ref="ns4:SharingHintHash" minOccurs="0"/>
                <xsd:element ref="ns3:MediaServiceDateTaken" minOccurs="0"/>
                <xsd:element ref="ns3:MediaLengthInSeconds" minOccurs="0"/>
                <xsd:element ref="ns3:MediaServiceAutoTags" minOccurs="0"/>
                <xsd:element ref="ns3:MediaServiceGenerationTime" minOccurs="0"/>
                <xsd:element ref="ns3:MediaServiceEventHashCode" minOccurs="0"/>
                <xsd:element ref="ns3:_activity" minOccurs="0"/>
                <xsd:element ref="ns3:MediaServiceOCR"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0fedd3-30af-4e6b-b251-0690992f76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AutoTags" ma:index="17" nillable="true" ma:displayName="Tags" ma:internalName="MediaServiceAutoTags"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_activity" ma:index="20" nillable="true" ma:displayName="_activity" ma:hidden="true" ma:internalName="_activity">
      <xsd:simpleType>
        <xsd:restriction base="dms:Note"/>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ystemTags" ma:index="23" nillable="true" ma:displayName="MediaServiceSystemTags" ma:hidden="true" ma:internalName="MediaServiceSystemTags" ma:readOnly="true">
      <xsd:simpleType>
        <xsd:restriction base="dms:Note"/>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c598949-2939-4f0a-8195-15f55edbde17"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3b0fedd3-30af-4e6b-b251-0690992f7641" xsi:nil="true"/>
  </documentManagement>
</p:properties>
</file>

<file path=customXml/itemProps1.xml><?xml version="1.0" encoding="utf-8"?>
<ds:datastoreItem xmlns:ds="http://schemas.openxmlformats.org/officeDocument/2006/customXml" ds:itemID="{41BF1945-DDE5-4051-9468-7AB88F349338}">
  <ds:schemaRefs>
    <ds:schemaRef ds:uri="http://schemas.microsoft.com/sharepoint/v3/contenttype/forms"/>
  </ds:schemaRefs>
</ds:datastoreItem>
</file>

<file path=customXml/itemProps2.xml><?xml version="1.0" encoding="utf-8"?>
<ds:datastoreItem xmlns:ds="http://schemas.openxmlformats.org/officeDocument/2006/customXml" ds:itemID="{9635C12A-F434-48E2-98C8-2DC68DAA75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0fedd3-30af-4e6b-b251-0690992f7641"/>
    <ds:schemaRef ds:uri="4c598949-2939-4f0a-8195-15f55edbde1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1423D24-0078-483A-A05E-B879ED930654}">
  <ds:schemaRefs>
    <ds:schemaRef ds:uri="http://schemas.microsoft.com/office/2006/documentManagement/types"/>
    <ds:schemaRef ds:uri="4c598949-2939-4f0a-8195-15f55edbde17"/>
    <ds:schemaRef ds:uri="http://www.w3.org/XML/1998/namespace"/>
    <ds:schemaRef ds:uri="http://schemas.microsoft.com/office/2006/metadata/properties"/>
    <ds:schemaRef ds:uri="http://purl.org/dc/terms/"/>
    <ds:schemaRef ds:uri="http://purl.org/dc/dcmitype/"/>
    <ds:schemaRef ds:uri="http://purl.org/dc/elements/1.1/"/>
    <ds:schemaRef ds:uri="http://schemas.microsoft.com/office/infopath/2007/PartnerControls"/>
    <ds:schemaRef ds:uri="http://schemas.openxmlformats.org/package/2006/metadata/core-properties"/>
    <ds:schemaRef ds:uri="3b0fedd3-30af-4e6b-b251-0690992f764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188</vt:i4>
      </vt:variant>
    </vt:vector>
  </HeadingPairs>
  <TitlesOfParts>
    <vt:vector size="208" baseType="lpstr">
      <vt:lpstr>Tracker Description</vt:lpstr>
      <vt:lpstr>Data Validation</vt:lpstr>
      <vt:lpstr>Jan</vt:lpstr>
      <vt:lpstr>Feb</vt:lpstr>
      <vt:lpstr>Mar</vt:lpstr>
      <vt:lpstr>Apr</vt:lpstr>
      <vt:lpstr>May</vt:lpstr>
      <vt:lpstr>June</vt:lpstr>
      <vt:lpstr>July</vt:lpstr>
      <vt:lpstr>Aug</vt:lpstr>
      <vt:lpstr>Sept</vt:lpstr>
      <vt:lpstr>Oct</vt:lpstr>
      <vt:lpstr>Nov</vt:lpstr>
      <vt:lpstr>Dec</vt:lpstr>
      <vt:lpstr>Falls</vt:lpstr>
      <vt:lpstr>BIMS RCA</vt:lpstr>
      <vt:lpstr>Loc Hr</vt:lpstr>
      <vt:lpstr>Resident</vt:lpstr>
      <vt:lpstr>Fall Rate and Census</vt:lpstr>
      <vt:lpstr>Example</vt:lpstr>
      <vt:lpstr>Apr!DV_BIMSScore</vt:lpstr>
      <vt:lpstr>Aug!DV_BIMSScore</vt:lpstr>
      <vt:lpstr>'BIMS RCA'!DV_BIMSScore</vt:lpstr>
      <vt:lpstr>'Data Validation'!DV_BIMSScore</vt:lpstr>
      <vt:lpstr>Dec!DV_BIMSScore</vt:lpstr>
      <vt:lpstr>Falls!DV_BIMSScore</vt:lpstr>
      <vt:lpstr>Feb!DV_BIMSScore</vt:lpstr>
      <vt:lpstr>July!DV_BIMSScore</vt:lpstr>
      <vt:lpstr>June!DV_BIMSScore</vt:lpstr>
      <vt:lpstr>'Loc Hr'!DV_BIMSScore</vt:lpstr>
      <vt:lpstr>Mar!DV_BIMSScore</vt:lpstr>
      <vt:lpstr>May!DV_BIMSScore</vt:lpstr>
      <vt:lpstr>Nov!DV_BIMSScore</vt:lpstr>
      <vt:lpstr>Oct!DV_BIMSScore</vt:lpstr>
      <vt:lpstr>Resident!DV_BIMSScore</vt:lpstr>
      <vt:lpstr>Sept!DV_BIMSScore</vt:lpstr>
      <vt:lpstr>DV_BIMSScore</vt:lpstr>
      <vt:lpstr>Apr!DV_FallCircumstances</vt:lpstr>
      <vt:lpstr>Aug!DV_FallCircumstances</vt:lpstr>
      <vt:lpstr>Dec!DV_FallCircumstances</vt:lpstr>
      <vt:lpstr>Feb!DV_FallCircumstances</vt:lpstr>
      <vt:lpstr>July!DV_FallCircumstances</vt:lpstr>
      <vt:lpstr>June!DV_FallCircumstances</vt:lpstr>
      <vt:lpstr>Mar!DV_FallCircumstances</vt:lpstr>
      <vt:lpstr>May!DV_FallCircumstances</vt:lpstr>
      <vt:lpstr>Nov!DV_FallCircumstances</vt:lpstr>
      <vt:lpstr>Oct!DV_FallCircumstances</vt:lpstr>
      <vt:lpstr>Sept!DV_FallCircumstances</vt:lpstr>
      <vt:lpstr>DV_FallCircumstances</vt:lpstr>
      <vt:lpstr>Apr!DV_FallType</vt:lpstr>
      <vt:lpstr>Aug!DV_FallType</vt:lpstr>
      <vt:lpstr>'BIMS RCA'!DV_FallType</vt:lpstr>
      <vt:lpstr>'Data Validation'!DV_FallType</vt:lpstr>
      <vt:lpstr>Dec!DV_FallType</vt:lpstr>
      <vt:lpstr>Falls!DV_FallType</vt:lpstr>
      <vt:lpstr>Feb!DV_FallType</vt:lpstr>
      <vt:lpstr>July!DV_FallType</vt:lpstr>
      <vt:lpstr>June!DV_FallType</vt:lpstr>
      <vt:lpstr>'Loc Hr'!DV_FallType</vt:lpstr>
      <vt:lpstr>Mar!DV_FallType</vt:lpstr>
      <vt:lpstr>May!DV_FallType</vt:lpstr>
      <vt:lpstr>Nov!DV_FallType</vt:lpstr>
      <vt:lpstr>Oct!DV_FallType</vt:lpstr>
      <vt:lpstr>Resident!DV_FallType</vt:lpstr>
      <vt:lpstr>Sept!DV_FallType</vt:lpstr>
      <vt:lpstr>DV_FallType</vt:lpstr>
      <vt:lpstr>Apr!DV_Location</vt:lpstr>
      <vt:lpstr>Aug!DV_Location</vt:lpstr>
      <vt:lpstr>'BIMS RCA'!DV_Location</vt:lpstr>
      <vt:lpstr>'Data Validation'!DV_Location</vt:lpstr>
      <vt:lpstr>Dec!DV_Location</vt:lpstr>
      <vt:lpstr>Falls!DV_Location</vt:lpstr>
      <vt:lpstr>Feb!DV_Location</vt:lpstr>
      <vt:lpstr>July!DV_Location</vt:lpstr>
      <vt:lpstr>June!DV_Location</vt:lpstr>
      <vt:lpstr>'Loc Hr'!DV_Location</vt:lpstr>
      <vt:lpstr>Mar!DV_Location</vt:lpstr>
      <vt:lpstr>May!DV_Location</vt:lpstr>
      <vt:lpstr>Nov!DV_Location</vt:lpstr>
      <vt:lpstr>Oct!DV_Location</vt:lpstr>
      <vt:lpstr>Resident!DV_Location</vt:lpstr>
      <vt:lpstr>Sept!DV_Location</vt:lpstr>
      <vt:lpstr>DV_Location</vt:lpstr>
      <vt:lpstr>Apr!DV_PriortoFall</vt:lpstr>
      <vt:lpstr>Aug!DV_PriortoFall</vt:lpstr>
      <vt:lpstr>'BIMS RCA'!DV_PriortoFall</vt:lpstr>
      <vt:lpstr>Dec!DV_PriortoFall</vt:lpstr>
      <vt:lpstr>Feb!DV_PriortoFall</vt:lpstr>
      <vt:lpstr>July!DV_PriortoFall</vt:lpstr>
      <vt:lpstr>June!DV_PriortoFall</vt:lpstr>
      <vt:lpstr>'Loc Hr'!DV_PriortoFall</vt:lpstr>
      <vt:lpstr>Mar!DV_PriortoFall</vt:lpstr>
      <vt:lpstr>May!DV_PriortoFall</vt:lpstr>
      <vt:lpstr>Nov!DV_PriortoFall</vt:lpstr>
      <vt:lpstr>Oct!DV_PriortoFall</vt:lpstr>
      <vt:lpstr>Resident!DV_PriortoFall</vt:lpstr>
      <vt:lpstr>Sept!DV_PriortoFall</vt:lpstr>
      <vt:lpstr>DV_PriortoFall</vt:lpstr>
      <vt:lpstr>Apr!DV_RCA</vt:lpstr>
      <vt:lpstr>Aug!DV_RCA</vt:lpstr>
      <vt:lpstr>'BIMS RCA'!DV_RCA</vt:lpstr>
      <vt:lpstr>Dec!DV_RCA</vt:lpstr>
      <vt:lpstr>Feb!DV_RCA</vt:lpstr>
      <vt:lpstr>July!DV_RCA</vt:lpstr>
      <vt:lpstr>June!DV_RCA</vt:lpstr>
      <vt:lpstr>'Loc Hr'!DV_RCA</vt:lpstr>
      <vt:lpstr>Mar!DV_RCA</vt:lpstr>
      <vt:lpstr>May!DV_RCA</vt:lpstr>
      <vt:lpstr>Nov!DV_RCA</vt:lpstr>
      <vt:lpstr>Oct!DV_RCA</vt:lpstr>
      <vt:lpstr>Resident!DV_RCA</vt:lpstr>
      <vt:lpstr>Sept!DV_RCA</vt:lpstr>
      <vt:lpstr>DV_RCA</vt:lpstr>
      <vt:lpstr>Apr!DV_RCAComp</vt:lpstr>
      <vt:lpstr>Aug!DV_RCAComp</vt:lpstr>
      <vt:lpstr>'BIMS RCA'!DV_RCAComp</vt:lpstr>
      <vt:lpstr>Dec!DV_RCAComp</vt:lpstr>
      <vt:lpstr>Feb!DV_RCAComp</vt:lpstr>
      <vt:lpstr>July!DV_RCAComp</vt:lpstr>
      <vt:lpstr>June!DV_RCAComp</vt:lpstr>
      <vt:lpstr>'Loc Hr'!DV_RCAComp</vt:lpstr>
      <vt:lpstr>Mar!DV_RCAComp</vt:lpstr>
      <vt:lpstr>May!DV_RCAComp</vt:lpstr>
      <vt:lpstr>Nov!DV_RCAComp</vt:lpstr>
      <vt:lpstr>Oct!DV_RCAComp</vt:lpstr>
      <vt:lpstr>Resident!DV_RCAComp</vt:lpstr>
      <vt:lpstr>Sept!DV_RCAComp</vt:lpstr>
      <vt:lpstr>DV_RCAComp</vt:lpstr>
      <vt:lpstr>Apr!DV_RiskResult</vt:lpstr>
      <vt:lpstr>Aug!DV_RiskResult</vt:lpstr>
      <vt:lpstr>'BIMS RCA'!DV_RiskResult</vt:lpstr>
      <vt:lpstr>Dec!DV_RiskResult</vt:lpstr>
      <vt:lpstr>Feb!DV_RiskResult</vt:lpstr>
      <vt:lpstr>July!DV_RiskResult</vt:lpstr>
      <vt:lpstr>June!DV_RiskResult</vt:lpstr>
      <vt:lpstr>'Loc Hr'!DV_RiskResult</vt:lpstr>
      <vt:lpstr>Mar!DV_RiskResult</vt:lpstr>
      <vt:lpstr>May!DV_RiskResult</vt:lpstr>
      <vt:lpstr>Nov!DV_RiskResult</vt:lpstr>
      <vt:lpstr>Oct!DV_RiskResult</vt:lpstr>
      <vt:lpstr>Resident!DV_RiskResult</vt:lpstr>
      <vt:lpstr>Sept!DV_RiskResult</vt:lpstr>
      <vt:lpstr>DV_RiskResult</vt:lpstr>
      <vt:lpstr>Apr!DV_Shifts</vt:lpstr>
      <vt:lpstr>Aug!DV_Shifts</vt:lpstr>
      <vt:lpstr>'BIMS RCA'!DV_Shifts</vt:lpstr>
      <vt:lpstr>'Data Validation'!DV_Shifts</vt:lpstr>
      <vt:lpstr>Dec!DV_Shifts</vt:lpstr>
      <vt:lpstr>Falls!DV_Shifts</vt:lpstr>
      <vt:lpstr>Feb!DV_Shifts</vt:lpstr>
      <vt:lpstr>July!DV_Shifts</vt:lpstr>
      <vt:lpstr>June!DV_Shifts</vt:lpstr>
      <vt:lpstr>'Loc Hr'!DV_Shifts</vt:lpstr>
      <vt:lpstr>Mar!DV_Shifts</vt:lpstr>
      <vt:lpstr>May!DV_Shifts</vt:lpstr>
      <vt:lpstr>Nov!DV_Shifts</vt:lpstr>
      <vt:lpstr>Oct!DV_Shifts</vt:lpstr>
      <vt:lpstr>Resident!DV_Shifts</vt:lpstr>
      <vt:lpstr>Sept!DV_Shifts</vt:lpstr>
      <vt:lpstr>DV_Shifts</vt:lpstr>
      <vt:lpstr>Apr!DV_Station</vt:lpstr>
      <vt:lpstr>Aug!DV_Station</vt:lpstr>
      <vt:lpstr>'BIMS RCA'!DV_Station</vt:lpstr>
      <vt:lpstr>'Data Validation'!DV_Station</vt:lpstr>
      <vt:lpstr>Dec!DV_Station</vt:lpstr>
      <vt:lpstr>Falls!DV_Station</vt:lpstr>
      <vt:lpstr>Feb!DV_Station</vt:lpstr>
      <vt:lpstr>July!DV_Station</vt:lpstr>
      <vt:lpstr>June!DV_Station</vt:lpstr>
      <vt:lpstr>'Loc Hr'!DV_Station</vt:lpstr>
      <vt:lpstr>Mar!DV_Station</vt:lpstr>
      <vt:lpstr>May!DV_Station</vt:lpstr>
      <vt:lpstr>Nov!DV_Station</vt:lpstr>
      <vt:lpstr>Oct!DV_Station</vt:lpstr>
      <vt:lpstr>Resident!DV_Station</vt:lpstr>
      <vt:lpstr>Sept!DV_Station</vt:lpstr>
      <vt:lpstr>DV_Station</vt:lpstr>
      <vt:lpstr>Apr!DV_Witnessed</vt:lpstr>
      <vt:lpstr>Aug!DV_Witnessed</vt:lpstr>
      <vt:lpstr>'BIMS RCA'!DV_Witnessed</vt:lpstr>
      <vt:lpstr>'Data Validation'!DV_Witnessed</vt:lpstr>
      <vt:lpstr>Dec!DV_Witnessed</vt:lpstr>
      <vt:lpstr>Feb!DV_Witnessed</vt:lpstr>
      <vt:lpstr>July!DV_Witnessed</vt:lpstr>
      <vt:lpstr>June!DV_Witnessed</vt:lpstr>
      <vt:lpstr>'Loc Hr'!DV_Witnessed</vt:lpstr>
      <vt:lpstr>Mar!DV_Witnessed</vt:lpstr>
      <vt:lpstr>May!DV_Witnessed</vt:lpstr>
      <vt:lpstr>Nov!DV_Witnessed</vt:lpstr>
      <vt:lpstr>Oct!DV_Witnessed</vt:lpstr>
      <vt:lpstr>Resident!DV_Witnessed</vt:lpstr>
      <vt:lpstr>Sept!DV_Witnessed</vt:lpstr>
      <vt:lpstr>DV_Witnessed</vt:lpstr>
      <vt:lpstr>Falls!Print_Area</vt:lpstr>
      <vt:lpstr>Resident!Print_Area</vt:lpstr>
      <vt:lpstr>Apr!Print_Titles</vt:lpstr>
      <vt:lpstr>Aug!Print_Titles</vt:lpstr>
      <vt:lpstr>Dec!Print_Titles</vt:lpstr>
      <vt:lpstr>Feb!Print_Titles</vt:lpstr>
      <vt:lpstr>Jan!Print_Titles</vt:lpstr>
      <vt:lpstr>July!Print_Titles</vt:lpstr>
      <vt:lpstr>June!Print_Titles</vt:lpstr>
      <vt:lpstr>Mar!Print_Titles</vt:lpstr>
      <vt:lpstr>May!Print_Titles</vt:lpstr>
      <vt:lpstr>Nov!Print_Titles</vt:lpstr>
      <vt:lpstr>Oct!Print_Titles</vt:lpstr>
      <vt:lpstr>Resident!Print_Titles</vt:lpstr>
      <vt:lpstr>Sept!Print_Titles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Falls Data Tracker</dc:title>
  <dc:subject>Template</dc:subject>
  <dc:creator>Health Services Advisory Group (HSAG)</dc:creator>
  <cp:keywords>falls, data, validation</cp:keywords>
  <cp:lastModifiedBy>Heather Fisher</cp:lastModifiedBy>
  <cp:lastPrinted>2025-10-30T18:30:51Z</cp:lastPrinted>
  <dcterms:created xsi:type="dcterms:W3CDTF">2025-09-10T07:40:21Z</dcterms:created>
  <dcterms:modified xsi:type="dcterms:W3CDTF">2026-07-31T22:53:22Z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0x010100618F2453903A704FA4229CB8834D3D84</vt:lpwstr>
  </property>
</Properties>
</file>